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AFF880B6-0565-450F-B93C-6773880D1A5D}" xr6:coauthVersionLast="47" xr6:coauthVersionMax="47" xr10:uidLastSave="{00000000-0000-0000-0000-000000000000}"/>
  <bookViews>
    <workbookView xWindow="-110" yWindow="-110" windowWidth="19420" windowHeight="10300" tabRatio="905" firstSheet="2" activeTab="2" xr2:uid="{00000000-000D-0000-FFFF-FFFF00000000}"/>
  </bookViews>
  <sheets>
    <sheet name="Index" sheetId="57" r:id="rId1"/>
    <sheet name="AFC Reduction and AEC loss" sheetId="100" r:id="rId2"/>
    <sheet name="F1" sheetId="58" r:id="rId3"/>
    <sheet name="F1.1" sheetId="80" r:id="rId4"/>
    <sheet name="F2.1" sheetId="81" r:id="rId5"/>
    <sheet name="F2.2" sheetId="59" r:id="rId6"/>
    <sheet name="F2.3" sheetId="60" r:id="rId7"/>
    <sheet name="F2.4" sheetId="61" r:id="rId8"/>
    <sheet name="F2.5" sheetId="62" r:id="rId9"/>
    <sheet name="F2.6" sheetId="79" r:id="rId10"/>
    <sheet name="F2.7" sheetId="63" r:id="rId11"/>
    <sheet name="F2.8" sheetId="64" r:id="rId12"/>
    <sheet name="F3" sheetId="65" r:id="rId13"/>
    <sheet name="F3.1" sheetId="66" r:id="rId14"/>
    <sheet name="F3.2" sheetId="67" r:id="rId15"/>
    <sheet name="F3.3" sheetId="68" r:id="rId16"/>
    <sheet name="F3.4" sheetId="69" r:id="rId17"/>
    <sheet name="F4" sheetId="93" r:id="rId18"/>
    <sheet name="F4.1" sheetId="116" r:id="rId19"/>
    <sheet name="F4.2" sheetId="117" r:id="rId20"/>
    <sheet name="F4.3" sheetId="118" r:id="rId21"/>
    <sheet name="F5 (T)" sheetId="115" r:id="rId22"/>
    <sheet name="F5" sheetId="70" r:id="rId23"/>
    <sheet name="F5.1 (N)" sheetId="104" r:id="rId24"/>
    <sheet name="F6" sheetId="54" r:id="rId25"/>
    <sheet name="F7" sheetId="55" r:id="rId26"/>
    <sheet name="F8" sheetId="71" r:id="rId27"/>
    <sheet name="F9" sheetId="72" r:id="rId28"/>
    <sheet name="F9.1" sheetId="91" r:id="rId29"/>
    <sheet name="F9.2" sheetId="73" r:id="rId30"/>
    <sheet name="F9.3" sheetId="74" r:id="rId31"/>
    <sheet name="F10" sheetId="77" r:id="rId32"/>
    <sheet name="F11" sheetId="75" r:id="rId33"/>
    <sheet name="F12" sheetId="76" r:id="rId34"/>
    <sheet name="F13" sheetId="78" r:id="rId35"/>
    <sheet name="F14.1" sheetId="106" r:id="rId36"/>
    <sheet name="F14.2" sheetId="107" r:id="rId37"/>
    <sheet name="F14.3" sheetId="108" r:id="rId38"/>
    <sheet name="F14.4" sheetId="109" r:id="rId39"/>
    <sheet name="F14.5" sheetId="110" r:id="rId40"/>
    <sheet name="F14.6" sheetId="111" r:id="rId41"/>
    <sheet name="F14.7" sheetId="112" r:id="rId42"/>
    <sheet name="F14.8" sheetId="113" r:id="rId43"/>
    <sheet name="F14.9" sheetId="114" r:id="rId44"/>
    <sheet name="F15" sheetId="105" r:id="rId45"/>
    <sheet name="F16" sheetId="98" r:id="rId46"/>
    <sheet name="F17" sheetId="99"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 localSheetId="44">#REF!</definedName>
    <definedName name="\a" localSheetId="21">#REF!</definedName>
    <definedName name="\a">#REF!</definedName>
    <definedName name="\b" localSheetId="44">#REF!</definedName>
    <definedName name="\b" localSheetId="21">#REF!</definedName>
    <definedName name="\b">#REF!</definedName>
    <definedName name="\c" localSheetId="44">#REF!</definedName>
    <definedName name="\c" localSheetId="21">#REF!</definedName>
    <definedName name="\c">#REF!</definedName>
    <definedName name="\d" localSheetId="44">#REF!</definedName>
    <definedName name="\d" localSheetId="21">#REF!</definedName>
    <definedName name="\d">#REF!</definedName>
    <definedName name="\e" localSheetId="44">#REF!</definedName>
    <definedName name="\e" localSheetId="21">#REF!</definedName>
    <definedName name="\e">#REF!</definedName>
    <definedName name="\f" localSheetId="44">#REF!</definedName>
    <definedName name="\f" localSheetId="21">#REF!</definedName>
    <definedName name="\f">#REF!</definedName>
    <definedName name="\g" localSheetId="44">#REF!</definedName>
    <definedName name="\g" localSheetId="21">#REF!</definedName>
    <definedName name="\g">#REF!</definedName>
    <definedName name="\j" localSheetId="44">#REF!</definedName>
    <definedName name="\j" localSheetId="21">#REF!</definedName>
    <definedName name="\j">#REF!</definedName>
    <definedName name="\k" localSheetId="44">#REF!</definedName>
    <definedName name="\k" localSheetId="21">#REF!</definedName>
    <definedName name="\k">#REF!</definedName>
    <definedName name="\m" localSheetId="44">#REF!</definedName>
    <definedName name="\m" localSheetId="21">#REF!</definedName>
    <definedName name="\m">#REF!</definedName>
    <definedName name="\n" localSheetId="44">#REF!</definedName>
    <definedName name="\n" localSheetId="21">#REF!</definedName>
    <definedName name="\n">#REF!</definedName>
    <definedName name="\o" localSheetId="44">#REF!</definedName>
    <definedName name="\o" localSheetId="21">#REF!</definedName>
    <definedName name="\o">#REF!</definedName>
    <definedName name="\p" localSheetId="44">#REF!</definedName>
    <definedName name="\p" localSheetId="21">#REF!</definedName>
    <definedName name="\p">#REF!</definedName>
    <definedName name="\s" localSheetId="44">#REF!</definedName>
    <definedName name="\s" localSheetId="21">#REF!</definedName>
    <definedName name="\s">#REF!</definedName>
    <definedName name="\t" localSheetId="44">#REF!</definedName>
    <definedName name="\t" localSheetId="21">#REF!</definedName>
    <definedName name="\t">#REF!</definedName>
    <definedName name="\w" localSheetId="44">#REF!</definedName>
    <definedName name="\w" localSheetId="21">#REF!</definedName>
    <definedName name="\w">#REF!</definedName>
    <definedName name="\x" localSheetId="44">#REF!</definedName>
    <definedName name="\x" localSheetId="21">#REF!</definedName>
    <definedName name="\x">#REF!</definedName>
    <definedName name="\z" localSheetId="44">#REF!</definedName>
    <definedName name="\z" localSheetId="21">#REF!</definedName>
    <definedName name="\z">#REF!</definedName>
    <definedName name="_" localSheetId="44">#REF!</definedName>
    <definedName name="_" localSheetId="21">#REF!</definedName>
    <definedName name="_">#REF!</definedName>
    <definedName name="_.._D__D__D__D_" localSheetId="44">#REF!</definedName>
    <definedName name="_.._D__D__D__D_" localSheetId="21">#REF!</definedName>
    <definedName name="_.._D__D__D__D_">#REF!</definedName>
    <definedName name="_________XL__ENTER_UNIT" localSheetId="44">#REF!</definedName>
    <definedName name="_________XL__ENTER_UNIT" localSheetId="21">#REF!</definedName>
    <definedName name="_________XL__ENTER_UNIT">#REF!</definedName>
    <definedName name="_______SCH6" localSheetId="44">'[1]04REL'!#REF!</definedName>
    <definedName name="_______SCH6" localSheetId="21">'[1]04REL'!#REF!</definedName>
    <definedName name="_______SCH6">'[1]04REL'!#REF!</definedName>
    <definedName name="_______XL__ENTER_UNIT" localSheetId="44">#REF!</definedName>
    <definedName name="_______XL__ENTER_UNIT" localSheetId="21">#REF!</definedName>
    <definedName name="_______XL__ENTER_UNIT">#REF!</definedName>
    <definedName name="______SCH6" localSheetId="44">'[1]04REL'!#REF!</definedName>
    <definedName name="______SCH6" localSheetId="21">'[1]04REL'!#REF!</definedName>
    <definedName name="______SCH6">'[1]04REL'!#REF!</definedName>
    <definedName name="______XL__ENTER_UNIT" localSheetId="44">#REF!</definedName>
    <definedName name="______XL__ENTER_UNIT" localSheetId="21">#REF!</definedName>
    <definedName name="______XL__ENTER_UNIT">#REF!</definedName>
    <definedName name="_____SCH6" localSheetId="44">'[1]04REL'!#REF!</definedName>
    <definedName name="_____SCH6" localSheetId="21">'[1]04REL'!#REF!</definedName>
    <definedName name="_____SCH6">'[1]04REL'!#REF!</definedName>
    <definedName name="____SCH6" localSheetId="44">'[1]04REL'!#REF!</definedName>
    <definedName name="____SCH6" localSheetId="21">'[1]04REL'!#REF!</definedName>
    <definedName name="____SCH6">'[1]04REL'!#REF!</definedName>
    <definedName name="____XL__ENTER_UNIT" localSheetId="44">#REF!</definedName>
    <definedName name="____XL__ENTER_UNIT" localSheetId="21">#REF!</definedName>
    <definedName name="____XL__ENTER_UNIT">#REF!</definedName>
    <definedName name="___INDEX_SHEET___ASAP_Utilities" localSheetId="44">#REF!</definedName>
    <definedName name="___INDEX_SHEET___ASAP_Utilities" localSheetId="21">#REF!</definedName>
    <definedName name="___INDEX_SHEET___ASAP_Utilities">#REF!</definedName>
    <definedName name="___SCH6" localSheetId="44">'[1]04REL'!#REF!</definedName>
    <definedName name="___SCH6" localSheetId="21">'[1]04REL'!#REF!</definedName>
    <definedName name="___SCH6">'[1]04REL'!#REF!</definedName>
    <definedName name="___XL__ENTER_UNIT" localSheetId="44">#REF!</definedName>
    <definedName name="___XL__ENTER_UNIT" localSheetId="21">#REF!</definedName>
    <definedName name="___XL__ENTER_UNIT">#REF!</definedName>
    <definedName name="__123Graph_A" localSheetId="44" hidden="1">[2]CE!#REF!</definedName>
    <definedName name="__123Graph_A" localSheetId="46" hidden="1">[2]CE!#REF!</definedName>
    <definedName name="__123Graph_A" localSheetId="17" hidden="1">[2]CE!#REF!</definedName>
    <definedName name="__123Graph_A" localSheetId="21" hidden="1">[2]CE!#REF!</definedName>
    <definedName name="__123Graph_A" hidden="1">[2]CE!#REF!</definedName>
    <definedName name="__123Graph_ASTNPLF" localSheetId="44" hidden="1">[2]CE!#REF!</definedName>
    <definedName name="__123Graph_ASTNPLF" localSheetId="46" hidden="1">[2]CE!#REF!</definedName>
    <definedName name="__123Graph_ASTNPLF" localSheetId="17" hidden="1">[2]CE!#REF!</definedName>
    <definedName name="__123Graph_ASTNPLF" localSheetId="21" hidden="1">[2]CE!#REF!</definedName>
    <definedName name="__123Graph_ASTNPLF" hidden="1">[2]CE!#REF!</definedName>
    <definedName name="__123Graph_B" localSheetId="44" hidden="1">[2]CE!#REF!</definedName>
    <definedName name="__123Graph_B" localSheetId="46" hidden="1">[2]CE!#REF!</definedName>
    <definedName name="__123Graph_B" localSheetId="17" hidden="1">[2]CE!#REF!</definedName>
    <definedName name="__123Graph_B" localSheetId="21" hidden="1">[2]CE!#REF!</definedName>
    <definedName name="__123Graph_B" hidden="1">[2]CE!#REF!</definedName>
    <definedName name="__123Graph_BSTNPLF" localSheetId="44" hidden="1">[2]CE!#REF!</definedName>
    <definedName name="__123Graph_BSTNPLF" localSheetId="46" hidden="1">[2]CE!#REF!</definedName>
    <definedName name="__123Graph_BSTNPLF" localSheetId="17" hidden="1">[2]CE!#REF!</definedName>
    <definedName name="__123Graph_BSTNPLF" localSheetId="21" hidden="1">[2]CE!#REF!</definedName>
    <definedName name="__123Graph_BSTNPLF" hidden="1">[2]CE!#REF!</definedName>
    <definedName name="__123Graph_C" localSheetId="44" hidden="1">[2]CE!#REF!</definedName>
    <definedName name="__123Graph_C" localSheetId="46" hidden="1">[2]CE!#REF!</definedName>
    <definedName name="__123Graph_C" localSheetId="17" hidden="1">[2]CE!#REF!</definedName>
    <definedName name="__123Graph_C" localSheetId="21" hidden="1">[2]CE!#REF!</definedName>
    <definedName name="__123Graph_C" hidden="1">[2]CE!#REF!</definedName>
    <definedName name="__123Graph_CSTNPLF" localSheetId="44" hidden="1">[2]CE!#REF!</definedName>
    <definedName name="__123Graph_CSTNPLF" localSheetId="46" hidden="1">[2]CE!#REF!</definedName>
    <definedName name="__123Graph_CSTNPLF" localSheetId="17" hidden="1">[2]CE!#REF!</definedName>
    <definedName name="__123Graph_CSTNPLF" localSheetId="21" hidden="1">[2]CE!#REF!</definedName>
    <definedName name="__123Graph_CSTNPLF" hidden="1">[2]CE!#REF!</definedName>
    <definedName name="__123Graph_X" localSheetId="44" hidden="1">[2]CE!#REF!</definedName>
    <definedName name="__123Graph_X" localSheetId="46" hidden="1">[2]CE!#REF!</definedName>
    <definedName name="__123Graph_X" localSheetId="17" hidden="1">[2]CE!#REF!</definedName>
    <definedName name="__123Graph_X" localSheetId="21" hidden="1">[2]CE!#REF!</definedName>
    <definedName name="__123Graph_X" hidden="1">[2]CE!#REF!</definedName>
    <definedName name="__123Graph_XSTNPLF" localSheetId="44" hidden="1">[2]CE!#REF!</definedName>
    <definedName name="__123Graph_XSTNPLF" localSheetId="46" hidden="1">[2]CE!#REF!</definedName>
    <definedName name="__123Graph_XSTNPLF" localSheetId="17" hidden="1">[2]CE!#REF!</definedName>
    <definedName name="__123Graph_XSTNPLF" localSheetId="21" hidden="1">[2]CE!#REF!</definedName>
    <definedName name="__123Graph_XSTNPLF" hidden="1">[2]CE!#REF!</definedName>
    <definedName name="__DOWN_10__GOTO" localSheetId="44">#REF!</definedName>
    <definedName name="__DOWN_10__GOTO" localSheetId="21">#REF!</definedName>
    <definedName name="__DOWN_10__GOTO">#REF!</definedName>
    <definedName name="__ES84__EW84_0." localSheetId="44">#REF!</definedName>
    <definedName name="__ES84__EW84_0." localSheetId="21">#REF!</definedName>
    <definedName name="__ES84__EW84_0.">#REF!</definedName>
    <definedName name="__GOTO_EP84__AV" localSheetId="44">#REF!</definedName>
    <definedName name="__GOTO_EP84__AV" localSheetId="21">#REF!</definedName>
    <definedName name="__GOTO_EP84__AV">#REF!</definedName>
    <definedName name="__SCH6" localSheetId="44">'[1]04REL'!#REF!</definedName>
    <definedName name="__SCH6" localSheetId="21">'[1]04REL'!#REF!</definedName>
    <definedName name="__SCH6">'[1]04REL'!#REF!</definedName>
    <definedName name="__SUM_CS57..CS6" localSheetId="44">#REF!</definedName>
    <definedName name="__SUM_CS57..CS6" localSheetId="21">#REF!</definedName>
    <definedName name="__SUM_CS57..CS6">#REF!</definedName>
    <definedName name="__SUM_CS65..CS7" localSheetId="44">#REF!</definedName>
    <definedName name="__SUM_CS65..CS7" localSheetId="21">#REF!</definedName>
    <definedName name="__SUM_CS65..CS7">#REF!</definedName>
    <definedName name="__SUM_FQ20..FQ2" localSheetId="44">#REF!</definedName>
    <definedName name="__SUM_FQ20..FQ2" localSheetId="21">#REF!</definedName>
    <definedName name="__SUM_FQ20..FQ2">#REF!</definedName>
    <definedName name="__SUM_FQ28..FQ3" localSheetId="44">#REF!</definedName>
    <definedName name="__SUM_FQ28..FQ3" localSheetId="21">#REF!</definedName>
    <definedName name="__SUM_FQ28..FQ3">#REF!</definedName>
    <definedName name="__XL__ENTER_UNIT" localSheetId="44">#REF!</definedName>
    <definedName name="__XL__ENTER_UNIT" localSheetId="21">#REF!</definedName>
    <definedName name="__XL__ENTER_UNIT">#REF!</definedName>
    <definedName name="_5" localSheetId="44">#REF!</definedName>
    <definedName name="_5" localSheetId="21">#REF!</definedName>
    <definedName name="_5">#REF!</definedName>
    <definedName name="_6" localSheetId="44">#REF!</definedName>
    <definedName name="_6" localSheetId="21">#REF!</definedName>
    <definedName name="_6">#REF!</definedName>
    <definedName name="_D___GOTO_GK112" localSheetId="44">#REF!</definedName>
    <definedName name="_D___GOTO_GK112" localSheetId="21">#REF!</definedName>
    <definedName name="_D___GOTO_GK112">#REF!</definedName>
    <definedName name="_D___GOTO_GK56_" localSheetId="44">#REF!</definedName>
    <definedName name="_D___GOTO_GK56_" localSheetId="21">#REF!</definedName>
    <definedName name="_D___GOTO_GK56_">#REF!</definedName>
    <definedName name="_D__D___L___GOT" localSheetId="44">#REF!</definedName>
    <definedName name="_D__D___L___GOT" localSheetId="21">#REF!</definedName>
    <definedName name="_D__D___L___GOT">#REF!</definedName>
    <definedName name="_D__D__D___D__D" localSheetId="44">#REF!</definedName>
    <definedName name="_D__D__D___D__D" localSheetId="21">#REF!</definedName>
    <definedName name="_D__D__D___D__D">#REF!</definedName>
    <definedName name="_D_19__U_19_" localSheetId="44">#REF!</definedName>
    <definedName name="_D_19__U_19_" localSheetId="21">#REF!</definedName>
    <definedName name="_D_19__U_19_">#REF!</definedName>
    <definedName name="_DOWN_9__RIGHT_" localSheetId="44">#REF!</definedName>
    <definedName name="_DOWN_9__RIGHT_" localSheetId="21">#REF!</definedName>
    <definedName name="_DOWN_9__RIGHT_">#REF!</definedName>
    <definedName name="_Fill" localSheetId="44" hidden="1">'F15'!#REF!</definedName>
    <definedName name="_Fill" localSheetId="46" hidden="1">#REF!</definedName>
    <definedName name="_Fill" localSheetId="17" hidden="1">#REF!</definedName>
    <definedName name="_Fill" localSheetId="21" hidden="1">#REF!</definedName>
    <definedName name="_Fill" hidden="1">#REF!</definedName>
    <definedName name="_xlnm._FilterDatabase" localSheetId="4" hidden="1">'F2.1'!$A$10:$X$10</definedName>
    <definedName name="_xlnm._FilterDatabase" localSheetId="18" hidden="1">'F4.1'!$S$9:$S$101</definedName>
    <definedName name="_xlnm._FilterDatabase" localSheetId="19" hidden="1">'F4.2'!$A$6:$BK$101</definedName>
    <definedName name="_FROM__R__R__08" localSheetId="44">#REF!</definedName>
    <definedName name="_FROM__R__R__08" localSheetId="21">#REF!</definedName>
    <definedName name="_FROM__R__R__08">#REF!</definedName>
    <definedName name="_FROM__R__R__16" localSheetId="44">#REF!</definedName>
    <definedName name="_FROM__R__R__16" localSheetId="21">#REF!</definedName>
    <definedName name="_FROM__R__R__16">#REF!</definedName>
    <definedName name="_GENERATION__R_" localSheetId="44">#REF!</definedName>
    <definedName name="_GENERATION__R_" localSheetId="21">#REF!</definedName>
    <definedName name="_GENERATION__R_">#REF!</definedName>
    <definedName name="_GOTO_BT49__R__" localSheetId="44">#REF!</definedName>
    <definedName name="_GOTO_BT49__R__" localSheetId="21">#REF!</definedName>
    <definedName name="_GOTO_BT49__R__">#REF!</definedName>
    <definedName name="_GOTO_CF11__?__" localSheetId="44">#REF!</definedName>
    <definedName name="_GOTO_CF11__?__" localSheetId="21">#REF!</definedName>
    <definedName name="_GOTO_CF11__?__">#REF!</definedName>
    <definedName name="_GOTO_EO75__WEK" localSheetId="44">#REF!</definedName>
    <definedName name="_GOTO_EO75__WEK" localSheetId="21">#REF!</definedName>
    <definedName name="_GOTO_EO75__WEK">#REF!</definedName>
    <definedName name="_GOTO_EP82__PEA" localSheetId="44">#REF!</definedName>
    <definedName name="_GOTO_EP82__PEA" localSheetId="21">#REF!</definedName>
    <definedName name="_GOTO_EP82__PEA">#REF!</definedName>
    <definedName name="_GOTO_EP86__PER" localSheetId="44">#REF!</definedName>
    <definedName name="_GOTO_EP86__PER" localSheetId="21">#REF!</definedName>
    <definedName name="_GOTO_EP86__PER">#REF!</definedName>
    <definedName name="_GOTO_FO112__RV" localSheetId="44">#REF!</definedName>
    <definedName name="_GOTO_FO112__RV" localSheetId="21">#REF!</definedName>
    <definedName name="_GOTO_FO112__RV">#REF!</definedName>
    <definedName name="_GOTO_FO56__RV_" localSheetId="44">#REF!</definedName>
    <definedName name="_GOTO_FO56__RV_" localSheetId="21">#REF!</definedName>
    <definedName name="_GOTO_FO56__RV_">#REF!</definedName>
    <definedName name="_HOME__GOTO_M14" localSheetId="44">#REF!</definedName>
    <definedName name="_HOME__GOTO_M14" localSheetId="21">#REF!</definedName>
    <definedName name="_HOME__GOTO_M14">#REF!</definedName>
    <definedName name="_Order1" hidden="1">255</definedName>
    <definedName name="_PLF__R__R___ES" localSheetId="44">#REF!</definedName>
    <definedName name="_PLF__R__R___ES" localSheetId="21">#REF!</definedName>
    <definedName name="_PLF__R__R___ES">#REF!</definedName>
    <definedName name="_RV_DOWN_6__LEF" localSheetId="44">#REF!</definedName>
    <definedName name="_RV_DOWN_6__LEF" localSheetId="21">#REF!</definedName>
    <definedName name="_RV_DOWN_6__LEF">#REF!</definedName>
    <definedName name="_SCH6" localSheetId="44">'[1]04REL'!#REF!</definedName>
    <definedName name="_SCH6" localSheetId="21">'[1]04REL'!#REF!</definedName>
    <definedName name="_SCH6">'[1]04REL'!#REF!</definedName>
    <definedName name="_SUM_DI14..DI21" localSheetId="44">#REF!</definedName>
    <definedName name="_SUM_DI14..DI21" localSheetId="21">#REF!</definedName>
    <definedName name="_SUM_DI14..DI21">#REF!</definedName>
    <definedName name="_SUM_DI22..DI29" localSheetId="44">#REF!</definedName>
    <definedName name="_SUM_DI22..DI29" localSheetId="21">#REF!</definedName>
    <definedName name="_SUM_DI22..DI29">#REF!</definedName>
    <definedName name="_U__END__U__D__" localSheetId="44">#REF!</definedName>
    <definedName name="_U__END__U__D__" localSheetId="21">#REF!</definedName>
    <definedName name="_U__END__U__D__">#REF!</definedName>
    <definedName name="_U__U__END__U__" localSheetId="44">#REF!</definedName>
    <definedName name="_U__U__END__U__" localSheetId="21">#REF!</definedName>
    <definedName name="_U__U__END__U__">#REF!</definedName>
    <definedName name="_U__U__U__U__U_" localSheetId="44">#REF!</definedName>
    <definedName name="_U__U__U__U__U_" localSheetId="21">#REF!</definedName>
    <definedName name="_U__U__U__U__U_">#REF!</definedName>
    <definedName name="_WGPD_GOTO_CO10" localSheetId="44">#REF!</definedName>
    <definedName name="_WGPD_GOTO_CO10" localSheetId="21">#REF!</definedName>
    <definedName name="_WGPD_GOTO_CO10">#REF!</definedName>
    <definedName name="A" localSheetId="44">#REF!</definedName>
    <definedName name="A" localSheetId="21">#REF!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44">#REF!</definedName>
    <definedName name="AV" localSheetId="21">#REF!</definedName>
    <definedName name="AV">#REF!</definedName>
    <definedName name="C_Data_1" localSheetId="44">'[5]2000-01'!#REF!</definedName>
    <definedName name="C_Data_1" localSheetId="21">'[5]2000-01'!#REF!</definedName>
    <definedName name="C_Data_1">'[5]2000-01'!#REF!</definedName>
    <definedName name="C_Data_2" localSheetId="44">'[5]2000-01'!#REF!</definedName>
    <definedName name="C_Data_2" localSheetId="21">'[5]2000-01'!#REF!</definedName>
    <definedName name="C_Data_2">'[5]2000-01'!#REF!</definedName>
    <definedName name="CM10_C_RIGHT___" localSheetId="44">#REF!</definedName>
    <definedName name="CM10_C_RIGHT___" localSheetId="21">#REF!</definedName>
    <definedName name="CM10_C_RIGHT___">#REF!</definedName>
    <definedName name="CV" localSheetId="44">#REF!</definedName>
    <definedName name="CV" localSheetId="21">#REF!</definedName>
    <definedName name="CV">#REF!</definedName>
    <definedName name="D">#N/A</definedName>
    <definedName name="Debt_Pct">[6]Assumptions!$B$13</definedName>
    <definedName name="dpc">'[7]dpc cost'!$D$1</definedName>
    <definedName name="E_315MVA_Addl_Page1" localSheetId="44">#REF!</definedName>
    <definedName name="E_315MVA_Addl_Page1" localSheetId="21">#REF!</definedName>
    <definedName name="E_315MVA_Addl_Page1">#REF!</definedName>
    <definedName name="E_315MVA_Addl_Page2" localSheetId="44">#REF!</definedName>
    <definedName name="E_315MVA_Addl_Page2" localSheetId="21">#REF!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44">#REF!</definedName>
    <definedName name="EscAGExp" localSheetId="21">#REF!</definedName>
    <definedName name="EscAGExp">#REF!</definedName>
    <definedName name="EscCoal" localSheetId="44">#REF!</definedName>
    <definedName name="EscCoal" localSheetId="21">#REF!</definedName>
    <definedName name="EscCoal">#REF!</definedName>
    <definedName name="EscDomGas" localSheetId="44">#REF!</definedName>
    <definedName name="EscDomGas" localSheetId="21">#REF!</definedName>
    <definedName name="EscDomGas">#REF!</definedName>
    <definedName name="EscEmpExp" localSheetId="44">#REF!</definedName>
    <definedName name="EscEmpExp" localSheetId="21">#REF!</definedName>
    <definedName name="EscEmpExp">#REF!</definedName>
    <definedName name="EscLNGas" localSheetId="44">#REF!</definedName>
    <definedName name="EscLNGas" localSheetId="21">#REF!</definedName>
    <definedName name="EscLNGas">#REF!</definedName>
    <definedName name="EscOil" localSheetId="44">#REF!</definedName>
    <definedName name="EscOil" localSheetId="21">#REF!</definedName>
    <definedName name="EscOil">#REF!</definedName>
    <definedName name="EscOtherIncome" localSheetId="44">#REF!</definedName>
    <definedName name="EscOtherIncome" localSheetId="21">#REF!</definedName>
    <definedName name="EscOtherIncome">#REF!</definedName>
    <definedName name="EscOtherVarCharge" localSheetId="44">#REF!</definedName>
    <definedName name="EscOtherVarCharge" localSheetId="21">#REF!</definedName>
    <definedName name="EscOtherVarCharge">#REF!</definedName>
    <definedName name="EscRMExp" localSheetId="44">#REF!</definedName>
    <definedName name="EscRMExp" localSheetId="21">#REF!</definedName>
    <definedName name="EscRMExp">#REF!</definedName>
    <definedName name="FAX" localSheetId="44">#REF!</definedName>
    <definedName name="FAX" localSheetId="21">#REF!</definedName>
    <definedName name="FAX">#REF!</definedName>
    <definedName name="FinCharge">[6]Assumptions!$B$25</definedName>
    <definedName name="Fuel_Exp_CY" localSheetId="44">#REF!</definedName>
    <definedName name="Fuel_Exp_CY" localSheetId="21">#REF!</definedName>
    <definedName name="Fuel_Exp_CY">#REF!</definedName>
    <definedName name="Fuel_Exp_EY" localSheetId="44">#REF!</definedName>
    <definedName name="Fuel_Exp_EY" localSheetId="21">#REF!</definedName>
    <definedName name="Fuel_Exp_EY">#REF!</definedName>
    <definedName name="Fuel_Exp_PY" localSheetId="44">#REF!</definedName>
    <definedName name="Fuel_Exp_PY" localSheetId="21">#REF!</definedName>
    <definedName name="Fuel_Exp_PY">#REF!</definedName>
    <definedName name="GR" localSheetId="44">#REF!</definedName>
    <definedName name="GR" localSheetId="21">#REF!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44">#REF!</definedName>
    <definedName name="IntRate12" localSheetId="21">#REF!</definedName>
    <definedName name="IntRate12">#REF!</definedName>
    <definedName name="IntRate13" localSheetId="44">#REF!</definedName>
    <definedName name="IntRate13" localSheetId="21">#REF!</definedName>
    <definedName name="IntRate13">#REF!</definedName>
    <definedName name="IntRateWC11" localSheetId="44">#REF!</definedName>
    <definedName name="IntRateWC11" localSheetId="21">#REF!</definedName>
    <definedName name="IntRateWC11">#REF!</definedName>
    <definedName name="IntRateWC12" localSheetId="44">#REF!</definedName>
    <definedName name="IntRateWC12" localSheetId="21">#REF!</definedName>
    <definedName name="IntRateWC12">#REF!</definedName>
    <definedName name="IntRateWC13" localSheetId="44">#REF!</definedName>
    <definedName name="IntRateWC13" localSheetId="21">#REF!</definedName>
    <definedName name="IntRateWC13">#REF!</definedName>
    <definedName name="Intt_Charge_cY" localSheetId="44">#REF!,#REF!</definedName>
    <definedName name="Intt_Charge_cY" localSheetId="21">#REF!,#REF!</definedName>
    <definedName name="Intt_Charge_cY">#REF!,#REF!</definedName>
    <definedName name="Intt_Charge_cy_1">'[10]A 3.7'!$H$35,'[10]A 3.7'!$H$44</definedName>
    <definedName name="Intt_Charge_eY" localSheetId="44">#REF!,#REF!</definedName>
    <definedName name="Intt_Charge_eY" localSheetId="21">#REF!,#REF!</definedName>
    <definedName name="Intt_Charge_eY">#REF!,#REF!</definedName>
    <definedName name="Intt_Charge_ey_1">'[10]A 3.7'!$I$35,'[10]A 3.7'!$I$44</definedName>
    <definedName name="Intt_Charge_PY" localSheetId="44">#REF!,#REF!</definedName>
    <definedName name="Intt_Charge_PY" localSheetId="21">#REF!,#REF!</definedName>
    <definedName name="Intt_Charge_PY">#REF!,#REF!</definedName>
    <definedName name="Intt_Charge_py_1">'[10]A 3.7'!$G$35,'[10]A 3.7'!$G$44</definedName>
    <definedName name="IsCircular" localSheetId="44">#REF!</definedName>
    <definedName name="IsCircular" localSheetId="21">#REF!</definedName>
    <definedName name="IsCircular">#REF!</definedName>
    <definedName name="K2000_">#N/A</definedName>
    <definedName name="LTR_M_NEW" localSheetId="44">#REF!</definedName>
    <definedName name="LTR_M_NEW" localSheetId="21">#REF!</definedName>
    <definedName name="LTR_M_NEW">#REF!</definedName>
    <definedName name="LTR_MOR" localSheetId="44">#REF!</definedName>
    <definedName name="LTR_MOR" localSheetId="21">#REF!</definedName>
    <definedName name="LTR_MOR">#REF!</definedName>
    <definedName name="new" localSheetId="44" hidden="1">[11]CE!#REF!</definedName>
    <definedName name="new" localSheetId="46" hidden="1">[11]CE!#REF!</definedName>
    <definedName name="new" localSheetId="17" hidden="1">[11]CE!#REF!</definedName>
    <definedName name="new" localSheetId="21" hidden="1">[11]CE!#REF!</definedName>
    <definedName name="new" hidden="1">[11]CE!#REF!</definedName>
    <definedName name="O" localSheetId="44">#REF!</definedName>
    <definedName name="O" localSheetId="21">#REF!</definedName>
    <definedName name="O">#REF!</definedName>
    <definedName name="p" localSheetId="44">#REF!</definedName>
    <definedName name="p" localSheetId="21">#REF!</definedName>
    <definedName name="p">#REF!</definedName>
    <definedName name="PAGE1" localSheetId="44">#REF!</definedName>
    <definedName name="PAGE1" localSheetId="21">#REF!</definedName>
    <definedName name="PAGE1">#REF!</definedName>
    <definedName name="page10" localSheetId="44">#REF!</definedName>
    <definedName name="page10" localSheetId="21">#REF!</definedName>
    <definedName name="page10">#REF!</definedName>
    <definedName name="PAGE10_6" localSheetId="44">#REF!</definedName>
    <definedName name="PAGE10_6" localSheetId="21">#REF!</definedName>
    <definedName name="PAGE10_6">#REF!</definedName>
    <definedName name="PAGE11_6" localSheetId="44">#REF!</definedName>
    <definedName name="PAGE11_6" localSheetId="21">#REF!</definedName>
    <definedName name="PAGE11_6">#REF!</definedName>
    <definedName name="PAGE12_6" localSheetId="44">#REF!</definedName>
    <definedName name="PAGE12_6" localSheetId="21">#REF!</definedName>
    <definedName name="PAGE12_6">#REF!</definedName>
    <definedName name="PAGE14" localSheetId="44">#REF!</definedName>
    <definedName name="PAGE14" localSheetId="21">#REF!</definedName>
    <definedName name="PAGE14">#REF!</definedName>
    <definedName name="PAGE15" localSheetId="44">#REF!</definedName>
    <definedName name="PAGE15" localSheetId="21">#REF!</definedName>
    <definedName name="PAGE15">#REF!</definedName>
    <definedName name="PAGE16" localSheetId="44">#REF!</definedName>
    <definedName name="PAGE16" localSheetId="21">#REF!</definedName>
    <definedName name="PAGE16">#REF!</definedName>
    <definedName name="PAGE17" localSheetId="44">#REF!</definedName>
    <definedName name="PAGE17" localSheetId="21">#REF!</definedName>
    <definedName name="PAGE17">#REF!</definedName>
    <definedName name="PAGE18" localSheetId="44">#REF!</definedName>
    <definedName name="PAGE18" localSheetId="21">#REF!</definedName>
    <definedName name="PAGE18">#REF!</definedName>
    <definedName name="PAGE19" localSheetId="44">#REF!</definedName>
    <definedName name="PAGE19" localSheetId="21">#REF!</definedName>
    <definedName name="PAGE19">#REF!</definedName>
    <definedName name="PAGE2" localSheetId="44">#REF!</definedName>
    <definedName name="PAGE2" localSheetId="21">#REF!</definedName>
    <definedName name="PAGE2">#REF!</definedName>
    <definedName name="PAGE2_6" localSheetId="44">#REF!</definedName>
    <definedName name="PAGE2_6" localSheetId="21">#REF!</definedName>
    <definedName name="PAGE2_6">#REF!</definedName>
    <definedName name="PAGE20" localSheetId="44">#REF!</definedName>
    <definedName name="PAGE20" localSheetId="21">#REF!</definedName>
    <definedName name="PAGE20">#REF!</definedName>
    <definedName name="PAGE21" localSheetId="44">#REF!</definedName>
    <definedName name="PAGE21" localSheetId="21">#REF!</definedName>
    <definedName name="PAGE21">#REF!</definedName>
    <definedName name="PAGE210" localSheetId="44">#REF!</definedName>
    <definedName name="PAGE210" localSheetId="21">#REF!</definedName>
    <definedName name="PAGE210">#REF!</definedName>
    <definedName name="PAGE22" localSheetId="44">#REF!</definedName>
    <definedName name="PAGE22" localSheetId="21">#REF!</definedName>
    <definedName name="PAGE22">#REF!</definedName>
    <definedName name="PAGE23" localSheetId="44">#REF!</definedName>
    <definedName name="PAGE23" localSheetId="21">#REF!</definedName>
    <definedName name="PAGE23">#REF!</definedName>
    <definedName name="PAGE24" localSheetId="44">#REF!</definedName>
    <definedName name="PAGE24" localSheetId="21">#REF!</definedName>
    <definedName name="PAGE24">#REF!</definedName>
    <definedName name="PAGE25" localSheetId="44">#REF!</definedName>
    <definedName name="PAGE25" localSheetId="21">#REF!</definedName>
    <definedName name="PAGE25">#REF!</definedName>
    <definedName name="PAGE26" localSheetId="44">#REF!</definedName>
    <definedName name="PAGE26" localSheetId="21">#REF!</definedName>
    <definedName name="PAGE26">#REF!</definedName>
    <definedName name="PAGE27" localSheetId="44">#REF!</definedName>
    <definedName name="PAGE27" localSheetId="21">#REF!</definedName>
    <definedName name="PAGE27">#REF!</definedName>
    <definedName name="PAGE28" localSheetId="44">#REF!</definedName>
    <definedName name="PAGE28" localSheetId="21">#REF!</definedName>
    <definedName name="PAGE28">#REF!</definedName>
    <definedName name="PAGE29" localSheetId="44">#REF!</definedName>
    <definedName name="PAGE29" localSheetId="21">#REF!</definedName>
    <definedName name="PAGE29">#REF!</definedName>
    <definedName name="PAGE3_6" localSheetId="44">#REF!</definedName>
    <definedName name="PAGE3_6" localSheetId="21">#REF!</definedName>
    <definedName name="PAGE3_6">#REF!</definedName>
    <definedName name="page34" localSheetId="44">#REF!</definedName>
    <definedName name="page34" localSheetId="21">#REF!</definedName>
    <definedName name="page34">#REF!</definedName>
    <definedName name="Page35" localSheetId="44">#REF!</definedName>
    <definedName name="Page35" localSheetId="21">#REF!</definedName>
    <definedName name="Page35">#REF!</definedName>
    <definedName name="PAGE4_6" localSheetId="44">#REF!</definedName>
    <definedName name="PAGE4_6" localSheetId="21">#REF!</definedName>
    <definedName name="PAGE4_6">#REF!</definedName>
    <definedName name="PAGE5_6" localSheetId="44">#REF!</definedName>
    <definedName name="PAGE5_6" localSheetId="21">#REF!</definedName>
    <definedName name="PAGE5_6">#REF!</definedName>
    <definedName name="page50" localSheetId="44">#REF!</definedName>
    <definedName name="page50" localSheetId="21">#REF!</definedName>
    <definedName name="page50">#REF!</definedName>
    <definedName name="page51" localSheetId="44">#REF!</definedName>
    <definedName name="page51" localSheetId="21">#REF!</definedName>
    <definedName name="page51">#REF!</definedName>
    <definedName name="page52" localSheetId="44">#REF!</definedName>
    <definedName name="page52" localSheetId="21">#REF!</definedName>
    <definedName name="page52">#REF!</definedName>
    <definedName name="PAGE6" localSheetId="44">#REF!</definedName>
    <definedName name="PAGE6" localSheetId="21">#REF!</definedName>
    <definedName name="PAGE6">#REF!</definedName>
    <definedName name="PAGE6_6" localSheetId="44">#REF!</definedName>
    <definedName name="PAGE6_6" localSheetId="21">#REF!</definedName>
    <definedName name="PAGE6_6">#REF!</definedName>
    <definedName name="PAGE7" localSheetId="44">#REF!</definedName>
    <definedName name="PAGE7" localSheetId="21">#REF!</definedName>
    <definedName name="PAGE7">#REF!</definedName>
    <definedName name="PAGE7_6" localSheetId="44">#REF!</definedName>
    <definedName name="PAGE7_6" localSheetId="21">#REF!</definedName>
    <definedName name="PAGE7_6">#REF!</definedName>
    <definedName name="PAGE8" localSheetId="44">#REF!</definedName>
    <definedName name="PAGE8" localSheetId="21">#REF!</definedName>
    <definedName name="PAGE8">#REF!</definedName>
    <definedName name="PAGE8_6U1A" localSheetId="44">#REF!</definedName>
    <definedName name="PAGE8_6U1A" localSheetId="21">#REF!</definedName>
    <definedName name="PAGE8_6U1A">#REF!</definedName>
    <definedName name="PAGE8_6U1B" localSheetId="44">#REF!</definedName>
    <definedName name="PAGE8_6U1B" localSheetId="21">#REF!</definedName>
    <definedName name="PAGE8_6U1B">#REF!</definedName>
    <definedName name="PAGE8_6U2A" localSheetId="44">#REF!</definedName>
    <definedName name="PAGE8_6U2A" localSheetId="21">#REF!</definedName>
    <definedName name="PAGE8_6U2A">#REF!</definedName>
    <definedName name="PAGE8_6U2B" localSheetId="44">#REF!</definedName>
    <definedName name="PAGE8_6U2B" localSheetId="21">#REF!</definedName>
    <definedName name="PAGE8_6U2B">#REF!</definedName>
    <definedName name="PAGE8_6U3A" localSheetId="44">#REF!</definedName>
    <definedName name="PAGE8_6U3A" localSheetId="21">#REF!</definedName>
    <definedName name="PAGE8_6U3A">#REF!</definedName>
    <definedName name="PAGE8_6U3B" localSheetId="44">#REF!</definedName>
    <definedName name="PAGE8_6U3B" localSheetId="21">#REF!</definedName>
    <definedName name="PAGE8_6U3B">#REF!</definedName>
    <definedName name="PAGE9" localSheetId="44">#REF!</definedName>
    <definedName name="PAGE9" localSheetId="21">#REF!</definedName>
    <definedName name="PAGE9">#REF!</definedName>
    <definedName name="PAGE9_6" localSheetId="44">#REF!</definedName>
    <definedName name="PAGE9_6" localSheetId="21">#REF!</definedName>
    <definedName name="PAGE9_6">#REF!</definedName>
    <definedName name="Pop_Ratio" localSheetId="44">#REF!</definedName>
    <definedName name="Pop_Ratio" localSheetId="21">#REF!</definedName>
    <definedName name="Pop_Ratio">#REF!</definedName>
    <definedName name="PRF_1" localSheetId="44">#REF!</definedName>
    <definedName name="PRF_1" localSheetId="21">#REF!</definedName>
    <definedName name="PRF_1">#REF!</definedName>
    <definedName name="PRF_2_P1" localSheetId="44">#REF!</definedName>
    <definedName name="PRF_2_P1" localSheetId="21">#REF!</definedName>
    <definedName name="PRF_2_P1">#REF!</definedName>
    <definedName name="PRF_2_P2" localSheetId="44">#REF!</definedName>
    <definedName name="PRF_2_P2" localSheetId="21">#REF!</definedName>
    <definedName name="PRF_2_P2">#REF!</definedName>
    <definedName name="PRF_3_AN1" localSheetId="44">#REF!</definedName>
    <definedName name="PRF_3_AN1" localSheetId="21">#REF!</definedName>
    <definedName name="PRF_3_AN1">#REF!</definedName>
    <definedName name="PRF_3_AN2" localSheetId="44">#REF!</definedName>
    <definedName name="PRF_3_AN2" localSheetId="21">#REF!</definedName>
    <definedName name="PRF_3_AN2">#REF!</definedName>
    <definedName name="PRF_3_AN3" localSheetId="44">#REF!</definedName>
    <definedName name="PRF_3_AN3" localSheetId="21">#REF!</definedName>
    <definedName name="PRF_3_AN3">#REF!</definedName>
    <definedName name="_xlnm.Print_Area" localSheetId="2">'F1'!$A$1:$X$30</definedName>
    <definedName name="_xlnm.Print_Area" localSheetId="3">'F1.1'!$A$1:$Q$18</definedName>
    <definedName name="_xlnm.Print_Area" localSheetId="32">'F11'!$A$1:$T$29</definedName>
    <definedName name="_xlnm.Print_Area" localSheetId="44">#REF!</definedName>
    <definedName name="_xlnm.Print_Area" localSheetId="46">'F17'!$A$1:$J$69</definedName>
    <definedName name="_xlnm.Print_Area" localSheetId="4">'F2.1'!$A$1:$X$62</definedName>
    <definedName name="_xlnm.Print_Area" localSheetId="5">'F2.2'!$A$1:$X$199</definedName>
    <definedName name="_xlnm.Print_Area" localSheetId="6">'F2.3'!$A$1:$U$141</definedName>
    <definedName name="_xlnm.Print_Area" localSheetId="7">'F2.4'!$A$1:$N$74</definedName>
    <definedName name="_xlnm.Print_Area" localSheetId="8">'F2.5'!$A$1:$T$19</definedName>
    <definedName name="_xlnm.Print_Area" localSheetId="9">'F2.6'!$A$1:$U$19</definedName>
    <definedName name="_xlnm.Print_Area" localSheetId="10">'F2.7'!$A$1:$N$36</definedName>
    <definedName name="_xlnm.Print_Area" localSheetId="11">'F2.8'!$A$1:$P$28</definedName>
    <definedName name="_xlnm.Print_Area" localSheetId="12">'F3'!$A$1:$X$28</definedName>
    <definedName name="_xlnm.Print_Area" localSheetId="13">'F3.1'!$A$1:$AB$69</definedName>
    <definedName name="_xlnm.Print_Area" localSheetId="14">'F3.2'!$A$1:$M$79</definedName>
    <definedName name="_xlnm.Print_Area" localSheetId="18">'F4.1'!$A$1:$S$103</definedName>
    <definedName name="_xlnm.Print_Area" localSheetId="19">'F4.2'!$A$1:$BD$235</definedName>
    <definedName name="_xlnm.Print_Area" localSheetId="20">'F4.3'!$A$1:$N$1846</definedName>
    <definedName name="_xlnm.Print_Area" localSheetId="22">'F5'!$A$1:$AG$166</definedName>
    <definedName name="_xlnm.Print_Area" localSheetId="21">#REF!</definedName>
    <definedName name="_xlnm.Print_Area" localSheetId="23">'F5.1 (N)'!$A$1:$AD$93</definedName>
    <definedName name="_xlnm.Print_Area" localSheetId="24">'F6'!$A$1:$R$325</definedName>
    <definedName name="_xlnm.Print_Area" localSheetId="25">'F7'!$A$1:$R$45</definedName>
    <definedName name="_xlnm.Print_Area" localSheetId="27">'F9'!$A$1:$N$31</definedName>
    <definedName name="_xlnm.Print_Area" localSheetId="0">Index!$A$1:$D$59</definedName>
    <definedName name="_xlnm.Print_Area">#REF!</definedName>
    <definedName name="PRINT_AREA_MI" localSheetId="44">#REF!</definedName>
    <definedName name="PRINT_AREA_MI" localSheetId="21">#REF!</definedName>
    <definedName name="PRINT_AREA_MI">#REF!</definedName>
    <definedName name="_xlnm.Print_Titles" localSheetId="4">'F2.1'!$B:$D,'F2.1'!$1:$9</definedName>
    <definedName name="_xlnm.Print_Titles" localSheetId="5">'F2.2'!$B:$D,'F2.2'!$1:$8</definedName>
    <definedName name="_xlnm.Print_Titles" localSheetId="6">'F2.3'!$B:$D,'F2.3'!$1:$9</definedName>
    <definedName name="_xlnm.Print_Titles" localSheetId="7">'F2.4'!$2:$4</definedName>
    <definedName name="_xlnm.Print_Titles" localSheetId="8">'F2.5'!$B:$D,'F2.5'!$2:$4</definedName>
    <definedName name="_xlnm.Print_Titles" localSheetId="18">'F4.1'!$A:$B,'F4.1'!$1:$6</definedName>
    <definedName name="_xlnm.Print_Titles" localSheetId="19">'F4.2'!$A:$B,'F4.2'!$1:$6</definedName>
    <definedName name="_xlnm.Print_Titles" localSheetId="20">'F4.3'!$A:$B,'F4.3'!$1:$6</definedName>
    <definedName name="q">'[12]A 3.7'!$I$35,'[12]A 3.7'!$I$44</definedName>
    <definedName name="S" localSheetId="44">#REF!</definedName>
    <definedName name="S" localSheetId="21">#REF!</definedName>
    <definedName name="S">#REF!</definedName>
    <definedName name="SECOAL" localSheetId="44">#REF!</definedName>
    <definedName name="SECOAL" localSheetId="21">#REF!</definedName>
    <definedName name="SECOAL">#REF!</definedName>
    <definedName name="SEOREP" localSheetId="44">#REF!</definedName>
    <definedName name="SEOREP" localSheetId="21">#REF!</definedName>
    <definedName name="SEOREP">#REF!</definedName>
    <definedName name="SEREPORT" localSheetId="44">#REF!</definedName>
    <definedName name="SEREPORT" localSheetId="21">#REF!</definedName>
    <definedName name="SEREPORT">#REF!</definedName>
    <definedName name="shft1">[7]SUMMERY!$P$1</definedName>
    <definedName name="shftI">[13]SUMMERY!$P$1</definedName>
    <definedName name="t" localSheetId="44">#REF!</definedName>
    <definedName name="t" localSheetId="21">#REF!</definedName>
    <definedName name="t">#REF!</definedName>
    <definedName name="TaxPaid10">[6]Assumptions!$B$22</definedName>
    <definedName name="TaxRate11">[6]Assumptions!$B$20</definedName>
    <definedName name="Taxrate12" localSheetId="44">#REF!</definedName>
    <definedName name="Taxrate12" localSheetId="21">#REF!</definedName>
    <definedName name="Taxrate12">#REF!</definedName>
    <definedName name="TotalRoE10">[6]Assumptions!$B$23</definedName>
    <definedName name="tripping" localSheetId="44">#REF!</definedName>
    <definedName name="tripping" localSheetId="21">#REF!</definedName>
    <definedName name="tripping">#REF!</definedName>
    <definedName name="uNIT1" localSheetId="44">#REF!</definedName>
    <definedName name="uNIT1" localSheetId="21">#REF!</definedName>
    <definedName name="uNIT1">#REF!</definedName>
    <definedName name="uNIT2" localSheetId="44">#REF!</definedName>
    <definedName name="uNIT2" localSheetId="21">#REF!</definedName>
    <definedName name="uNIT2">#REF!</definedName>
    <definedName name="uNIT3" localSheetId="44">#REF!</definedName>
    <definedName name="uNIT3" localSheetId="21">#REF!</definedName>
    <definedName name="uNIT3">#REF!</definedName>
    <definedName name="W" localSheetId="44">#REF!</definedName>
    <definedName name="W" localSheetId="21">#REF!</definedName>
    <definedName name="W">#REF!</definedName>
    <definedName name="WEEK_1A" localSheetId="44">#REF!</definedName>
    <definedName name="WEEK_1A" localSheetId="21">#REF!</definedName>
    <definedName name="WEEK_1A">#REF!</definedName>
    <definedName name="WEEK_1B" localSheetId="44">#REF!</definedName>
    <definedName name="WEEK_1B" localSheetId="21">#REF!</definedName>
    <definedName name="WEEK_1B">#REF!</definedName>
    <definedName name="WEEK_2A" localSheetId="44">#REF!</definedName>
    <definedName name="WEEK_2A" localSheetId="21">#REF!</definedName>
    <definedName name="WEEK_2A">#REF!</definedName>
    <definedName name="WEEK_2B" localSheetId="44">#REF!</definedName>
    <definedName name="WEEK_2B" localSheetId="21">#REF!</definedName>
    <definedName name="WEEK_2B">#REF!</definedName>
    <definedName name="Working_capital_Rate_of_Interest_for_FY_10_11">[4]Assumption_PwC!$C$116</definedName>
    <definedName name="X1_" localSheetId="44">#REF!</definedName>
    <definedName name="X1_" localSheetId="21">#REF!</definedName>
    <definedName name="X1_">#REF!</definedName>
    <definedName name="X11__?___QUIT_" localSheetId="44">#REF!</definedName>
    <definedName name="X11__?___QUIT_" localSheetId="21">#REF!</definedName>
    <definedName name="X11__?___QUIT_">#REF!</definedName>
    <definedName name="xxxx" localSheetId="44" hidden="1">[14]CE!#REF!</definedName>
    <definedName name="xxxx" localSheetId="46" hidden="1">[14]CE!#REF!</definedName>
    <definedName name="xxxx" localSheetId="17" hidden="1">[14]CE!#REF!</definedName>
    <definedName name="xxxx" localSheetId="21" hidden="1">[14]CE!#REF!</definedName>
    <definedName name="xxxx" hidden="1">[14]CE!#REF!</definedName>
    <definedName name="YEAR" localSheetId="44">#REF!</definedName>
    <definedName name="YEAR" localSheetId="21">#REF!</definedName>
    <definedName name="YEAR">#REF!</definedName>
    <definedName name="Year1" localSheetId="44">#REF!</definedName>
    <definedName name="Year1" localSheetId="21">#REF!</definedName>
    <definedName name="Year1">#REF!</definedName>
    <definedName name="Z_A05A0254_2D25_4269_AA4F_D166F945C039_.wvu.PrintArea" localSheetId="3" hidden="1">'F1.1'!$A$1:$H$19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2" i="116" l="1"/>
  <c r="P102" i="116"/>
  <c r="S102" i="116" s="1"/>
  <c r="G101" i="116"/>
  <c r="P101" i="116"/>
  <c r="S101" i="116" s="1"/>
  <c r="G100" i="116"/>
  <c r="P100" i="116"/>
  <c r="S100" i="116" s="1"/>
  <c r="G99" i="116"/>
  <c r="P99" i="116"/>
  <c r="S99" i="116" s="1"/>
  <c r="P98" i="116"/>
  <c r="S98" i="116" s="1"/>
  <c r="G98" i="116"/>
  <c r="P97" i="116"/>
  <c r="S97" i="116" s="1"/>
  <c r="G97" i="116"/>
  <c r="P96" i="116"/>
  <c r="S96" i="116" s="1"/>
  <c r="G96" i="116"/>
  <c r="G95" i="116"/>
  <c r="P95" i="116"/>
  <c r="S95" i="116" s="1"/>
  <c r="G94" i="116"/>
  <c r="P94" i="116"/>
  <c r="S94" i="116" s="1"/>
  <c r="G93" i="116"/>
  <c r="P93" i="116"/>
  <c r="S93" i="116" s="1"/>
  <c r="G92" i="116"/>
  <c r="P92" i="116"/>
  <c r="S92" i="116" s="1"/>
  <c r="G91" i="116"/>
  <c r="P91" i="116"/>
  <c r="S91" i="116" s="1"/>
  <c r="P90" i="116"/>
  <c r="S90" i="116" s="1"/>
  <c r="G90" i="116"/>
  <c r="P89" i="116"/>
  <c r="S89" i="116" s="1"/>
  <c r="G89" i="116"/>
  <c r="P88" i="116"/>
  <c r="S88" i="116" s="1"/>
  <c r="G88" i="116"/>
  <c r="G87" i="116"/>
  <c r="P87" i="116"/>
  <c r="S87" i="116" s="1"/>
  <c r="G86" i="116"/>
  <c r="P86" i="116"/>
  <c r="S86" i="116" s="1"/>
  <c r="G85" i="116"/>
  <c r="P85" i="116"/>
  <c r="S85" i="116" s="1"/>
  <c r="G84" i="116"/>
  <c r="P84" i="116"/>
  <c r="S84" i="116" s="1"/>
  <c r="G83" i="116"/>
  <c r="P83" i="116"/>
  <c r="S83" i="116" s="1"/>
  <c r="P82" i="116"/>
  <c r="S82" i="116" s="1"/>
  <c r="G82" i="116"/>
  <c r="P81" i="116"/>
  <c r="S81" i="116" s="1"/>
  <c r="G81" i="116"/>
  <c r="P80" i="116"/>
  <c r="S80" i="116" s="1"/>
  <c r="G80" i="116"/>
  <c r="G79" i="116"/>
  <c r="P79" i="116"/>
  <c r="S79" i="116" s="1"/>
  <c r="G78" i="116"/>
  <c r="P78" i="116"/>
  <c r="S78" i="116" s="1"/>
  <c r="G77" i="116"/>
  <c r="P77" i="116"/>
  <c r="S77" i="116" s="1"/>
  <c r="G76" i="116"/>
  <c r="P76" i="116"/>
  <c r="S76" i="116" s="1"/>
  <c r="G75" i="116"/>
  <c r="P75" i="116"/>
  <c r="S75" i="116" s="1"/>
  <c r="P74" i="116"/>
  <c r="S74" i="116" s="1"/>
  <c r="G74" i="116"/>
  <c r="P73" i="116"/>
  <c r="S73" i="116" s="1"/>
  <c r="G73" i="116"/>
  <c r="P72" i="116"/>
  <c r="S72" i="116" s="1"/>
  <c r="G72" i="116"/>
  <c r="G71" i="116"/>
  <c r="P71" i="116"/>
  <c r="S71" i="116" s="1"/>
  <c r="G70" i="116"/>
  <c r="P70" i="116"/>
  <c r="S70" i="116" s="1"/>
  <c r="G69" i="116"/>
  <c r="P69" i="116"/>
  <c r="S69" i="116" s="1"/>
  <c r="G68" i="116"/>
  <c r="P68" i="116"/>
  <c r="S68" i="116" s="1"/>
  <c r="G67" i="116"/>
  <c r="P67" i="116"/>
  <c r="S67" i="116" s="1"/>
  <c r="P66" i="116"/>
  <c r="S66" i="116" s="1"/>
  <c r="G66" i="116"/>
  <c r="P65" i="116"/>
  <c r="S65" i="116" s="1"/>
  <c r="G65" i="116"/>
  <c r="P64" i="116"/>
  <c r="S64" i="116" s="1"/>
  <c r="G64" i="116"/>
  <c r="G63" i="116"/>
  <c r="P63" i="116"/>
  <c r="S63" i="116" s="1"/>
  <c r="G62" i="116"/>
  <c r="P62" i="116"/>
  <c r="S62" i="116" s="1"/>
  <c r="G61" i="116"/>
  <c r="P61" i="116"/>
  <c r="S61" i="116" s="1"/>
  <c r="G60" i="116"/>
  <c r="P60" i="116"/>
  <c r="S60" i="116" s="1"/>
  <c r="G59" i="116"/>
  <c r="P59" i="116"/>
  <c r="S59" i="116" s="1"/>
  <c r="P58" i="116"/>
  <c r="S58" i="116" s="1"/>
  <c r="G58" i="116"/>
  <c r="P57" i="116"/>
  <c r="S57" i="116" s="1"/>
  <c r="G57" i="116"/>
  <c r="P56" i="116"/>
  <c r="S56" i="116" s="1"/>
  <c r="G56" i="116"/>
  <c r="G55" i="116"/>
  <c r="P55" i="116"/>
  <c r="S55" i="116" s="1"/>
  <c r="G54" i="116"/>
  <c r="P54" i="116"/>
  <c r="S54" i="116" s="1"/>
  <c r="G53" i="116"/>
  <c r="P53" i="116"/>
  <c r="S53" i="116" s="1"/>
  <c r="G52" i="116"/>
  <c r="P52" i="116"/>
  <c r="S52" i="116" s="1"/>
  <c r="G51" i="116"/>
  <c r="P51" i="116"/>
  <c r="S51" i="116" s="1"/>
  <c r="P50" i="116"/>
  <c r="S50" i="116" s="1"/>
  <c r="G50" i="116"/>
  <c r="P49" i="116"/>
  <c r="S49" i="116" s="1"/>
  <c r="G49" i="116"/>
  <c r="P48" i="116"/>
  <c r="S48" i="116" s="1"/>
  <c r="G48" i="116"/>
  <c r="G47" i="116"/>
  <c r="P47" i="116"/>
  <c r="S47" i="116" s="1"/>
  <c r="G46" i="116"/>
  <c r="P46" i="116"/>
  <c r="S46" i="116" s="1"/>
  <c r="G45" i="116"/>
  <c r="P45" i="116"/>
  <c r="S45" i="116" s="1"/>
  <c r="G44" i="116"/>
  <c r="P44" i="116"/>
  <c r="S44" i="116" s="1"/>
  <c r="G43" i="116"/>
  <c r="P43" i="116"/>
  <c r="S43" i="116" s="1"/>
  <c r="P42" i="116"/>
  <c r="S42" i="116" s="1"/>
  <c r="G42" i="116"/>
  <c r="P41" i="116"/>
  <c r="S41" i="116" s="1"/>
  <c r="G41" i="116"/>
  <c r="P40" i="116"/>
  <c r="S40" i="116" s="1"/>
  <c r="G40" i="116"/>
  <c r="P39" i="116"/>
  <c r="S39" i="116" s="1"/>
  <c r="G39" i="116"/>
  <c r="G38" i="116"/>
  <c r="P38" i="116"/>
  <c r="S38" i="116" s="1"/>
  <c r="G37" i="116"/>
  <c r="P37" i="116"/>
  <c r="S37" i="116" s="1"/>
  <c r="G36" i="116"/>
  <c r="P36" i="116"/>
  <c r="S36" i="116" s="1"/>
  <c r="G35" i="116"/>
  <c r="P35" i="116"/>
  <c r="S35" i="116" s="1"/>
  <c r="P34" i="116"/>
  <c r="S34" i="116" s="1"/>
  <c r="G34" i="116"/>
  <c r="P33" i="116"/>
  <c r="S33" i="116" s="1"/>
  <c r="G33" i="116"/>
  <c r="P32" i="116"/>
  <c r="S32" i="116" s="1"/>
  <c r="G32" i="116"/>
  <c r="P31" i="116"/>
  <c r="S31" i="116" s="1"/>
  <c r="G31" i="116"/>
  <c r="G30" i="116"/>
  <c r="P30" i="116"/>
  <c r="S30" i="116" s="1"/>
  <c r="G29" i="116"/>
  <c r="P29" i="116"/>
  <c r="S29" i="116" s="1"/>
  <c r="G28" i="116"/>
  <c r="P28" i="116"/>
  <c r="S28" i="116" s="1"/>
  <c r="G27" i="116"/>
  <c r="P27" i="116"/>
  <c r="S27" i="116" s="1"/>
  <c r="P26" i="116"/>
  <c r="S26" i="116" s="1"/>
  <c r="G26" i="116"/>
  <c r="P25" i="116"/>
  <c r="S25" i="116" s="1"/>
  <c r="G25" i="116"/>
  <c r="P24" i="116"/>
  <c r="S24" i="116" s="1"/>
  <c r="G24" i="116"/>
  <c r="G23" i="116"/>
  <c r="P23" i="116"/>
  <c r="S23" i="116" s="1"/>
  <c r="G22" i="116"/>
  <c r="P22" i="116"/>
  <c r="S22" i="116" s="1"/>
  <c r="G21" i="116"/>
  <c r="P21" i="116"/>
  <c r="S21" i="116" s="1"/>
  <c r="G20" i="116"/>
  <c r="P20" i="116"/>
  <c r="S20" i="116" s="1"/>
  <c r="G19" i="116"/>
  <c r="P19" i="116"/>
  <c r="S19" i="116" s="1"/>
  <c r="P18" i="116"/>
  <c r="S18" i="116" s="1"/>
  <c r="G18" i="116"/>
  <c r="P17" i="116"/>
  <c r="S17" i="116" s="1"/>
  <c r="G17" i="116"/>
  <c r="P16" i="116"/>
  <c r="S16" i="116" s="1"/>
  <c r="G16" i="116"/>
  <c r="G15" i="116"/>
  <c r="P15" i="116"/>
  <c r="S15" i="116" s="1"/>
  <c r="G14" i="116"/>
  <c r="P14" i="116"/>
  <c r="S14" i="116" s="1"/>
  <c r="G13" i="116"/>
  <c r="P13" i="116"/>
  <c r="S13" i="116" s="1"/>
  <c r="G12" i="116"/>
  <c r="P12" i="116"/>
  <c r="S12" i="116" s="1"/>
  <c r="G11" i="116"/>
  <c r="P11" i="116"/>
  <c r="S11" i="116" s="1"/>
  <c r="P10" i="116"/>
  <c r="S10" i="116" s="1"/>
  <c r="G10" i="116"/>
  <c r="AV238" i="117"/>
  <c r="AU238" i="117"/>
  <c r="AT238" i="117"/>
  <c r="BB235" i="117"/>
  <c r="AV235" i="117"/>
  <c r="AU235" i="117"/>
  <c r="AT235" i="117"/>
  <c r="AQ235" i="117"/>
  <c r="AH235" i="117"/>
  <c r="AG235" i="117"/>
  <c r="AF235" i="117"/>
  <c r="AE235" i="117"/>
  <c r="AD235" i="117"/>
  <c r="AC235" i="117"/>
  <c r="W235" i="117"/>
  <c r="R235" i="117"/>
  <c r="AS234" i="117"/>
  <c r="T234" i="117"/>
  <c r="AS233" i="117"/>
  <c r="V233" i="117"/>
  <c r="T233" i="117"/>
  <c r="AS232" i="117"/>
  <c r="V232" i="117"/>
  <c r="T232" i="117"/>
  <c r="AS231" i="117"/>
  <c r="V231" i="117"/>
  <c r="T231" i="117"/>
  <c r="AS230" i="117"/>
  <c r="V230" i="117"/>
  <c r="T230" i="117"/>
  <c r="AS229" i="117"/>
  <c r="U229" i="117"/>
  <c r="T229" i="117"/>
  <c r="AS228" i="117"/>
  <c r="U228" i="117"/>
  <c r="T228" i="117"/>
  <c r="AS227" i="117"/>
  <c r="T227" i="117"/>
  <c r="P227" i="117"/>
  <c r="AS226" i="117"/>
  <c r="T226" i="117"/>
  <c r="AS225" i="117"/>
  <c r="T225" i="117"/>
  <c r="AS224" i="117"/>
  <c r="T224" i="117"/>
  <c r="AS223" i="117"/>
  <c r="T223" i="117"/>
  <c r="AS222" i="117"/>
  <c r="T222" i="117"/>
  <c r="AS221" i="117"/>
  <c r="T221" i="117"/>
  <c r="AS220" i="117"/>
  <c r="T220" i="117"/>
  <c r="AS219" i="117"/>
  <c r="T219" i="117"/>
  <c r="AS218" i="117"/>
  <c r="T218" i="117"/>
  <c r="AS217" i="117"/>
  <c r="T217" i="117"/>
  <c r="AS216" i="117"/>
  <c r="T216" i="117"/>
  <c r="AS215" i="117"/>
  <c r="T215" i="117"/>
  <c r="AS214" i="117"/>
  <c r="T214" i="117"/>
  <c r="AS213" i="117"/>
  <c r="T213" i="117"/>
  <c r="AS212" i="117"/>
  <c r="T212" i="117"/>
  <c r="AS211" i="117"/>
  <c r="T211" i="117"/>
  <c r="AS210" i="117"/>
  <c r="T210" i="117"/>
  <c r="AS209" i="117"/>
  <c r="T209" i="117"/>
  <c r="AS208" i="117"/>
  <c r="T208" i="117"/>
  <c r="AS207" i="117"/>
  <c r="T207" i="117"/>
  <c r="AS206" i="117"/>
  <c r="T206" i="117"/>
  <c r="AS205" i="117"/>
  <c r="T205" i="117"/>
  <c r="AS204" i="117"/>
  <c r="T204" i="117"/>
  <c r="AS203" i="117"/>
  <c r="T203" i="117"/>
  <c r="AS202" i="117"/>
  <c r="T202" i="117"/>
  <c r="BA201" i="117"/>
  <c r="AS201" i="117"/>
  <c r="T201" i="117"/>
  <c r="AZ200" i="117"/>
  <c r="AY200" i="117"/>
  <c r="AX200" i="117"/>
  <c r="AW200" i="117"/>
  <c r="AS200" i="117"/>
  <c r="AO200" i="117"/>
  <c r="AN200" i="117"/>
  <c r="AL200" i="117"/>
  <c r="AK200" i="117"/>
  <c r="AJ200" i="117"/>
  <c r="AI200" i="117"/>
  <c r="AA200" i="117"/>
  <c r="Z200" i="117"/>
  <c r="Y200" i="117"/>
  <c r="X200" i="117"/>
  <c r="T200" i="117"/>
  <c r="G200" i="117"/>
  <c r="AS199" i="117"/>
  <c r="AB199" i="117"/>
  <c r="BA199" i="117" s="1"/>
  <c r="T199" i="117"/>
  <c r="AZ198" i="117"/>
  <c r="AY198" i="117"/>
  <c r="AX198" i="117"/>
  <c r="AW198" i="117"/>
  <c r="AS198" i="117"/>
  <c r="AO198" i="117"/>
  <c r="AN198" i="117"/>
  <c r="AL198" i="117"/>
  <c r="AK198" i="117"/>
  <c r="AJ198" i="117"/>
  <c r="AI198" i="117"/>
  <c r="AA198" i="117"/>
  <c r="Z198" i="117"/>
  <c r="Y198" i="117"/>
  <c r="X198" i="117"/>
  <c r="T198" i="117"/>
  <c r="G198" i="117"/>
  <c r="AS197" i="117"/>
  <c r="T197" i="117"/>
  <c r="AZ196" i="117"/>
  <c r="AS196" i="117"/>
  <c r="T196" i="117"/>
  <c r="BA195" i="117"/>
  <c r="AY195" i="117"/>
  <c r="AX195" i="117"/>
  <c r="AW195" i="117"/>
  <c r="AO195" i="117"/>
  <c r="AS195" i="117" s="1"/>
  <c r="AN195" i="117"/>
  <c r="AM195" i="117"/>
  <c r="AK195" i="117"/>
  <c r="AJ195" i="117"/>
  <c r="AI195" i="117"/>
  <c r="AB195" i="117"/>
  <c r="Z195" i="117"/>
  <c r="Y195" i="117"/>
  <c r="X195" i="117"/>
  <c r="T195" i="117"/>
  <c r="G195" i="117"/>
  <c r="AZ194" i="117"/>
  <c r="AS194" i="117"/>
  <c r="AA194" i="117"/>
  <c r="T194" i="117"/>
  <c r="BA193" i="117"/>
  <c r="AY193" i="117"/>
  <c r="AX193" i="117"/>
  <c r="AW193" i="117"/>
  <c r="AS193" i="117"/>
  <c r="AO193" i="117"/>
  <c r="AN193" i="117"/>
  <c r="AM193" i="117"/>
  <c r="AK193" i="117"/>
  <c r="AJ193" i="117"/>
  <c r="AI193" i="117"/>
  <c r="AB193" i="117"/>
  <c r="Z193" i="117"/>
  <c r="Y193" i="117"/>
  <c r="X193" i="117"/>
  <c r="T193" i="117"/>
  <c r="G193" i="117"/>
  <c r="AS192" i="117"/>
  <c r="AA192" i="117"/>
  <c r="AZ192" i="117" s="1"/>
  <c r="T192" i="117"/>
  <c r="BA191" i="117"/>
  <c r="AY191" i="117"/>
  <c r="AX191" i="117"/>
  <c r="AW191" i="117"/>
  <c r="AO191" i="117"/>
  <c r="AS191" i="117" s="1"/>
  <c r="AN191" i="117"/>
  <c r="AM191" i="117"/>
  <c r="AK191" i="117"/>
  <c r="AJ191" i="117"/>
  <c r="AI191" i="117"/>
  <c r="AB191" i="117"/>
  <c r="Z191" i="117"/>
  <c r="Y191" i="117"/>
  <c r="X191" i="117"/>
  <c r="T191" i="117"/>
  <c r="G191" i="117"/>
  <c r="AS190" i="117"/>
  <c r="T190" i="117"/>
  <c r="AS189" i="117"/>
  <c r="T189" i="117"/>
  <c r="AS188" i="117"/>
  <c r="T188" i="117"/>
  <c r="AS187" i="117"/>
  <c r="T187" i="117"/>
  <c r="AS186" i="117"/>
  <c r="Z186" i="117"/>
  <c r="AY186" i="117" s="1"/>
  <c r="T186" i="117"/>
  <c r="AS185" i="117"/>
  <c r="Z185" i="117"/>
  <c r="AY185" i="117" s="1"/>
  <c r="T185" i="117"/>
  <c r="AS184" i="117"/>
  <c r="Z184" i="117"/>
  <c r="AY184" i="117" s="1"/>
  <c r="T184" i="117"/>
  <c r="AS183" i="117"/>
  <c r="Z183" i="117"/>
  <c r="AY183" i="117" s="1"/>
  <c r="T183" i="117"/>
  <c r="AS182" i="117"/>
  <c r="Z182" i="117"/>
  <c r="AY182" i="117" s="1"/>
  <c r="T182" i="117"/>
  <c r="AS181" i="117"/>
  <c r="Z181" i="117"/>
  <c r="AY181" i="117" s="1"/>
  <c r="T181" i="117"/>
  <c r="AS180" i="117"/>
  <c r="Z180" i="117"/>
  <c r="AY180" i="117" s="1"/>
  <c r="T180" i="117"/>
  <c r="AS179" i="117"/>
  <c r="Z179" i="117"/>
  <c r="AY179" i="117" s="1"/>
  <c r="T179" i="117"/>
  <c r="BA178" i="117"/>
  <c r="AZ178" i="117"/>
  <c r="AX178" i="117"/>
  <c r="AW178" i="117"/>
  <c r="AO178" i="117"/>
  <c r="AS178" i="117" s="1"/>
  <c r="AN178" i="117"/>
  <c r="AM178" i="117"/>
  <c r="AL178" i="117"/>
  <c r="AJ178" i="117"/>
  <c r="AI178" i="117"/>
  <c r="AB178" i="117"/>
  <c r="AA178" i="117"/>
  <c r="Y178" i="117"/>
  <c r="X178" i="117"/>
  <c r="T178" i="117"/>
  <c r="G178" i="117"/>
  <c r="AS177" i="117"/>
  <c r="Z177" i="117"/>
  <c r="AY177" i="117" s="1"/>
  <c r="T177" i="117"/>
  <c r="AY176" i="117"/>
  <c r="AS176" i="117"/>
  <c r="Z176" i="117"/>
  <c r="T176" i="117"/>
  <c r="AS175" i="117"/>
  <c r="Z175" i="117"/>
  <c r="AY175" i="117" s="1"/>
  <c r="T175" i="117"/>
  <c r="AY174" i="117"/>
  <c r="AS174" i="117"/>
  <c r="Z174" i="117"/>
  <c r="T174" i="117"/>
  <c r="AS173" i="117"/>
  <c r="Z173" i="117"/>
  <c r="AY173" i="117" s="1"/>
  <c r="T173" i="117"/>
  <c r="BA172" i="117"/>
  <c r="AZ172" i="117"/>
  <c r="AX172" i="117"/>
  <c r="AW172" i="117"/>
  <c r="AO172" i="117"/>
  <c r="AS172" i="117" s="1"/>
  <c r="AN172" i="117"/>
  <c r="AM172" i="117"/>
  <c r="AL172" i="117"/>
  <c r="AJ172" i="117"/>
  <c r="AI172" i="117"/>
  <c r="AB172" i="117"/>
  <c r="AA172" i="117"/>
  <c r="Y172" i="117"/>
  <c r="X172" i="117"/>
  <c r="T172" i="117"/>
  <c r="G172" i="117"/>
  <c r="AS171" i="117"/>
  <c r="T171" i="117"/>
  <c r="AY170" i="117"/>
  <c r="AS170" i="117"/>
  <c r="T170" i="117"/>
  <c r="AY169" i="117"/>
  <c r="AS169" i="117"/>
  <c r="T169" i="117"/>
  <c r="AY168" i="117"/>
  <c r="AS168" i="117"/>
  <c r="T168" i="117"/>
  <c r="AY167" i="117"/>
  <c r="AS167" i="117"/>
  <c r="T167" i="117"/>
  <c r="AY166" i="117"/>
  <c r="AS166" i="117"/>
  <c r="T166" i="117"/>
  <c r="BA165" i="117"/>
  <c r="AZ165" i="117"/>
  <c r="AX165" i="117"/>
  <c r="AW165" i="117"/>
  <c r="AS165" i="117"/>
  <c r="AO165" i="117"/>
  <c r="AN165" i="117"/>
  <c r="AM165" i="117"/>
  <c r="AL165" i="117"/>
  <c r="AJ165" i="117"/>
  <c r="AI165" i="117"/>
  <c r="AB165" i="117"/>
  <c r="AA165" i="117"/>
  <c r="Y165" i="117"/>
  <c r="X165" i="117"/>
  <c r="T165" i="117"/>
  <c r="G165" i="117"/>
  <c r="AS164" i="117"/>
  <c r="Z164" i="117"/>
  <c r="AY164" i="117" s="1"/>
  <c r="T164" i="117"/>
  <c r="AS163" i="117"/>
  <c r="Z163" i="117"/>
  <c r="AY163" i="117" s="1"/>
  <c r="T163" i="117"/>
  <c r="AS162" i="117"/>
  <c r="Z162" i="117"/>
  <c r="AY162" i="117" s="1"/>
  <c r="T162" i="117"/>
  <c r="BA161" i="117"/>
  <c r="AZ161" i="117"/>
  <c r="AX161" i="117"/>
  <c r="AW161" i="117"/>
  <c r="AS161" i="117"/>
  <c r="AO161" i="117"/>
  <c r="AN161" i="117"/>
  <c r="AM161" i="117"/>
  <c r="AL161" i="117"/>
  <c r="AJ161" i="117"/>
  <c r="AI161" i="117"/>
  <c r="AB161" i="117"/>
  <c r="AA161" i="117"/>
  <c r="Y161" i="117"/>
  <c r="X161" i="117"/>
  <c r="T161" i="117"/>
  <c r="G161" i="117"/>
  <c r="AY160" i="117"/>
  <c r="AS160" i="117"/>
  <c r="Z160" i="117"/>
  <c r="T160" i="117"/>
  <c r="AS159" i="117"/>
  <c r="Z159" i="117"/>
  <c r="AY159" i="117" s="1"/>
  <c r="T159" i="117"/>
  <c r="AY158" i="117"/>
  <c r="AS158" i="117"/>
  <c r="Z158" i="117"/>
  <c r="T158" i="117"/>
  <c r="BA157" i="117"/>
  <c r="AZ157" i="117"/>
  <c r="AX157" i="117"/>
  <c r="AW157" i="117"/>
  <c r="AO157" i="117"/>
  <c r="AS157" i="117" s="1"/>
  <c r="AN157" i="117"/>
  <c r="AM157" i="117"/>
  <c r="AL157" i="117"/>
  <c r="AJ157" i="117"/>
  <c r="AI157" i="117"/>
  <c r="AB157" i="117"/>
  <c r="AA157" i="117"/>
  <c r="Y157" i="117"/>
  <c r="X157" i="117"/>
  <c r="T157" i="117"/>
  <c r="G157" i="117"/>
  <c r="AY156" i="117"/>
  <c r="AS156" i="117"/>
  <c r="Z156" i="117"/>
  <c r="T156" i="117"/>
  <c r="AY155" i="117"/>
  <c r="AS155" i="117"/>
  <c r="Z155" i="117"/>
  <c r="T155" i="117"/>
  <c r="AY154" i="117"/>
  <c r="AS154" i="117"/>
  <c r="Z154" i="117"/>
  <c r="T154" i="117"/>
  <c r="AY153" i="117"/>
  <c r="AS153" i="117"/>
  <c r="Z153" i="117"/>
  <c r="T153" i="117"/>
  <c r="AY152" i="117"/>
  <c r="AS152" i="117"/>
  <c r="Z152" i="117"/>
  <c r="T152" i="117"/>
  <c r="AY151" i="117"/>
  <c r="AS151" i="117"/>
  <c r="Z151" i="117"/>
  <c r="T151" i="117"/>
  <c r="AY150" i="117"/>
  <c r="AS150" i="117"/>
  <c r="Z150" i="117"/>
  <c r="T150" i="117"/>
  <c r="BA149" i="117"/>
  <c r="AZ149" i="117"/>
  <c r="AX149" i="117"/>
  <c r="AW149" i="117"/>
  <c r="AS149" i="117"/>
  <c r="AO149" i="117"/>
  <c r="AN149" i="117"/>
  <c r="AM149" i="117"/>
  <c r="AL149" i="117"/>
  <c r="AJ149" i="117"/>
  <c r="AI149" i="117"/>
  <c r="AB149" i="117"/>
  <c r="AA149" i="117"/>
  <c r="Y149" i="117"/>
  <c r="X149" i="117"/>
  <c r="T149" i="117"/>
  <c r="G149" i="117"/>
  <c r="AS148" i="117"/>
  <c r="T148" i="117"/>
  <c r="AS147" i="117"/>
  <c r="Y147" i="117"/>
  <c r="AX147" i="117" s="1"/>
  <c r="T147" i="117"/>
  <c r="BA146" i="117"/>
  <c r="AZ146" i="117"/>
  <c r="AY146" i="117"/>
  <c r="AW146" i="117"/>
  <c r="AO146" i="117"/>
  <c r="AS146" i="117" s="1"/>
  <c r="AN146" i="117"/>
  <c r="AM146" i="117"/>
  <c r="AL146" i="117"/>
  <c r="AK146" i="117"/>
  <c r="AI146" i="117"/>
  <c r="AB146" i="117"/>
  <c r="AA146" i="117"/>
  <c r="Z146" i="117"/>
  <c r="T146" i="117"/>
  <c r="G146" i="117"/>
  <c r="AX145" i="117"/>
  <c r="AS145" i="117"/>
  <c r="Y145" i="117"/>
  <c r="T145" i="117"/>
  <c r="AS144" i="117"/>
  <c r="Y144" i="117"/>
  <c r="AX144" i="117" s="1"/>
  <c r="T144" i="117"/>
  <c r="AX143" i="117"/>
  <c r="AS143" i="117"/>
  <c r="Y143" i="117"/>
  <c r="T143" i="117"/>
  <c r="AS142" i="117"/>
  <c r="Y142" i="117"/>
  <c r="AX142" i="117" s="1"/>
  <c r="T142" i="117"/>
  <c r="AX141" i="117"/>
  <c r="AS141" i="117"/>
  <c r="Y141" i="117"/>
  <c r="T141" i="117"/>
  <c r="AS140" i="117"/>
  <c r="Y140" i="117"/>
  <c r="AX140" i="117" s="1"/>
  <c r="T140" i="117"/>
  <c r="BA139" i="117"/>
  <c r="AZ139" i="117"/>
  <c r="AY139" i="117"/>
  <c r="AW139" i="117"/>
  <c r="AO139" i="117"/>
  <c r="AS139" i="117" s="1"/>
  <c r="AN139" i="117"/>
  <c r="AM139" i="117"/>
  <c r="AL139" i="117"/>
  <c r="AK139" i="117"/>
  <c r="AI139" i="117"/>
  <c r="AB139" i="117"/>
  <c r="AA139" i="117"/>
  <c r="Z139" i="117"/>
  <c r="X139" i="117"/>
  <c r="T139" i="117"/>
  <c r="G139" i="117"/>
  <c r="AX138" i="117"/>
  <c r="AS138" i="117"/>
  <c r="Y138" i="117"/>
  <c r="T138" i="117"/>
  <c r="AX137" i="117"/>
  <c r="AS137" i="117"/>
  <c r="Y137" i="117"/>
  <c r="T137" i="117"/>
  <c r="AX136" i="117"/>
  <c r="AS136" i="117"/>
  <c r="T136" i="117"/>
  <c r="AS135" i="117"/>
  <c r="Y135" i="117"/>
  <c r="AX135" i="117" s="1"/>
  <c r="T135" i="117"/>
  <c r="AX134" i="117"/>
  <c r="AS134" i="117"/>
  <c r="Y134" i="117"/>
  <c r="T134" i="117"/>
  <c r="BA133" i="117"/>
  <c r="AZ133" i="117"/>
  <c r="AY133" i="117"/>
  <c r="AW133" i="117"/>
  <c r="AO133" i="117"/>
  <c r="AS133" i="117" s="1"/>
  <c r="AN133" i="117"/>
  <c r="AM133" i="117"/>
  <c r="AL133" i="117"/>
  <c r="AK133" i="117"/>
  <c r="AI133" i="117"/>
  <c r="AB133" i="117"/>
  <c r="AA133" i="117"/>
  <c r="Z133" i="117"/>
  <c r="X133" i="117"/>
  <c r="T133" i="117"/>
  <c r="G133" i="117"/>
  <c r="AX132" i="117"/>
  <c r="AS132" i="117"/>
  <c r="Y132" i="117"/>
  <c r="T132" i="117"/>
  <c r="BA131" i="117"/>
  <c r="AZ131" i="117"/>
  <c r="AY131" i="117"/>
  <c r="AW131" i="117"/>
  <c r="AS131" i="117"/>
  <c r="AO131" i="117"/>
  <c r="AN131" i="117"/>
  <c r="AM131" i="117"/>
  <c r="AL131" i="117"/>
  <c r="AK131" i="117"/>
  <c r="AI131" i="117"/>
  <c r="AI235" i="117" s="1"/>
  <c r="AB131" i="117"/>
  <c r="AA131" i="117"/>
  <c r="Z131" i="117"/>
  <c r="X131" i="117"/>
  <c r="T131" i="117"/>
  <c r="G131" i="117"/>
  <c r="AS130" i="117"/>
  <c r="T130" i="117"/>
  <c r="AS129" i="117"/>
  <c r="X129" i="117"/>
  <c r="AW129" i="117" s="1"/>
  <c r="T129" i="117"/>
  <c r="AW128" i="117"/>
  <c r="AS128" i="117"/>
  <c r="X128" i="117"/>
  <c r="T128" i="117"/>
  <c r="AS127" i="117"/>
  <c r="X127" i="117"/>
  <c r="AW127" i="117" s="1"/>
  <c r="T127" i="117"/>
  <c r="AW126" i="117"/>
  <c r="AS126" i="117"/>
  <c r="X126" i="117"/>
  <c r="T126" i="117"/>
  <c r="AS125" i="117"/>
  <c r="X125" i="117"/>
  <c r="AW125" i="117" s="1"/>
  <c r="T125" i="117"/>
  <c r="BA124" i="117"/>
  <c r="AZ124" i="117"/>
  <c r="AY124" i="117"/>
  <c r="AX124" i="117"/>
  <c r="AO124" i="117"/>
  <c r="AS124" i="117" s="1"/>
  <c r="AN124" i="117"/>
  <c r="AM124" i="117"/>
  <c r="AL124" i="117"/>
  <c r="AK124" i="117"/>
  <c r="AJ124" i="117"/>
  <c r="AB124" i="117"/>
  <c r="AA124" i="117"/>
  <c r="Z124" i="117"/>
  <c r="Y124" i="117"/>
  <c r="X124" i="117"/>
  <c r="T124" i="117"/>
  <c r="G124" i="117"/>
  <c r="AS123" i="117"/>
  <c r="X123" i="117"/>
  <c r="AW123" i="117" s="1"/>
  <c r="T123" i="117"/>
  <c r="AS122" i="117"/>
  <c r="X122" i="117"/>
  <c r="AW122" i="117" s="1"/>
  <c r="T122" i="117"/>
  <c r="AS121" i="117"/>
  <c r="X121" i="117"/>
  <c r="AW121" i="117" s="1"/>
  <c r="T121" i="117"/>
  <c r="AS120" i="117"/>
  <c r="X120" i="117"/>
  <c r="AW120" i="117" s="1"/>
  <c r="T120" i="117"/>
  <c r="AS119" i="117"/>
  <c r="X119" i="117"/>
  <c r="AW119" i="117" s="1"/>
  <c r="T119" i="117"/>
  <c r="AS118" i="117"/>
  <c r="X118" i="117"/>
  <c r="AW118" i="117" s="1"/>
  <c r="T118" i="117"/>
  <c r="BA117" i="117"/>
  <c r="AZ117" i="117"/>
  <c r="AY117" i="117"/>
  <c r="AX117" i="117"/>
  <c r="AO117" i="117"/>
  <c r="AS117" i="117" s="1"/>
  <c r="AN117" i="117"/>
  <c r="AM117" i="117"/>
  <c r="AL117" i="117"/>
  <c r="AK117" i="117"/>
  <c r="AJ117" i="117"/>
  <c r="AB117" i="117"/>
  <c r="AA117" i="117"/>
  <c r="Z117" i="117"/>
  <c r="Y117" i="117"/>
  <c r="X117" i="117"/>
  <c r="T117" i="117"/>
  <c r="G117" i="117"/>
  <c r="AS116" i="117"/>
  <c r="X116" i="117"/>
  <c r="AW116" i="117" s="1"/>
  <c r="T116" i="117"/>
  <c r="AW115" i="117"/>
  <c r="AS115" i="117"/>
  <c r="X115" i="117"/>
  <c r="T115" i="117"/>
  <c r="AS114" i="117"/>
  <c r="X114" i="117"/>
  <c r="AW114" i="117" s="1"/>
  <c r="T114" i="117"/>
  <c r="AW113" i="117"/>
  <c r="AS113" i="117"/>
  <c r="X113" i="117"/>
  <c r="T113" i="117"/>
  <c r="BA112" i="117"/>
  <c r="AZ112" i="117"/>
  <c r="AY112" i="117"/>
  <c r="AX112" i="117"/>
  <c r="AO112" i="117"/>
  <c r="AS112" i="117" s="1"/>
  <c r="AN112" i="117"/>
  <c r="AM112" i="117"/>
  <c r="AL112" i="117"/>
  <c r="AK112" i="117"/>
  <c r="AJ112" i="117"/>
  <c r="AB112" i="117"/>
  <c r="AA112" i="117"/>
  <c r="Z112" i="117"/>
  <c r="Y112" i="117"/>
  <c r="X112" i="117"/>
  <c r="T112" i="117"/>
  <c r="G112" i="117"/>
  <c r="AS111" i="117"/>
  <c r="X111" i="117"/>
  <c r="AW111" i="117" s="1"/>
  <c r="T111" i="117"/>
  <c r="AS110" i="117"/>
  <c r="X110" i="117"/>
  <c r="AW110" i="117" s="1"/>
  <c r="T110" i="117"/>
  <c r="AS109" i="117"/>
  <c r="X109" i="117"/>
  <c r="AW109" i="117" s="1"/>
  <c r="T109" i="117"/>
  <c r="BA108" i="117"/>
  <c r="AZ108" i="117"/>
  <c r="AZ235" i="117" s="1"/>
  <c r="AY108" i="117"/>
  <c r="AY235" i="117" s="1"/>
  <c r="AX108" i="117"/>
  <c r="AX235" i="117" s="1"/>
  <c r="AS108" i="117"/>
  <c r="AO108" i="117"/>
  <c r="AN108" i="117"/>
  <c r="AM108" i="117"/>
  <c r="AL108" i="117"/>
  <c r="AK108" i="117"/>
  <c r="AJ108" i="117"/>
  <c r="AB108" i="117"/>
  <c r="AB235" i="117" s="1"/>
  <c r="AA108" i="117"/>
  <c r="AA235" i="117" s="1"/>
  <c r="Z108" i="117"/>
  <c r="Z235" i="117" s="1"/>
  <c r="Y108" i="117"/>
  <c r="Y235" i="117" s="1"/>
  <c r="X108" i="117"/>
  <c r="X235" i="117" s="1"/>
  <c r="T108" i="117"/>
  <c r="G108" i="117"/>
  <c r="AS107" i="117"/>
  <c r="T107" i="117"/>
  <c r="AS106" i="117"/>
  <c r="T106" i="117"/>
  <c r="AS105" i="117"/>
  <c r="T105" i="117"/>
  <c r="K105" i="117"/>
  <c r="AS104" i="117"/>
  <c r="T104" i="117"/>
  <c r="AS103" i="117"/>
  <c r="T103" i="117"/>
  <c r="AS102" i="117"/>
  <c r="T102" i="117"/>
  <c r="AS101" i="117"/>
  <c r="T101" i="117"/>
  <c r="AS100" i="117"/>
  <c r="T100" i="117"/>
  <c r="AS99" i="117"/>
  <c r="T99" i="117"/>
  <c r="AS98" i="117"/>
  <c r="T98" i="117"/>
  <c r="AS97" i="117"/>
  <c r="T97" i="117"/>
  <c r="AS96" i="117"/>
  <c r="T96" i="117"/>
  <c r="AS95" i="117"/>
  <c r="T95" i="117"/>
  <c r="AS94" i="117"/>
  <c r="T94" i="117"/>
  <c r="D94" i="117"/>
  <c r="D95" i="117" s="1"/>
  <c r="D96" i="117" s="1"/>
  <c r="D97" i="117" s="1"/>
  <c r="D98" i="117" s="1"/>
  <c r="D99" i="117" s="1"/>
  <c r="D100" i="117" s="1"/>
  <c r="D101" i="117" s="1"/>
  <c r="AS93" i="117"/>
  <c r="T93" i="117"/>
  <c r="AS92" i="117"/>
  <c r="T92" i="117"/>
  <c r="G92" i="117"/>
  <c r="AS91" i="117"/>
  <c r="T91" i="117"/>
  <c r="AS90" i="117"/>
  <c r="T90" i="117"/>
  <c r="F90" i="117"/>
  <c r="F93" i="117" s="1"/>
  <c r="F94" i="117" s="1"/>
  <c r="F95" i="117" s="1"/>
  <c r="F96" i="117" s="1"/>
  <c r="F97" i="117" s="1"/>
  <c r="F98" i="117" s="1"/>
  <c r="F99" i="117" s="1"/>
  <c r="F100" i="117" s="1"/>
  <c r="F101" i="117" s="1"/>
  <c r="AS89" i="117"/>
  <c r="T89" i="117"/>
  <c r="F89" i="117"/>
  <c r="K89" i="117" s="1"/>
  <c r="AS88" i="117"/>
  <c r="T88" i="117"/>
  <c r="F88" i="117"/>
  <c r="K88" i="117" s="1"/>
  <c r="AS87" i="117"/>
  <c r="T87" i="117"/>
  <c r="F87" i="117"/>
  <c r="K87" i="117" s="1"/>
  <c r="AS86" i="117"/>
  <c r="T86" i="117"/>
  <c r="F86" i="117"/>
  <c r="K86" i="117" s="1"/>
  <c r="AS85" i="117"/>
  <c r="T85" i="117"/>
  <c r="K85" i="117"/>
  <c r="E85" i="117"/>
  <c r="E86" i="117" s="1"/>
  <c r="E87" i="117" s="1"/>
  <c r="E88" i="117" s="1"/>
  <c r="E89" i="117" s="1"/>
  <c r="E90" i="117" s="1"/>
  <c r="D85" i="117"/>
  <c r="D86" i="117" s="1"/>
  <c r="D87" i="117" s="1"/>
  <c r="D88" i="117" s="1"/>
  <c r="D89" i="117" s="1"/>
  <c r="D90" i="117" s="1"/>
  <c r="AS84" i="117"/>
  <c r="T84" i="117"/>
  <c r="G84" i="117"/>
  <c r="AS83" i="117"/>
  <c r="T83" i="117"/>
  <c r="E83" i="117"/>
  <c r="AS82" i="117"/>
  <c r="T82" i="117"/>
  <c r="F82" i="117"/>
  <c r="F83" i="117" s="1"/>
  <c r="K83" i="117" s="1"/>
  <c r="E82" i="117"/>
  <c r="D82" i="117"/>
  <c r="D83" i="117" s="1"/>
  <c r="AS81" i="117"/>
  <c r="T81" i="117"/>
  <c r="K81" i="117"/>
  <c r="H81" i="117"/>
  <c r="G81" i="117"/>
  <c r="AS80" i="117"/>
  <c r="T80" i="117"/>
  <c r="AS79" i="117"/>
  <c r="T79" i="117"/>
  <c r="K79" i="117"/>
  <c r="H79" i="117"/>
  <c r="F79" i="117"/>
  <c r="F80" i="117" s="1"/>
  <c r="K80" i="117" s="1"/>
  <c r="E79" i="117"/>
  <c r="E80" i="117" s="1"/>
  <c r="D79" i="117"/>
  <c r="D80" i="117" s="1"/>
  <c r="AS78" i="117"/>
  <c r="T78" i="117"/>
  <c r="K78" i="117"/>
  <c r="H78" i="117"/>
  <c r="G78" i="117"/>
  <c r="AS77" i="117"/>
  <c r="T77" i="117"/>
  <c r="H77" i="117"/>
  <c r="G77" i="117"/>
  <c r="AS76" i="117"/>
  <c r="T76" i="117"/>
  <c r="AS75" i="117"/>
  <c r="T75" i="117"/>
  <c r="AS74" i="117"/>
  <c r="T74" i="117"/>
  <c r="D74" i="117"/>
  <c r="D75" i="117" s="1"/>
  <c r="D76" i="117" s="1"/>
  <c r="D77" i="117" s="1"/>
  <c r="AS73" i="117"/>
  <c r="T73" i="117"/>
  <c r="F73" i="117"/>
  <c r="K73" i="117" s="1"/>
  <c r="E73" i="117"/>
  <c r="E74" i="117" s="1"/>
  <c r="E75" i="117" s="1"/>
  <c r="E76" i="117" s="1"/>
  <c r="E77" i="117" s="1"/>
  <c r="D73" i="117"/>
  <c r="AS72" i="117"/>
  <c r="T72" i="117"/>
  <c r="K72" i="117"/>
  <c r="H72" i="117"/>
  <c r="G72" i="117"/>
  <c r="AS71" i="117"/>
  <c r="T71" i="117"/>
  <c r="AS70" i="117"/>
  <c r="T70" i="117"/>
  <c r="AS69" i="117"/>
  <c r="T69" i="117"/>
  <c r="AR68" i="117"/>
  <c r="AS68" i="117" s="1"/>
  <c r="S68" i="117"/>
  <c r="T68" i="117" s="1"/>
  <c r="F68" i="117"/>
  <c r="K68" i="117" s="1"/>
  <c r="E68" i="117"/>
  <c r="E69" i="117" s="1"/>
  <c r="E70" i="117" s="1"/>
  <c r="E71" i="117" s="1"/>
  <c r="D68" i="117"/>
  <c r="D69" i="117" s="1"/>
  <c r="D70" i="117" s="1"/>
  <c r="D71" i="117" s="1"/>
  <c r="AS67" i="117"/>
  <c r="T67" i="117"/>
  <c r="K67" i="117"/>
  <c r="H67" i="117"/>
  <c r="G67" i="117"/>
  <c r="AR66" i="117"/>
  <c r="AS66" i="117" s="1"/>
  <c r="V66" i="117"/>
  <c r="V235" i="117" s="1"/>
  <c r="U66" i="117"/>
  <c r="Q66" i="117"/>
  <c r="T66" i="117" s="1"/>
  <c r="K66" i="117"/>
  <c r="F66" i="117"/>
  <c r="E66" i="117"/>
  <c r="D66" i="117"/>
  <c r="AS65" i="117"/>
  <c r="T65" i="117"/>
  <c r="K65" i="117"/>
  <c r="H65" i="117"/>
  <c r="G65" i="117"/>
  <c r="AS64" i="117"/>
  <c r="T64" i="117"/>
  <c r="AS63" i="117"/>
  <c r="U63" i="117"/>
  <c r="T63" i="117"/>
  <c r="H63" i="117"/>
  <c r="H61" i="117" s="1"/>
  <c r="G63" i="117"/>
  <c r="G61" i="117" s="1"/>
  <c r="D63" i="117"/>
  <c r="D64" i="117" s="1"/>
  <c r="AS62" i="117"/>
  <c r="AR62" i="117"/>
  <c r="S62" i="117"/>
  <c r="T62" i="117" s="1"/>
  <c r="K62" i="117"/>
  <c r="H62" i="117"/>
  <c r="G62" i="117"/>
  <c r="F62" i="117"/>
  <c r="F63" i="117" s="1"/>
  <c r="E62" i="117"/>
  <c r="E63" i="117" s="1"/>
  <c r="E64" i="117" s="1"/>
  <c r="D62" i="117"/>
  <c r="AS61" i="117"/>
  <c r="T61" i="117"/>
  <c r="K61" i="117"/>
  <c r="AS60" i="117"/>
  <c r="T60" i="117"/>
  <c r="K60" i="117"/>
  <c r="F60" i="117"/>
  <c r="E60" i="117"/>
  <c r="D60" i="117"/>
  <c r="AS59" i="117"/>
  <c r="T59" i="117"/>
  <c r="K59" i="117"/>
  <c r="H59" i="117"/>
  <c r="G59" i="117"/>
  <c r="AP58" i="117"/>
  <c r="AS58" i="117" s="1"/>
  <c r="T58" i="117"/>
  <c r="Q58" i="117"/>
  <c r="F58" i="117"/>
  <c r="K58" i="117" s="1"/>
  <c r="E58" i="117"/>
  <c r="D58" i="117"/>
  <c r="AS57" i="117"/>
  <c r="T57" i="117"/>
  <c r="K57" i="117"/>
  <c r="H57" i="117"/>
  <c r="G57" i="117"/>
  <c r="AS56" i="117"/>
  <c r="V56" i="117"/>
  <c r="T56" i="117"/>
  <c r="AS55" i="117"/>
  <c r="T55" i="117"/>
  <c r="AS54" i="117"/>
  <c r="U54" i="117"/>
  <c r="T54" i="117"/>
  <c r="AS53" i="117"/>
  <c r="T53" i="117"/>
  <c r="E53" i="117"/>
  <c r="E54" i="117" s="1"/>
  <c r="E55" i="117" s="1"/>
  <c r="E56" i="117" s="1"/>
  <c r="AS52" i="117"/>
  <c r="V52" i="117"/>
  <c r="T52" i="117"/>
  <c r="E52" i="117"/>
  <c r="D52" i="117"/>
  <c r="D53" i="117" s="1"/>
  <c r="D54" i="117" s="1"/>
  <c r="D55" i="117" s="1"/>
  <c r="D56" i="117" s="1"/>
  <c r="AS51" i="117"/>
  <c r="U51" i="117"/>
  <c r="T51" i="117"/>
  <c r="F51" i="117"/>
  <c r="K51" i="117" s="1"/>
  <c r="E51" i="117"/>
  <c r="D51" i="117"/>
  <c r="AS50" i="117"/>
  <c r="T50" i="117"/>
  <c r="K50" i="117"/>
  <c r="H50" i="117"/>
  <c r="G50" i="117"/>
  <c r="AS49" i="117"/>
  <c r="T49" i="117"/>
  <c r="AR48" i="117"/>
  <c r="AS48" i="117" s="1"/>
  <c r="T48" i="117"/>
  <c r="S48" i="117"/>
  <c r="F48" i="117"/>
  <c r="K48" i="117" s="1"/>
  <c r="AS47" i="117"/>
  <c r="U47" i="117"/>
  <c r="T47" i="117"/>
  <c r="F47" i="117"/>
  <c r="K47" i="117" s="1"/>
  <c r="E47" i="117"/>
  <c r="E48" i="117" s="1"/>
  <c r="E49" i="117" s="1"/>
  <c r="D47" i="117"/>
  <c r="D48" i="117" s="1"/>
  <c r="D49" i="117" s="1"/>
  <c r="AS46" i="117"/>
  <c r="T46" i="117"/>
  <c r="K46" i="117"/>
  <c r="H46" i="117"/>
  <c r="G46" i="117"/>
  <c r="AS45" i="117"/>
  <c r="T45" i="117"/>
  <c r="D45" i="117"/>
  <c r="AS44" i="117"/>
  <c r="T44" i="117"/>
  <c r="F44" i="117"/>
  <c r="K44" i="117" s="1"/>
  <c r="E44" i="117"/>
  <c r="E45" i="117" s="1"/>
  <c r="D44" i="117"/>
  <c r="AS43" i="117"/>
  <c r="T43" i="117"/>
  <c r="K43" i="117"/>
  <c r="H43" i="117"/>
  <c r="G43" i="117"/>
  <c r="AS42" i="117"/>
  <c r="AR42" i="117"/>
  <c r="T42" i="117"/>
  <c r="S42" i="117"/>
  <c r="F42" i="117"/>
  <c r="K42" i="117" s="1"/>
  <c r="AS41" i="117"/>
  <c r="AP41" i="117"/>
  <c r="T41" i="117"/>
  <c r="Q41" i="117"/>
  <c r="F41" i="117"/>
  <c r="K41" i="117" s="1"/>
  <c r="E41" i="117"/>
  <c r="E42" i="117" s="1"/>
  <c r="D41" i="117"/>
  <c r="D42" i="117" s="1"/>
  <c r="AS40" i="117"/>
  <c r="T40" i="117"/>
  <c r="K40" i="117"/>
  <c r="H40" i="117"/>
  <c r="G40" i="117"/>
  <c r="AS39" i="117"/>
  <c r="V39" i="117"/>
  <c r="U39" i="117"/>
  <c r="T39" i="117"/>
  <c r="AS38" i="117"/>
  <c r="AR38" i="117"/>
  <c r="AR235" i="117" s="1"/>
  <c r="T38" i="117"/>
  <c r="H38" i="117"/>
  <c r="G38" i="117"/>
  <c r="G35" i="117" s="1"/>
  <c r="AS37" i="117"/>
  <c r="V37" i="117"/>
  <c r="U37" i="117"/>
  <c r="U235" i="117" s="1"/>
  <c r="S37" i="117"/>
  <c r="S235" i="117" s="1"/>
  <c r="E37" i="117"/>
  <c r="E38" i="117" s="1"/>
  <c r="E39" i="117" s="1"/>
  <c r="AS36" i="117"/>
  <c r="T36" i="117"/>
  <c r="H36" i="117"/>
  <c r="G36" i="117"/>
  <c r="F36" i="117"/>
  <c r="K36" i="117" s="1"/>
  <c r="E36" i="117"/>
  <c r="D36" i="117"/>
  <c r="D37" i="117" s="1"/>
  <c r="D38" i="117" s="1"/>
  <c r="D39" i="117" s="1"/>
  <c r="AS35" i="117"/>
  <c r="T35" i="117"/>
  <c r="K35" i="117"/>
  <c r="H35" i="117"/>
  <c r="AO34" i="117"/>
  <c r="AS34" i="117" s="1"/>
  <c r="T34" i="117"/>
  <c r="H34" i="117"/>
  <c r="H30" i="117" s="1"/>
  <c r="G34" i="117"/>
  <c r="AS33" i="117"/>
  <c r="AP33" i="117"/>
  <c r="Q33" i="117"/>
  <c r="T33" i="117" s="1"/>
  <c r="P33" i="117"/>
  <c r="E33" i="117"/>
  <c r="E34" i="117" s="1"/>
  <c r="D33" i="117"/>
  <c r="D34" i="117" s="1"/>
  <c r="AP32" i="117"/>
  <c r="AO32" i="117"/>
  <c r="AS32" i="117" s="1"/>
  <c r="Q32" i="117"/>
  <c r="T32" i="117" s="1"/>
  <c r="E32" i="117"/>
  <c r="D32" i="117"/>
  <c r="AP31" i="117"/>
  <c r="AS31" i="117" s="1"/>
  <c r="P31" i="117"/>
  <c r="F31" i="117"/>
  <c r="F32" i="117" s="1"/>
  <c r="E31" i="117"/>
  <c r="D31" i="117"/>
  <c r="AS30" i="117"/>
  <c r="T30" i="117"/>
  <c r="K30" i="117"/>
  <c r="G30" i="117"/>
  <c r="AS29" i="117"/>
  <c r="T29" i="117"/>
  <c r="AS28" i="117"/>
  <c r="T28" i="117"/>
  <c r="AP27" i="117"/>
  <c r="AS27" i="117" s="1"/>
  <c r="Q27" i="117"/>
  <c r="T27" i="117" s="1"/>
  <c r="AP26" i="117"/>
  <c r="AS26" i="117" s="1"/>
  <c r="Q26" i="117"/>
  <c r="T26" i="117" s="1"/>
  <c r="H26" i="117"/>
  <c r="G26" i="117"/>
  <c r="G23" i="117" s="1"/>
  <c r="AS25" i="117"/>
  <c r="T25" i="117"/>
  <c r="D25" i="117"/>
  <c r="D26" i="117" s="1"/>
  <c r="D27" i="117" s="1"/>
  <c r="D28" i="117" s="1"/>
  <c r="D29" i="117" s="1"/>
  <c r="AS24" i="117"/>
  <c r="T24" i="117"/>
  <c r="F24" i="117"/>
  <c r="K24" i="117" s="1"/>
  <c r="E24" i="117"/>
  <c r="E25" i="117" s="1"/>
  <c r="E26" i="117" s="1"/>
  <c r="E27" i="117" s="1"/>
  <c r="E28" i="117" s="1"/>
  <c r="E29" i="117" s="1"/>
  <c r="D24" i="117"/>
  <c r="AS23" i="117"/>
  <c r="T23" i="117"/>
  <c r="K23" i="117"/>
  <c r="H23" i="117"/>
  <c r="AS22" i="117"/>
  <c r="T22" i="117"/>
  <c r="F22" i="117"/>
  <c r="K22" i="117" s="1"/>
  <c r="E22" i="117"/>
  <c r="D22" i="117"/>
  <c r="AS21" i="117"/>
  <c r="T21" i="117"/>
  <c r="K21" i="117"/>
  <c r="H21" i="117"/>
  <c r="G21" i="117"/>
  <c r="AS20" i="117"/>
  <c r="T20" i="117"/>
  <c r="H20" i="117"/>
  <c r="G20" i="117"/>
  <c r="AS19" i="117"/>
  <c r="T19" i="117"/>
  <c r="H19" i="117"/>
  <c r="G19" i="117"/>
  <c r="AS18" i="117"/>
  <c r="T18" i="117"/>
  <c r="H18" i="117"/>
  <c r="G18" i="117"/>
  <c r="AS17" i="117"/>
  <c r="T17" i="117"/>
  <c r="H17" i="117"/>
  <c r="G17" i="117"/>
  <c r="AS16" i="117"/>
  <c r="T16" i="117"/>
  <c r="H16" i="117"/>
  <c r="G16" i="117"/>
  <c r="AS15" i="117"/>
  <c r="T15" i="117"/>
  <c r="H15" i="117"/>
  <c r="G15" i="117"/>
  <c r="F15" i="117"/>
  <c r="K15" i="117" s="1"/>
  <c r="E15" i="117"/>
  <c r="E16" i="117" s="1"/>
  <c r="E17" i="117" s="1"/>
  <c r="E18" i="117" s="1"/>
  <c r="E19" i="117" s="1"/>
  <c r="E20" i="117" s="1"/>
  <c r="AO14" i="117"/>
  <c r="AO235" i="117" s="1"/>
  <c r="P14" i="117"/>
  <c r="T14" i="117" s="1"/>
  <c r="H14" i="117"/>
  <c r="G14" i="117"/>
  <c r="G13" i="117" s="1"/>
  <c r="F14" i="117"/>
  <c r="K14" i="117" s="1"/>
  <c r="E14" i="117"/>
  <c r="D14" i="117"/>
  <c r="D15" i="117" s="1"/>
  <c r="D16" i="117" s="1"/>
  <c r="D17" i="117" s="1"/>
  <c r="D18" i="117" s="1"/>
  <c r="D19" i="117" s="1"/>
  <c r="D20" i="117" s="1"/>
  <c r="AS13" i="117"/>
  <c r="T13" i="117"/>
  <c r="K13" i="117"/>
  <c r="H13" i="117"/>
  <c r="AS12" i="117"/>
  <c r="T12" i="117"/>
  <c r="AP11" i="117"/>
  <c r="AS11" i="117" s="1"/>
  <c r="Q11" i="117"/>
  <c r="K11" i="117"/>
  <c r="F11" i="117"/>
  <c r="F12" i="117" s="1"/>
  <c r="K12" i="117" s="1"/>
  <c r="E11" i="117"/>
  <c r="E12" i="117" s="1"/>
  <c r="D11" i="117"/>
  <c r="D12" i="117" s="1"/>
  <c r="AS10" i="117"/>
  <c r="T10" i="117"/>
  <c r="K10" i="117"/>
  <c r="H10" i="117"/>
  <c r="H235" i="117" s="1"/>
  <c r="G10" i="117"/>
  <c r="L1845" i="118"/>
  <c r="K1845" i="118"/>
  <c r="M1844" i="118"/>
  <c r="M1843" i="118"/>
  <c r="M1842" i="118"/>
  <c r="M1841" i="118"/>
  <c r="M1840" i="118"/>
  <c r="M1839" i="118"/>
  <c r="M1838" i="118"/>
  <c r="M1837" i="118"/>
  <c r="M1836" i="118"/>
  <c r="M1835" i="118"/>
  <c r="M1834" i="118"/>
  <c r="M1833" i="118"/>
  <c r="M1832" i="118"/>
  <c r="M1831" i="118"/>
  <c r="M1830" i="118"/>
  <c r="M1829" i="118"/>
  <c r="M1828" i="118"/>
  <c r="M1827" i="118"/>
  <c r="M1826" i="118"/>
  <c r="M1825" i="118"/>
  <c r="M1824" i="118"/>
  <c r="M1823" i="118"/>
  <c r="M1822" i="118"/>
  <c r="M1821" i="118"/>
  <c r="M1820" i="118"/>
  <c r="M1819" i="118"/>
  <c r="M1818" i="118"/>
  <c r="M1817" i="118"/>
  <c r="M1816" i="118"/>
  <c r="M1815" i="118"/>
  <c r="M1814" i="118"/>
  <c r="M1813" i="118"/>
  <c r="M1812" i="118"/>
  <c r="M1810" i="118"/>
  <c r="M1808" i="118"/>
  <c r="M1807" i="118"/>
  <c r="M1806" i="118"/>
  <c r="M1804" i="118"/>
  <c r="M1802" i="118"/>
  <c r="M1800" i="118"/>
  <c r="M1799" i="118"/>
  <c r="M1798" i="118"/>
  <c r="M1797" i="118"/>
  <c r="M1796" i="118"/>
  <c r="M1795" i="118"/>
  <c r="M1794" i="118"/>
  <c r="M1793" i="118"/>
  <c r="M1792" i="118"/>
  <c r="M1791" i="118"/>
  <c r="M1790" i="118"/>
  <c r="M1789" i="118"/>
  <c r="M1787" i="118"/>
  <c r="M1786" i="118"/>
  <c r="M1785" i="118"/>
  <c r="M1784" i="118"/>
  <c r="M1783" i="118"/>
  <c r="M1781" i="118"/>
  <c r="M1780" i="118"/>
  <c r="M1779" i="118"/>
  <c r="M1778" i="118"/>
  <c r="M1777" i="118"/>
  <c r="M1776" i="118"/>
  <c r="M1774" i="118"/>
  <c r="M1773" i="118"/>
  <c r="M1772" i="118"/>
  <c r="M1770" i="118"/>
  <c r="M1769" i="118"/>
  <c r="M1768" i="118"/>
  <c r="M1766" i="118"/>
  <c r="M1765" i="118"/>
  <c r="M1764" i="118"/>
  <c r="M1763" i="118"/>
  <c r="M1762" i="118"/>
  <c r="M1761" i="118"/>
  <c r="M1760" i="118"/>
  <c r="M1758" i="118"/>
  <c r="M1757" i="118"/>
  <c r="M1755" i="118"/>
  <c r="M1754" i="118"/>
  <c r="M1753" i="118"/>
  <c r="M1752" i="118"/>
  <c r="M1751" i="118"/>
  <c r="M1750" i="118"/>
  <c r="M1748" i="118"/>
  <c r="M1747" i="118"/>
  <c r="M1746" i="118"/>
  <c r="M1745" i="118"/>
  <c r="M1744" i="118"/>
  <c r="M1742" i="118"/>
  <c r="M1740" i="118"/>
  <c r="M1739" i="118"/>
  <c r="M1738" i="118"/>
  <c r="M1737" i="118"/>
  <c r="M1736" i="118"/>
  <c r="M1735" i="118"/>
  <c r="M1733" i="118"/>
  <c r="M1732" i="118"/>
  <c r="M1731" i="118"/>
  <c r="M1730" i="118"/>
  <c r="M1729" i="118"/>
  <c r="M1728" i="118"/>
  <c r="M1726" i="118"/>
  <c r="M1725" i="118"/>
  <c r="M1724" i="118"/>
  <c r="M1723" i="118"/>
  <c r="M1721" i="118"/>
  <c r="M1720" i="118"/>
  <c r="M1719" i="118"/>
  <c r="M1717" i="118"/>
  <c r="M1716" i="118"/>
  <c r="M1715" i="118"/>
  <c r="M1714" i="118"/>
  <c r="M1713" i="118"/>
  <c r="M1712" i="118"/>
  <c r="M1711" i="118"/>
  <c r="M1710" i="118"/>
  <c r="M1709" i="118"/>
  <c r="M1708" i="118"/>
  <c r="M1707" i="118"/>
  <c r="M1706" i="118"/>
  <c r="M1705" i="118"/>
  <c r="M1704" i="118"/>
  <c r="M1703" i="118"/>
  <c r="M1702" i="118"/>
  <c r="M1701" i="118"/>
  <c r="M1700" i="118"/>
  <c r="M1699" i="118"/>
  <c r="M1698" i="118"/>
  <c r="M1697" i="118"/>
  <c r="M1696" i="118"/>
  <c r="M1695" i="118"/>
  <c r="M1694" i="118"/>
  <c r="O1694" i="118" s="1"/>
  <c r="P1694" i="118" s="1"/>
  <c r="M1693" i="118"/>
  <c r="O1693" i="118" s="1"/>
  <c r="M1692" i="118"/>
  <c r="M1691" i="118"/>
  <c r="M1690" i="118"/>
  <c r="O1690" i="118" s="1"/>
  <c r="P1690" i="118" s="1"/>
  <c r="M1689" i="118"/>
  <c r="O1689" i="118" s="1"/>
  <c r="M1688" i="118"/>
  <c r="M1687" i="118"/>
  <c r="M1686" i="118"/>
  <c r="O1686" i="118" s="1"/>
  <c r="P1686" i="118" s="1"/>
  <c r="M1685" i="118"/>
  <c r="M1684" i="118"/>
  <c r="M1683" i="118"/>
  <c r="M1682" i="118"/>
  <c r="O1682" i="118" s="1"/>
  <c r="P1682" i="118" s="1"/>
  <c r="M1681" i="118"/>
  <c r="M1680" i="118"/>
  <c r="O1680" i="118" s="1"/>
  <c r="M1679" i="118"/>
  <c r="M1678" i="118"/>
  <c r="M1677" i="118"/>
  <c r="M1676" i="118"/>
  <c r="M1675" i="118"/>
  <c r="O1675" i="118" s="1"/>
  <c r="M1674" i="118"/>
  <c r="M1673" i="118"/>
  <c r="M1672" i="118"/>
  <c r="M1671" i="118"/>
  <c r="M1670" i="118"/>
  <c r="M1669" i="118"/>
  <c r="M1668" i="118"/>
  <c r="M1667" i="118"/>
  <c r="M1666" i="118"/>
  <c r="M1665" i="118"/>
  <c r="M1664" i="118"/>
  <c r="M1663" i="118"/>
  <c r="M1662" i="118"/>
  <c r="M1661" i="118"/>
  <c r="M1660" i="118"/>
  <c r="M1659" i="118"/>
  <c r="O1659" i="118" s="1"/>
  <c r="P1659" i="118" s="1"/>
  <c r="M1658" i="118"/>
  <c r="M1657" i="118"/>
  <c r="M1656" i="118"/>
  <c r="O1655" i="118"/>
  <c r="P1655" i="118" s="1"/>
  <c r="M1655" i="118"/>
  <c r="M1654" i="118"/>
  <c r="M1653" i="118"/>
  <c r="M1652" i="118"/>
  <c r="M1651" i="118"/>
  <c r="O1651" i="118" s="1"/>
  <c r="M1650" i="118"/>
  <c r="M1649" i="118"/>
  <c r="M1648" i="118"/>
  <c r="M1647" i="118"/>
  <c r="M1646" i="118"/>
  <c r="O1646" i="118" s="1"/>
  <c r="M1645" i="118"/>
  <c r="M1644" i="118"/>
  <c r="M1643" i="118"/>
  <c r="M1642" i="118"/>
  <c r="M1641" i="118"/>
  <c r="M1640" i="118"/>
  <c r="M1639" i="118"/>
  <c r="M1638" i="118"/>
  <c r="O1638" i="118" s="1"/>
  <c r="M1637" i="118"/>
  <c r="M1636" i="118"/>
  <c r="M1635" i="118"/>
  <c r="M1634" i="118"/>
  <c r="O1634" i="118" s="1"/>
  <c r="M1633" i="118"/>
  <c r="M1632" i="118"/>
  <c r="M1631" i="118"/>
  <c r="M1630" i="118"/>
  <c r="O1630" i="118" s="1"/>
  <c r="M1629" i="118"/>
  <c r="M1628" i="118"/>
  <c r="M1627" i="118"/>
  <c r="M1626" i="118"/>
  <c r="M1625" i="118"/>
  <c r="M1624" i="118"/>
  <c r="M1623" i="118"/>
  <c r="M1622" i="118"/>
  <c r="M1621" i="118"/>
  <c r="L1615" i="118"/>
  <c r="K1615" i="118"/>
  <c r="M1614" i="118"/>
  <c r="M1613" i="118"/>
  <c r="M1612" i="118"/>
  <c r="M1611" i="118"/>
  <c r="M1610" i="118"/>
  <c r="M1609" i="118"/>
  <c r="M1608" i="118"/>
  <c r="M1607" i="118"/>
  <c r="M1606" i="118"/>
  <c r="M1605" i="118"/>
  <c r="M1604" i="118"/>
  <c r="M1603" i="118"/>
  <c r="M1602" i="118"/>
  <c r="M1601" i="118"/>
  <c r="M1600" i="118"/>
  <c r="M1599" i="118"/>
  <c r="M1598" i="118"/>
  <c r="M1597" i="118"/>
  <c r="M1596" i="118"/>
  <c r="M1595" i="118"/>
  <c r="M1594" i="118"/>
  <c r="M1593" i="118"/>
  <c r="M1592" i="118"/>
  <c r="M1591" i="118"/>
  <c r="M1590" i="118"/>
  <c r="M1589" i="118"/>
  <c r="M1588" i="118"/>
  <c r="M1587" i="118"/>
  <c r="M1586" i="118"/>
  <c r="M1585" i="118"/>
  <c r="M1584" i="118"/>
  <c r="M1583" i="118"/>
  <c r="M1582" i="118"/>
  <c r="M1581" i="118"/>
  <c r="M1579" i="118"/>
  <c r="M1577" i="118"/>
  <c r="M1575" i="118"/>
  <c r="M1573" i="118"/>
  <c r="M1571" i="118"/>
  <c r="M1570" i="118"/>
  <c r="M1569" i="118"/>
  <c r="M1568" i="118"/>
  <c r="M1567" i="118"/>
  <c r="M1566" i="118"/>
  <c r="M1565" i="118"/>
  <c r="M1564" i="118"/>
  <c r="M1563" i="118"/>
  <c r="M1562" i="118"/>
  <c r="M1561" i="118"/>
  <c r="M1560" i="118"/>
  <c r="M1559" i="118"/>
  <c r="M1557" i="118"/>
  <c r="M1556" i="118"/>
  <c r="M1555" i="118"/>
  <c r="M1554" i="118"/>
  <c r="M1553" i="118"/>
  <c r="M1551" i="118"/>
  <c r="M1550" i="118"/>
  <c r="M1549" i="118"/>
  <c r="M1548" i="118"/>
  <c r="M1547" i="118"/>
  <c r="M1546" i="118"/>
  <c r="M1544" i="118"/>
  <c r="M1543" i="118"/>
  <c r="M1542" i="118"/>
  <c r="M1540" i="118"/>
  <c r="M1539" i="118"/>
  <c r="M1538" i="118"/>
  <c r="M1536" i="118"/>
  <c r="M1535" i="118"/>
  <c r="M1534" i="118"/>
  <c r="M1533" i="118"/>
  <c r="M1532" i="118"/>
  <c r="M1531" i="118"/>
  <c r="M1530" i="118"/>
  <c r="M1528" i="118"/>
  <c r="M1527" i="118"/>
  <c r="M1525" i="118"/>
  <c r="M1524" i="118"/>
  <c r="M1523" i="118"/>
  <c r="M1522" i="118"/>
  <c r="M1521" i="118"/>
  <c r="M1520" i="118"/>
  <c r="M1518" i="118"/>
  <c r="M1517" i="118"/>
  <c r="M1516" i="118"/>
  <c r="M1515" i="118"/>
  <c r="M1514" i="118"/>
  <c r="M1512" i="118"/>
  <c r="M1510" i="118"/>
  <c r="M1509" i="118"/>
  <c r="M1508" i="118"/>
  <c r="M1507" i="118"/>
  <c r="M1506" i="118"/>
  <c r="M1505" i="118"/>
  <c r="M1503" i="118"/>
  <c r="M1502" i="118"/>
  <c r="M1501" i="118"/>
  <c r="M1500" i="118"/>
  <c r="M1499" i="118"/>
  <c r="M1498" i="118"/>
  <c r="M1496" i="118"/>
  <c r="M1495" i="118"/>
  <c r="M1494" i="118"/>
  <c r="M1493" i="118"/>
  <c r="M1491" i="118"/>
  <c r="M1490" i="118"/>
  <c r="M1489" i="118"/>
  <c r="M1487" i="118"/>
  <c r="M1486" i="118"/>
  <c r="M1485" i="118"/>
  <c r="M1484" i="118"/>
  <c r="M1483" i="118"/>
  <c r="M1482" i="118"/>
  <c r="M1481" i="118"/>
  <c r="M1480" i="118"/>
  <c r="M1479" i="118"/>
  <c r="M1478" i="118"/>
  <c r="M1477" i="118"/>
  <c r="M1476" i="118"/>
  <c r="M1475" i="118"/>
  <c r="M1474" i="118"/>
  <c r="M1473" i="118"/>
  <c r="M1472" i="118"/>
  <c r="M1471" i="118"/>
  <c r="M1470" i="118"/>
  <c r="M1469" i="118"/>
  <c r="M1468" i="118"/>
  <c r="M1467" i="118"/>
  <c r="M1466" i="118"/>
  <c r="M1465" i="118"/>
  <c r="O1464" i="118"/>
  <c r="M1464" i="118"/>
  <c r="M1463" i="118"/>
  <c r="M1462" i="118"/>
  <c r="M1461" i="118"/>
  <c r="M1460" i="118"/>
  <c r="O1460" i="118" s="1"/>
  <c r="M1459" i="118"/>
  <c r="M1458" i="118"/>
  <c r="M1457" i="118"/>
  <c r="M1456" i="118"/>
  <c r="O1456" i="118" s="1"/>
  <c r="M1455" i="118"/>
  <c r="M1454" i="118"/>
  <c r="M1453" i="118"/>
  <c r="M1452" i="118"/>
  <c r="O1452" i="118" s="1"/>
  <c r="M1451" i="118"/>
  <c r="M1450" i="118"/>
  <c r="M1449" i="118"/>
  <c r="M1448" i="118"/>
  <c r="O1448" i="118" s="1"/>
  <c r="M1447" i="118"/>
  <c r="M1446" i="118"/>
  <c r="M1445" i="118"/>
  <c r="M1444" i="118"/>
  <c r="O1444" i="118" s="1"/>
  <c r="M1443" i="118"/>
  <c r="M1442" i="118"/>
  <c r="M1441" i="118"/>
  <c r="M1440" i="118"/>
  <c r="O1440" i="118" s="1"/>
  <c r="M1439" i="118"/>
  <c r="M1438" i="118"/>
  <c r="M1437" i="118"/>
  <c r="M1436" i="118"/>
  <c r="O1436" i="118" s="1"/>
  <c r="M1435" i="118"/>
  <c r="M1434" i="118"/>
  <c r="M1433" i="118"/>
  <c r="M1432" i="118"/>
  <c r="O1432" i="118" s="1"/>
  <c r="M1431" i="118"/>
  <c r="M1430" i="118"/>
  <c r="M1429" i="118"/>
  <c r="M1428" i="118"/>
  <c r="O1428" i="118" s="1"/>
  <c r="M1427" i="118"/>
  <c r="M1426" i="118"/>
  <c r="M1425" i="118"/>
  <c r="M1424" i="118"/>
  <c r="O1424" i="118" s="1"/>
  <c r="M1423" i="118"/>
  <c r="O1423" i="118" s="1"/>
  <c r="M1422" i="118"/>
  <c r="M1421" i="118"/>
  <c r="M1420" i="118"/>
  <c r="M1419" i="118"/>
  <c r="O1419" i="118" s="1"/>
  <c r="P1419" i="118" s="1"/>
  <c r="M1418" i="118"/>
  <c r="M1417" i="118"/>
  <c r="M1416" i="118"/>
  <c r="O1416" i="118" s="1"/>
  <c r="P1416" i="118" s="1"/>
  <c r="M1415" i="118"/>
  <c r="M1414" i="118"/>
  <c r="P1413" i="118"/>
  <c r="M1413" i="118"/>
  <c r="O1413" i="118" s="1"/>
  <c r="M1412" i="118"/>
  <c r="M1411" i="118"/>
  <c r="M1410" i="118"/>
  <c r="M1409" i="118"/>
  <c r="O1409" i="118" s="1"/>
  <c r="P1409" i="118" s="1"/>
  <c r="M1408" i="118"/>
  <c r="O1408" i="118" s="1"/>
  <c r="P1408" i="118" s="1"/>
  <c r="M1407" i="118"/>
  <c r="M1406" i="118"/>
  <c r="P1405" i="118"/>
  <c r="M1405" i="118"/>
  <c r="O1405" i="118" s="1"/>
  <c r="M1404" i="118"/>
  <c r="O1404" i="118" s="1"/>
  <c r="P1404" i="118" s="1"/>
  <c r="M1403" i="118"/>
  <c r="M1402" i="118"/>
  <c r="M1401" i="118"/>
  <c r="M1400" i="118"/>
  <c r="O1400" i="118" s="1"/>
  <c r="P1400" i="118" s="1"/>
  <c r="M1399" i="118"/>
  <c r="M1398" i="118"/>
  <c r="M1397" i="118"/>
  <c r="O1397" i="118" s="1"/>
  <c r="P1397" i="118" s="1"/>
  <c r="M1396" i="118"/>
  <c r="O1396" i="118" s="1"/>
  <c r="P1396" i="118" s="1"/>
  <c r="M1395" i="118"/>
  <c r="M1394" i="118"/>
  <c r="M1393" i="118"/>
  <c r="M1392" i="118"/>
  <c r="O1392" i="118" s="1"/>
  <c r="P1392" i="118" s="1"/>
  <c r="M1391" i="118"/>
  <c r="L1385" i="118"/>
  <c r="K1385" i="118"/>
  <c r="M1384" i="118"/>
  <c r="M1383" i="118"/>
  <c r="M1382" i="118"/>
  <c r="M1381" i="118"/>
  <c r="M1380" i="118"/>
  <c r="M1379" i="118"/>
  <c r="M1378" i="118"/>
  <c r="M1377" i="118"/>
  <c r="M1376" i="118"/>
  <c r="M1375" i="118"/>
  <c r="M1374" i="118"/>
  <c r="M1373" i="118"/>
  <c r="M1372" i="118"/>
  <c r="M1371" i="118"/>
  <c r="M1370" i="118"/>
  <c r="M1369" i="118"/>
  <c r="M1368" i="118"/>
  <c r="M1367" i="118"/>
  <c r="M1366" i="118"/>
  <c r="M1365" i="118"/>
  <c r="M1364" i="118"/>
  <c r="M1363" i="118"/>
  <c r="M1362" i="118"/>
  <c r="M1361" i="118"/>
  <c r="M1360" i="118"/>
  <c r="M1359" i="118"/>
  <c r="M1358" i="118"/>
  <c r="M1357" i="118"/>
  <c r="M1356" i="118"/>
  <c r="M1355" i="118"/>
  <c r="M1354" i="118"/>
  <c r="M1353" i="118"/>
  <c r="M1352" i="118"/>
  <c r="M1351" i="118"/>
  <c r="M1349" i="118"/>
  <c r="M1347" i="118"/>
  <c r="M1346" i="118"/>
  <c r="M1344" i="118"/>
  <c r="M1342" i="118"/>
  <c r="M1340" i="118"/>
  <c r="M1339" i="118"/>
  <c r="M1338" i="118"/>
  <c r="M1337" i="118"/>
  <c r="M1328" i="118"/>
  <c r="M1322" i="118"/>
  <c r="M1321" i="118"/>
  <c r="M1315" i="118"/>
  <c r="M1311" i="118"/>
  <c r="M1307" i="118"/>
  <c r="M1299" i="118"/>
  <c r="M1298" i="118"/>
  <c r="M1297" i="118"/>
  <c r="M1295" i="118"/>
  <c r="M1294" i="118"/>
  <c r="M1293" i="118"/>
  <c r="M1292" i="118"/>
  <c r="M1291" i="118"/>
  <c r="M1290" i="118"/>
  <c r="M1288" i="118"/>
  <c r="M1287" i="118"/>
  <c r="M1286" i="118"/>
  <c r="M1285" i="118"/>
  <c r="M1284" i="118"/>
  <c r="M1282" i="118"/>
  <c r="M1280" i="118"/>
  <c r="M1279" i="118"/>
  <c r="M1278" i="118"/>
  <c r="M1277" i="118"/>
  <c r="M1276" i="118"/>
  <c r="M1275" i="118"/>
  <c r="M1273" i="118"/>
  <c r="M1272" i="118"/>
  <c r="M1271" i="118"/>
  <c r="M1270" i="118"/>
  <c r="M1269" i="118"/>
  <c r="M1268" i="118"/>
  <c r="M1266" i="118"/>
  <c r="M1265" i="118"/>
  <c r="M1264" i="118"/>
  <c r="M1263" i="118"/>
  <c r="M1261" i="118"/>
  <c r="M1260" i="118"/>
  <c r="M1259" i="118"/>
  <c r="M1257" i="118"/>
  <c r="M1256" i="118"/>
  <c r="M1255" i="118"/>
  <c r="M1254" i="118"/>
  <c r="M1253" i="118"/>
  <c r="M1252" i="118"/>
  <c r="M1251" i="118"/>
  <c r="M1250" i="118"/>
  <c r="M1249" i="118"/>
  <c r="M1248" i="118"/>
  <c r="M1247" i="118"/>
  <c r="M1246" i="118"/>
  <c r="M1245" i="118"/>
  <c r="M1244" i="118"/>
  <c r="M1243" i="118"/>
  <c r="M1242" i="118"/>
  <c r="M1241" i="118"/>
  <c r="M1240" i="118"/>
  <c r="M1239" i="118"/>
  <c r="M1238" i="118"/>
  <c r="M1237" i="118"/>
  <c r="M1236" i="118"/>
  <c r="M1235" i="118"/>
  <c r="M1234" i="118"/>
  <c r="M1233" i="118"/>
  <c r="M1232" i="118"/>
  <c r="O1232" i="118" s="1"/>
  <c r="M1231" i="118"/>
  <c r="M1230" i="118"/>
  <c r="M1229" i="118"/>
  <c r="M1228" i="118"/>
  <c r="O1228" i="118" s="1"/>
  <c r="M1227" i="118"/>
  <c r="M1226" i="118"/>
  <c r="M1225" i="118"/>
  <c r="M1224" i="118"/>
  <c r="M1223" i="118"/>
  <c r="M1222" i="118"/>
  <c r="M1221" i="118"/>
  <c r="M1220" i="118"/>
  <c r="O1220" i="118" s="1"/>
  <c r="M1219" i="118"/>
  <c r="M1218" i="118"/>
  <c r="M1217" i="118"/>
  <c r="M1216" i="118"/>
  <c r="O1215" i="118"/>
  <c r="M1215" i="118"/>
  <c r="M1214" i="118"/>
  <c r="M1213" i="118"/>
  <c r="M1212" i="118"/>
  <c r="O1212" i="118" s="1"/>
  <c r="M1211" i="118"/>
  <c r="M1210" i="118"/>
  <c r="M1209" i="118"/>
  <c r="M1208" i="118"/>
  <c r="O1207" i="118"/>
  <c r="M1207" i="118"/>
  <c r="M1206" i="118"/>
  <c r="M1205" i="118"/>
  <c r="O1204" i="118"/>
  <c r="M1204" i="118"/>
  <c r="M1203" i="118"/>
  <c r="M1202" i="118"/>
  <c r="M1201" i="118"/>
  <c r="M1200" i="118"/>
  <c r="O1200" i="118" s="1"/>
  <c r="M1199" i="118"/>
  <c r="M1198" i="118"/>
  <c r="M1197" i="118"/>
  <c r="M1196" i="118"/>
  <c r="O1196" i="118" s="1"/>
  <c r="M1195" i="118"/>
  <c r="O1195" i="118" s="1"/>
  <c r="P1195" i="118" s="1"/>
  <c r="M1194" i="118"/>
  <c r="M1193" i="118"/>
  <c r="M1192" i="118"/>
  <c r="O1192" i="118" s="1"/>
  <c r="M1191" i="118"/>
  <c r="O1191" i="118" s="1"/>
  <c r="P1191" i="118" s="1"/>
  <c r="M1190" i="118"/>
  <c r="M1189" i="118"/>
  <c r="M1188" i="118"/>
  <c r="O1188" i="118" s="1"/>
  <c r="M1187" i="118"/>
  <c r="M1186" i="118"/>
  <c r="M1185" i="118"/>
  <c r="M1184" i="118"/>
  <c r="O1184" i="118" s="1"/>
  <c r="M1183" i="118"/>
  <c r="M1182" i="118"/>
  <c r="M1181" i="118"/>
  <c r="M1180" i="118"/>
  <c r="O1180" i="118" s="1"/>
  <c r="M1179" i="118"/>
  <c r="M1178" i="118"/>
  <c r="M1177" i="118"/>
  <c r="M1176" i="118"/>
  <c r="O1176" i="118" s="1"/>
  <c r="M1175" i="118"/>
  <c r="M1174" i="118"/>
  <c r="M1173" i="118"/>
  <c r="M1172" i="118"/>
  <c r="O1172" i="118" s="1"/>
  <c r="M1171" i="118"/>
  <c r="M1170" i="118"/>
  <c r="M1169" i="118"/>
  <c r="M1168" i="118"/>
  <c r="O1168" i="118" s="1"/>
  <c r="M1167" i="118"/>
  <c r="M1166" i="118"/>
  <c r="M1165" i="118"/>
  <c r="M1164" i="118"/>
  <c r="O1164" i="118" s="1"/>
  <c r="M1163" i="118"/>
  <c r="M1162" i="118"/>
  <c r="M1161" i="118"/>
  <c r="L1155" i="118"/>
  <c r="K1155" i="118"/>
  <c r="M1154" i="118"/>
  <c r="M1153" i="118"/>
  <c r="M1152" i="118"/>
  <c r="M1151" i="118"/>
  <c r="M1150" i="118"/>
  <c r="M1149" i="118"/>
  <c r="M1148" i="118"/>
  <c r="M1147" i="118"/>
  <c r="M1146" i="118"/>
  <c r="M1145" i="118"/>
  <c r="M1144" i="118"/>
  <c r="M1143" i="118"/>
  <c r="M1142" i="118"/>
  <c r="M1141" i="118"/>
  <c r="M1140" i="118"/>
  <c r="M1139" i="118"/>
  <c r="M1138" i="118"/>
  <c r="M1137" i="118"/>
  <c r="M1136" i="118"/>
  <c r="M1135" i="118"/>
  <c r="M1134" i="118"/>
  <c r="M1133" i="118"/>
  <c r="M1132" i="118"/>
  <c r="M1131" i="118"/>
  <c r="M1130" i="118"/>
  <c r="M1129" i="118"/>
  <c r="M1128" i="118"/>
  <c r="M1127" i="118"/>
  <c r="M1126" i="118"/>
  <c r="M1125" i="118"/>
  <c r="M1124" i="118"/>
  <c r="M1123" i="118"/>
  <c r="M1122" i="118"/>
  <c r="M1121" i="118"/>
  <c r="M1119" i="118"/>
  <c r="M1117" i="118"/>
  <c r="M1116" i="118"/>
  <c r="M1114" i="118"/>
  <c r="M1112" i="118"/>
  <c r="M1110" i="118"/>
  <c r="M1109" i="118"/>
  <c r="M1108" i="118"/>
  <c r="M1107" i="118"/>
  <c r="M1106" i="118"/>
  <c r="M1105" i="118"/>
  <c r="M1104" i="118"/>
  <c r="M1103" i="118"/>
  <c r="M1102" i="118"/>
  <c r="M1101" i="118"/>
  <c r="M1100" i="118"/>
  <c r="M1099" i="118"/>
  <c r="M1097" i="118"/>
  <c r="M1096" i="118"/>
  <c r="M1095" i="118"/>
  <c r="M1094" i="118"/>
  <c r="M1093" i="118"/>
  <c r="M1091" i="118"/>
  <c r="M1090" i="118"/>
  <c r="M1089" i="118"/>
  <c r="M1088" i="118"/>
  <c r="M1087" i="118"/>
  <c r="M1086" i="118"/>
  <c r="M1084" i="118"/>
  <c r="M1083" i="118"/>
  <c r="M1082" i="118"/>
  <c r="M1080" i="118"/>
  <c r="M1079" i="118"/>
  <c r="M1078" i="118"/>
  <c r="M1076" i="118"/>
  <c r="M1075" i="118"/>
  <c r="M1074" i="118"/>
  <c r="M1073" i="118"/>
  <c r="M1072" i="118"/>
  <c r="M1071" i="118"/>
  <c r="M1070" i="118"/>
  <c r="M1068" i="118"/>
  <c r="M1066" i="118"/>
  <c r="M1059" i="118"/>
  <c r="M1053" i="118"/>
  <c r="M1051" i="118"/>
  <c r="M1050" i="118"/>
  <c r="M1049" i="118"/>
  <c r="M1048" i="118"/>
  <c r="M1047" i="118"/>
  <c r="M1046" i="118"/>
  <c r="M1045" i="118"/>
  <c r="M1043" i="118"/>
  <c r="M1042" i="118"/>
  <c r="M1041" i="118"/>
  <c r="M1040" i="118"/>
  <c r="M1039" i="118"/>
  <c r="M1038" i="118"/>
  <c r="M1036" i="118"/>
  <c r="M1035" i="118"/>
  <c r="M1034" i="118"/>
  <c r="M1033" i="118"/>
  <c r="M1031" i="118"/>
  <c r="M1030" i="118"/>
  <c r="M1029" i="118"/>
  <c r="M1027" i="118"/>
  <c r="M1026" i="118"/>
  <c r="M1025" i="118"/>
  <c r="M1024" i="118"/>
  <c r="M1023" i="118"/>
  <c r="M1022" i="118"/>
  <c r="M1021" i="118"/>
  <c r="M1020" i="118"/>
  <c r="M1019" i="118"/>
  <c r="M1018" i="118"/>
  <c r="M1017" i="118"/>
  <c r="M1016" i="118"/>
  <c r="M1015" i="118"/>
  <c r="M1014" i="118"/>
  <c r="M1013" i="118"/>
  <c r="M1012" i="118"/>
  <c r="M1011" i="118"/>
  <c r="M1010" i="118"/>
  <c r="M1009" i="118"/>
  <c r="M1008" i="118"/>
  <c r="M1007" i="118"/>
  <c r="M1006" i="118"/>
  <c r="M1005" i="118"/>
  <c r="M1004" i="118"/>
  <c r="O1004" i="118" s="1"/>
  <c r="M1003" i="118"/>
  <c r="M1002" i="118"/>
  <c r="M1001" i="118"/>
  <c r="M1000" i="118"/>
  <c r="M999" i="118"/>
  <c r="M998" i="118"/>
  <c r="M997" i="118"/>
  <c r="M996" i="118"/>
  <c r="O996" i="118" s="1"/>
  <c r="M995" i="118"/>
  <c r="M994" i="118"/>
  <c r="O994" i="118" s="1"/>
  <c r="P994" i="118" s="1"/>
  <c r="M993" i="118"/>
  <c r="M992" i="118"/>
  <c r="M991" i="118"/>
  <c r="M990" i="118"/>
  <c r="M989" i="118"/>
  <c r="O989" i="118" s="1"/>
  <c r="P989" i="118" s="1"/>
  <c r="M988" i="118"/>
  <c r="M987" i="118"/>
  <c r="O987" i="118" s="1"/>
  <c r="M986" i="118"/>
  <c r="M985" i="118"/>
  <c r="O985" i="118" s="1"/>
  <c r="M984" i="118"/>
  <c r="O984" i="118" s="1"/>
  <c r="P984" i="118" s="1"/>
  <c r="M983" i="118"/>
  <c r="M982" i="118"/>
  <c r="M981" i="118"/>
  <c r="M980" i="118"/>
  <c r="M979" i="118"/>
  <c r="M978" i="118"/>
  <c r="M977" i="118"/>
  <c r="O977" i="118" s="1"/>
  <c r="P977" i="118" s="1"/>
  <c r="M976" i="118"/>
  <c r="O976" i="118" s="1"/>
  <c r="P976" i="118" s="1"/>
  <c r="M975" i="118"/>
  <c r="M974" i="118"/>
  <c r="M973" i="118"/>
  <c r="O973" i="118" s="1"/>
  <c r="M972" i="118"/>
  <c r="M971" i="118"/>
  <c r="M970" i="118"/>
  <c r="M969" i="118"/>
  <c r="O969" i="118" s="1"/>
  <c r="M968" i="118"/>
  <c r="M967" i="118"/>
  <c r="M966" i="118"/>
  <c r="M965" i="118"/>
  <c r="O965" i="118" s="1"/>
  <c r="M964" i="118"/>
  <c r="M963" i="118"/>
  <c r="M962" i="118"/>
  <c r="M961" i="118"/>
  <c r="O961" i="118" s="1"/>
  <c r="M960" i="118"/>
  <c r="M959" i="118"/>
  <c r="M958" i="118"/>
  <c r="M957" i="118"/>
  <c r="M956" i="118"/>
  <c r="O956" i="118" s="1"/>
  <c r="P956" i="118" s="1"/>
  <c r="M955" i="118"/>
  <c r="M954" i="118"/>
  <c r="P953" i="118"/>
  <c r="M953" i="118"/>
  <c r="O953" i="118" s="1"/>
  <c r="O952" i="118"/>
  <c r="P952" i="118" s="1"/>
  <c r="M952" i="118"/>
  <c r="M951" i="118"/>
  <c r="M950" i="118"/>
  <c r="P949" i="118"/>
  <c r="M949" i="118"/>
  <c r="O949" i="118" s="1"/>
  <c r="M948" i="118"/>
  <c r="O948" i="118" s="1"/>
  <c r="P948" i="118" s="1"/>
  <c r="M947" i="118"/>
  <c r="M946" i="118"/>
  <c r="M945" i="118"/>
  <c r="O945" i="118" s="1"/>
  <c r="M944" i="118"/>
  <c r="O944" i="118" s="1"/>
  <c r="P944" i="118" s="1"/>
  <c r="M943" i="118"/>
  <c r="M942" i="118"/>
  <c r="P941" i="118"/>
  <c r="M941" i="118"/>
  <c r="O941" i="118" s="1"/>
  <c r="M940" i="118"/>
  <c r="M939" i="118"/>
  <c r="M938" i="118"/>
  <c r="M937" i="118"/>
  <c r="O937" i="118" s="1"/>
  <c r="M936" i="118"/>
  <c r="O936" i="118" s="1"/>
  <c r="P936" i="118" s="1"/>
  <c r="M935" i="118"/>
  <c r="M934" i="118"/>
  <c r="M933" i="118"/>
  <c r="O933" i="118" s="1"/>
  <c r="M932" i="118"/>
  <c r="M931" i="118"/>
  <c r="M930" i="118"/>
  <c r="L925" i="118"/>
  <c r="K925" i="118"/>
  <c r="M924" i="118"/>
  <c r="M923" i="118"/>
  <c r="M922" i="118"/>
  <c r="M921" i="118"/>
  <c r="M920" i="118"/>
  <c r="M919" i="118"/>
  <c r="M918" i="118"/>
  <c r="M917" i="118"/>
  <c r="M916" i="118"/>
  <c r="M915" i="118"/>
  <c r="M914" i="118"/>
  <c r="M913" i="118"/>
  <c r="M912" i="118"/>
  <c r="M911" i="118"/>
  <c r="M910" i="118"/>
  <c r="M909" i="118"/>
  <c r="M908" i="118"/>
  <c r="M907" i="118"/>
  <c r="M906" i="118"/>
  <c r="M905" i="118"/>
  <c r="M904" i="118"/>
  <c r="M903" i="118"/>
  <c r="M902" i="118"/>
  <c r="M901" i="118"/>
  <c r="M900" i="118"/>
  <c r="M899" i="118"/>
  <c r="M898" i="118"/>
  <c r="M897" i="118"/>
  <c r="M896" i="118"/>
  <c r="M895" i="118"/>
  <c r="M894" i="118"/>
  <c r="M893" i="118"/>
  <c r="M892" i="118"/>
  <c r="M891" i="118"/>
  <c r="M889" i="118"/>
  <c r="M887" i="118"/>
  <c r="M886" i="118"/>
  <c r="M884" i="118"/>
  <c r="M882" i="118"/>
  <c r="M880" i="118"/>
  <c r="M879" i="118"/>
  <c r="M878" i="118"/>
  <c r="M877" i="118"/>
  <c r="M876" i="118"/>
  <c r="M875" i="118"/>
  <c r="M874" i="118"/>
  <c r="M873" i="118"/>
  <c r="M872" i="118"/>
  <c r="M871" i="118"/>
  <c r="M870" i="118"/>
  <c r="M869" i="118"/>
  <c r="M867" i="118"/>
  <c r="M866" i="118"/>
  <c r="M865" i="118"/>
  <c r="M864" i="118"/>
  <c r="M863" i="118"/>
  <c r="M861" i="118"/>
  <c r="M860" i="118"/>
  <c r="M859" i="118"/>
  <c r="M858" i="118"/>
  <c r="M857" i="118"/>
  <c r="M856" i="118"/>
  <c r="M854" i="118"/>
  <c r="M853" i="118"/>
  <c r="M852" i="118"/>
  <c r="M850" i="118"/>
  <c r="M849" i="118"/>
  <c r="M848" i="118"/>
  <c r="M846" i="118"/>
  <c r="M845" i="118"/>
  <c r="M844" i="118"/>
  <c r="M843" i="118"/>
  <c r="M842" i="118"/>
  <c r="M841" i="118"/>
  <c r="M840" i="118"/>
  <c r="M838" i="118"/>
  <c r="M837" i="118"/>
  <c r="M835" i="118"/>
  <c r="M834" i="118"/>
  <c r="M833" i="118"/>
  <c r="M832" i="118"/>
  <c r="M831" i="118"/>
  <c r="M830" i="118"/>
  <c r="M828" i="118"/>
  <c r="M827" i="118"/>
  <c r="M826" i="118"/>
  <c r="M825" i="118"/>
  <c r="M824" i="118"/>
  <c r="M822" i="118"/>
  <c r="M820" i="118"/>
  <c r="M814" i="118"/>
  <c r="M807" i="118"/>
  <c r="M802" i="118"/>
  <c r="M798" i="118"/>
  <c r="M797" i="118"/>
  <c r="M796" i="118"/>
  <c r="M795" i="118"/>
  <c r="M794" i="118"/>
  <c r="M793" i="118"/>
  <c r="M792" i="118"/>
  <c r="M791" i="118"/>
  <c r="M790" i="118"/>
  <c r="M789" i="118"/>
  <c r="M788" i="118"/>
  <c r="M787" i="118"/>
  <c r="M786" i="118"/>
  <c r="M785" i="118"/>
  <c r="M784" i="118"/>
  <c r="M783" i="118"/>
  <c r="M782" i="118"/>
  <c r="M781" i="118"/>
  <c r="M780" i="118"/>
  <c r="M779" i="118"/>
  <c r="M778" i="118"/>
  <c r="M777" i="118"/>
  <c r="M776" i="118"/>
  <c r="M775" i="118"/>
  <c r="O774" i="118"/>
  <c r="P774" i="118" s="1"/>
  <c r="M774" i="118"/>
  <c r="M773" i="118"/>
  <c r="M772" i="118"/>
  <c r="M771" i="118"/>
  <c r="M770" i="118"/>
  <c r="O770" i="118" s="1"/>
  <c r="P770" i="118" s="1"/>
  <c r="M769" i="118"/>
  <c r="M768" i="118"/>
  <c r="M767" i="118"/>
  <c r="M766" i="118"/>
  <c r="O766" i="118" s="1"/>
  <c r="P766" i="118" s="1"/>
  <c r="M765" i="118"/>
  <c r="O764" i="118"/>
  <c r="M764" i="118"/>
  <c r="M763" i="118"/>
  <c r="O762" i="118"/>
  <c r="P762" i="118" s="1"/>
  <c r="M762" i="118"/>
  <c r="M761" i="118"/>
  <c r="M760" i="118"/>
  <c r="O760" i="118" s="1"/>
  <c r="M759" i="118"/>
  <c r="M758" i="118"/>
  <c r="O758" i="118" s="1"/>
  <c r="P758" i="118" s="1"/>
  <c r="M757" i="118"/>
  <c r="M756" i="118"/>
  <c r="O756" i="118" s="1"/>
  <c r="M755" i="118"/>
  <c r="M754" i="118"/>
  <c r="M753" i="118"/>
  <c r="M752" i="118"/>
  <c r="O752" i="118" s="1"/>
  <c r="M751" i="118"/>
  <c r="M750" i="118"/>
  <c r="M749" i="118"/>
  <c r="O749" i="118" s="1"/>
  <c r="P749" i="118" s="1"/>
  <c r="M748" i="118"/>
  <c r="O748" i="118" s="1"/>
  <c r="M747" i="118"/>
  <c r="M746" i="118"/>
  <c r="O745" i="118"/>
  <c r="P745" i="118" s="1"/>
  <c r="M745" i="118"/>
  <c r="O744" i="118"/>
  <c r="M744" i="118"/>
  <c r="M743" i="118"/>
  <c r="M742" i="118"/>
  <c r="O741" i="118"/>
  <c r="P741" i="118" s="1"/>
  <c r="M741" i="118"/>
  <c r="O740" i="118"/>
  <c r="M740" i="118"/>
  <c r="M739" i="118"/>
  <c r="M738" i="118"/>
  <c r="O737" i="118"/>
  <c r="P737" i="118" s="1"/>
  <c r="M737" i="118"/>
  <c r="M736" i="118"/>
  <c r="O736" i="118" s="1"/>
  <c r="M735" i="118"/>
  <c r="M734" i="118"/>
  <c r="M733" i="118"/>
  <c r="O733" i="118" s="1"/>
  <c r="P733" i="118" s="1"/>
  <c r="M732" i="118"/>
  <c r="O732" i="118" s="1"/>
  <c r="M731" i="118"/>
  <c r="M730" i="118"/>
  <c r="M729" i="118"/>
  <c r="O729" i="118" s="1"/>
  <c r="P729" i="118" s="1"/>
  <c r="M728" i="118"/>
  <c r="O728" i="118" s="1"/>
  <c r="M727" i="118"/>
  <c r="O726" i="118"/>
  <c r="M726" i="118"/>
  <c r="O725" i="118"/>
  <c r="M725" i="118"/>
  <c r="M724" i="118"/>
  <c r="M723" i="118"/>
  <c r="O723" i="118" s="1"/>
  <c r="M722" i="118"/>
  <c r="O722" i="118" s="1"/>
  <c r="M721" i="118"/>
  <c r="O720" i="118"/>
  <c r="M720" i="118"/>
  <c r="M719" i="118"/>
  <c r="M718" i="118"/>
  <c r="O717" i="118"/>
  <c r="P717" i="118" s="1"/>
  <c r="M717" i="118"/>
  <c r="M716" i="118"/>
  <c r="M715" i="118"/>
  <c r="M714" i="118"/>
  <c r="O714" i="118" s="1"/>
  <c r="M713" i="118"/>
  <c r="O712" i="118"/>
  <c r="M712" i="118"/>
  <c r="M711" i="118"/>
  <c r="M710" i="118"/>
  <c r="O710" i="118" s="1"/>
  <c r="M709" i="118"/>
  <c r="O709" i="118" s="1"/>
  <c r="M708" i="118"/>
  <c r="M707" i="118"/>
  <c r="O707" i="118" s="1"/>
  <c r="M706" i="118"/>
  <c r="O706" i="118" s="1"/>
  <c r="M705" i="118"/>
  <c r="M704" i="118"/>
  <c r="P703" i="118"/>
  <c r="M703" i="118"/>
  <c r="O703" i="118" s="1"/>
  <c r="O702" i="118"/>
  <c r="P702" i="118" s="1"/>
  <c r="M702" i="118"/>
  <c r="M701" i="118"/>
  <c r="M700" i="118"/>
  <c r="L695" i="118"/>
  <c r="K695" i="118"/>
  <c r="M694" i="118"/>
  <c r="M693" i="118"/>
  <c r="M692" i="118"/>
  <c r="M691" i="118"/>
  <c r="M690" i="118"/>
  <c r="M689" i="118"/>
  <c r="M688" i="118"/>
  <c r="M687" i="118"/>
  <c r="M686" i="118"/>
  <c r="M685" i="118"/>
  <c r="M684" i="118"/>
  <c r="M683" i="118"/>
  <c r="M682" i="118"/>
  <c r="M681" i="118"/>
  <c r="M680" i="118"/>
  <c r="M679" i="118"/>
  <c r="M678" i="118"/>
  <c r="M677" i="118"/>
  <c r="M676" i="118"/>
  <c r="M675" i="118"/>
  <c r="M674" i="118"/>
  <c r="M673" i="118"/>
  <c r="M672" i="118"/>
  <c r="M671" i="118"/>
  <c r="M670" i="118"/>
  <c r="M669" i="118"/>
  <c r="M668" i="118"/>
  <c r="M667" i="118"/>
  <c r="M666" i="118"/>
  <c r="M665" i="118"/>
  <c r="M664" i="118"/>
  <c r="M663" i="118"/>
  <c r="M662" i="118"/>
  <c r="M661" i="118"/>
  <c r="M660" i="118"/>
  <c r="M659" i="118"/>
  <c r="M658" i="118"/>
  <c r="M657" i="118"/>
  <c r="M656" i="118"/>
  <c r="M655" i="118"/>
  <c r="M654" i="118"/>
  <c r="M653" i="118"/>
  <c r="M652" i="118"/>
  <c r="M651" i="118"/>
  <c r="M650" i="118"/>
  <c r="M649" i="118"/>
  <c r="M648" i="118"/>
  <c r="M647" i="118"/>
  <c r="M646" i="118"/>
  <c r="M645" i="118"/>
  <c r="M644" i="118"/>
  <c r="M643" i="118"/>
  <c r="M642" i="118"/>
  <c r="M641" i="118"/>
  <c r="M640" i="118"/>
  <c r="M639" i="118"/>
  <c r="M638" i="118"/>
  <c r="M637" i="118"/>
  <c r="M636" i="118"/>
  <c r="M635" i="118"/>
  <c r="M634" i="118"/>
  <c r="M633" i="118"/>
  <c r="M632" i="118"/>
  <c r="M631" i="118"/>
  <c r="M630" i="118"/>
  <c r="M629" i="118"/>
  <c r="M628" i="118"/>
  <c r="M627" i="118"/>
  <c r="M626" i="118"/>
  <c r="M625" i="118"/>
  <c r="M624" i="118"/>
  <c r="M623" i="118"/>
  <c r="M622" i="118"/>
  <c r="M621" i="118"/>
  <c r="M620" i="118"/>
  <c r="M619" i="118"/>
  <c r="M618" i="118"/>
  <c r="M617" i="118"/>
  <c r="M616" i="118"/>
  <c r="M615" i="118"/>
  <c r="M614" i="118"/>
  <c r="M613" i="118"/>
  <c r="M612" i="118"/>
  <c r="M611" i="118"/>
  <c r="M610" i="118"/>
  <c r="M609" i="118"/>
  <c r="M608" i="118"/>
  <c r="M607" i="118"/>
  <c r="M606" i="118"/>
  <c r="M605" i="118"/>
  <c r="M604" i="118"/>
  <c r="M603" i="118"/>
  <c r="M602" i="118"/>
  <c r="M601" i="118"/>
  <c r="M600" i="118"/>
  <c r="M599" i="118"/>
  <c r="M598" i="118"/>
  <c r="M597" i="118"/>
  <c r="M596" i="118"/>
  <c r="M595" i="118"/>
  <c r="M594" i="118"/>
  <c r="M593" i="118"/>
  <c r="M592" i="118"/>
  <c r="M591" i="118"/>
  <c r="M590" i="118"/>
  <c r="M589" i="118"/>
  <c r="M588" i="118"/>
  <c r="M587" i="118"/>
  <c r="M586" i="118"/>
  <c r="M585" i="118"/>
  <c r="M584" i="118"/>
  <c r="M583" i="118"/>
  <c r="M582" i="118"/>
  <c r="M581" i="118"/>
  <c r="M580" i="118"/>
  <c r="M579" i="118"/>
  <c r="M578" i="118"/>
  <c r="M577" i="118"/>
  <c r="M576" i="118"/>
  <c r="M575" i="118"/>
  <c r="M574" i="118"/>
  <c r="M573" i="118"/>
  <c r="M572" i="118"/>
  <c r="M571" i="118"/>
  <c r="M570" i="118"/>
  <c r="M569" i="118"/>
  <c r="M568" i="118"/>
  <c r="M567" i="118"/>
  <c r="M566" i="118"/>
  <c r="M565" i="118"/>
  <c r="M564" i="118"/>
  <c r="M563" i="118"/>
  <c r="M562" i="118"/>
  <c r="M561" i="118"/>
  <c r="M560" i="118"/>
  <c r="M559" i="118"/>
  <c r="M558" i="118"/>
  <c r="M557" i="118"/>
  <c r="M556" i="118"/>
  <c r="M555" i="118"/>
  <c r="M554" i="118"/>
  <c r="M553" i="118"/>
  <c r="M552" i="118"/>
  <c r="M551" i="118"/>
  <c r="M550" i="118"/>
  <c r="M549" i="118"/>
  <c r="M548" i="118"/>
  <c r="M547" i="118"/>
  <c r="M546" i="118"/>
  <c r="M545" i="118"/>
  <c r="O544" i="118"/>
  <c r="M544" i="118"/>
  <c r="M543" i="118"/>
  <c r="O542" i="118"/>
  <c r="M542" i="118"/>
  <c r="M541" i="118"/>
  <c r="M540" i="118"/>
  <c r="M539" i="118"/>
  <c r="M538" i="118"/>
  <c r="O538" i="118" s="1"/>
  <c r="M537" i="118"/>
  <c r="M536" i="118"/>
  <c r="M535" i="118"/>
  <c r="M534" i="118"/>
  <c r="M533" i="118"/>
  <c r="O532" i="118"/>
  <c r="M532" i="118"/>
  <c r="M531" i="118"/>
  <c r="M530" i="118"/>
  <c r="M529" i="118"/>
  <c r="M528" i="118"/>
  <c r="O528" i="118" s="1"/>
  <c r="M527" i="118"/>
  <c r="M526" i="118"/>
  <c r="O526" i="118" s="1"/>
  <c r="M525" i="118"/>
  <c r="M524" i="118"/>
  <c r="M523" i="118"/>
  <c r="M522" i="118"/>
  <c r="O522" i="118" s="1"/>
  <c r="M521" i="118"/>
  <c r="M520" i="118"/>
  <c r="O520" i="118" s="1"/>
  <c r="M519" i="118"/>
  <c r="O518" i="118"/>
  <c r="M518" i="118"/>
  <c r="P517" i="118"/>
  <c r="M517" i="118"/>
  <c r="O517" i="118" s="1"/>
  <c r="M516" i="118"/>
  <c r="M515" i="118"/>
  <c r="O514" i="118"/>
  <c r="M514" i="118"/>
  <c r="M513" i="118"/>
  <c r="M512" i="118"/>
  <c r="O512" i="118" s="1"/>
  <c r="M511" i="118"/>
  <c r="M510" i="118"/>
  <c r="M509" i="118"/>
  <c r="M508" i="118"/>
  <c r="M507" i="118"/>
  <c r="M506" i="118"/>
  <c r="M505" i="118"/>
  <c r="M504" i="118"/>
  <c r="M503" i="118"/>
  <c r="M502" i="118"/>
  <c r="M501" i="118"/>
  <c r="M500" i="118"/>
  <c r="M499" i="118"/>
  <c r="M498" i="118"/>
  <c r="M497" i="118"/>
  <c r="M496" i="118"/>
  <c r="O495" i="118"/>
  <c r="P495" i="118" s="1"/>
  <c r="M495" i="118"/>
  <c r="M494" i="118"/>
  <c r="M493" i="118"/>
  <c r="M492" i="118"/>
  <c r="M491" i="118"/>
  <c r="M490" i="118"/>
  <c r="M489" i="118"/>
  <c r="M488" i="118"/>
  <c r="M487" i="118"/>
  <c r="M486" i="118"/>
  <c r="M485" i="118"/>
  <c r="M484" i="118"/>
  <c r="M483" i="118"/>
  <c r="M482" i="118"/>
  <c r="M481" i="118"/>
  <c r="M480" i="118"/>
  <c r="O479" i="118"/>
  <c r="M479" i="118"/>
  <c r="M478" i="118"/>
  <c r="M477" i="118"/>
  <c r="M476" i="118"/>
  <c r="P475" i="118"/>
  <c r="M475" i="118"/>
  <c r="O475" i="118" s="1"/>
  <c r="M474" i="118"/>
  <c r="M473" i="118"/>
  <c r="M472" i="118"/>
  <c r="M471" i="118"/>
  <c r="M470" i="118"/>
  <c r="L465" i="118"/>
  <c r="K465" i="118"/>
  <c r="B465" i="118"/>
  <c r="B695" i="118" s="1"/>
  <c r="B925" i="118" s="1"/>
  <c r="B1155" i="118" s="1"/>
  <c r="B1385" i="118" s="1"/>
  <c r="B1615" i="118" s="1"/>
  <c r="B1845" i="118" s="1"/>
  <c r="M464" i="118"/>
  <c r="C464" i="118"/>
  <c r="C694" i="118" s="1"/>
  <c r="C924" i="118" s="1"/>
  <c r="C1154" i="118" s="1"/>
  <c r="C1384" i="118" s="1"/>
  <c r="C1614" i="118" s="1"/>
  <c r="C1844" i="118" s="1"/>
  <c r="M463" i="118"/>
  <c r="C463" i="118"/>
  <c r="C693" i="118" s="1"/>
  <c r="C923" i="118" s="1"/>
  <c r="C1153" i="118" s="1"/>
  <c r="C1383" i="118" s="1"/>
  <c r="C1613" i="118" s="1"/>
  <c r="C1843" i="118" s="1"/>
  <c r="M462" i="118"/>
  <c r="C462" i="118"/>
  <c r="C692" i="118" s="1"/>
  <c r="C922" i="118" s="1"/>
  <c r="C1152" i="118" s="1"/>
  <c r="C1382" i="118" s="1"/>
  <c r="C1612" i="118" s="1"/>
  <c r="C1842" i="118" s="1"/>
  <c r="M461" i="118"/>
  <c r="C461" i="118"/>
  <c r="C691" i="118" s="1"/>
  <c r="C921" i="118" s="1"/>
  <c r="C1151" i="118" s="1"/>
  <c r="C1381" i="118" s="1"/>
  <c r="C1611" i="118" s="1"/>
  <c r="C1841" i="118" s="1"/>
  <c r="M460" i="118"/>
  <c r="C460" i="118"/>
  <c r="C690" i="118" s="1"/>
  <c r="C920" i="118" s="1"/>
  <c r="C1150" i="118" s="1"/>
  <c r="C1380" i="118" s="1"/>
  <c r="C1610" i="118" s="1"/>
  <c r="C1840" i="118" s="1"/>
  <c r="M459" i="118"/>
  <c r="C459" i="118"/>
  <c r="C689" i="118" s="1"/>
  <c r="C919" i="118" s="1"/>
  <c r="C1149" i="118" s="1"/>
  <c r="C1379" i="118" s="1"/>
  <c r="C1609" i="118" s="1"/>
  <c r="C1839" i="118" s="1"/>
  <c r="M458" i="118"/>
  <c r="C458" i="118"/>
  <c r="C688" i="118" s="1"/>
  <c r="C918" i="118" s="1"/>
  <c r="C1148" i="118" s="1"/>
  <c r="C1378" i="118" s="1"/>
  <c r="C1608" i="118" s="1"/>
  <c r="C1838" i="118" s="1"/>
  <c r="M457" i="118"/>
  <c r="C457" i="118"/>
  <c r="C687" i="118" s="1"/>
  <c r="C917" i="118" s="1"/>
  <c r="C1147" i="118" s="1"/>
  <c r="C1377" i="118" s="1"/>
  <c r="C1607" i="118" s="1"/>
  <c r="C1837" i="118" s="1"/>
  <c r="M456" i="118"/>
  <c r="C456" i="118"/>
  <c r="C686" i="118" s="1"/>
  <c r="C916" i="118" s="1"/>
  <c r="C1146" i="118" s="1"/>
  <c r="C1376" i="118" s="1"/>
  <c r="C1606" i="118" s="1"/>
  <c r="C1836" i="118" s="1"/>
  <c r="M455" i="118"/>
  <c r="C455" i="118"/>
  <c r="C685" i="118" s="1"/>
  <c r="C915" i="118" s="1"/>
  <c r="C1145" i="118" s="1"/>
  <c r="C1375" i="118" s="1"/>
  <c r="C1605" i="118" s="1"/>
  <c r="C1835" i="118" s="1"/>
  <c r="M454" i="118"/>
  <c r="C454" i="118"/>
  <c r="C684" i="118" s="1"/>
  <c r="C914" i="118" s="1"/>
  <c r="C1144" i="118" s="1"/>
  <c r="C1374" i="118" s="1"/>
  <c r="C1604" i="118" s="1"/>
  <c r="C1834" i="118" s="1"/>
  <c r="M453" i="118"/>
  <c r="C453" i="118"/>
  <c r="C683" i="118" s="1"/>
  <c r="C913" i="118" s="1"/>
  <c r="C1143" i="118" s="1"/>
  <c r="C1373" i="118" s="1"/>
  <c r="C1603" i="118" s="1"/>
  <c r="C1833" i="118" s="1"/>
  <c r="M452" i="118"/>
  <c r="C452" i="118"/>
  <c r="C682" i="118" s="1"/>
  <c r="C912" i="118" s="1"/>
  <c r="C1142" i="118" s="1"/>
  <c r="C1372" i="118" s="1"/>
  <c r="C1602" i="118" s="1"/>
  <c r="C1832" i="118" s="1"/>
  <c r="M451" i="118"/>
  <c r="C451" i="118"/>
  <c r="C681" i="118" s="1"/>
  <c r="C911" i="118" s="1"/>
  <c r="C1141" i="118" s="1"/>
  <c r="C1371" i="118" s="1"/>
  <c r="C1601" i="118" s="1"/>
  <c r="C1831" i="118" s="1"/>
  <c r="M450" i="118"/>
  <c r="C450" i="118"/>
  <c r="C680" i="118" s="1"/>
  <c r="C910" i="118" s="1"/>
  <c r="C1140" i="118" s="1"/>
  <c r="C1370" i="118" s="1"/>
  <c r="C1600" i="118" s="1"/>
  <c r="C1830" i="118" s="1"/>
  <c r="M449" i="118"/>
  <c r="C449" i="118"/>
  <c r="C679" i="118" s="1"/>
  <c r="C909" i="118" s="1"/>
  <c r="C1139" i="118" s="1"/>
  <c r="C1369" i="118" s="1"/>
  <c r="C1599" i="118" s="1"/>
  <c r="C1829" i="118" s="1"/>
  <c r="M448" i="118"/>
  <c r="C448" i="118"/>
  <c r="C678" i="118" s="1"/>
  <c r="C908" i="118" s="1"/>
  <c r="C1138" i="118" s="1"/>
  <c r="C1368" i="118" s="1"/>
  <c r="C1598" i="118" s="1"/>
  <c r="C1828" i="118" s="1"/>
  <c r="M447" i="118"/>
  <c r="C447" i="118"/>
  <c r="C677" i="118" s="1"/>
  <c r="C907" i="118" s="1"/>
  <c r="C1137" i="118" s="1"/>
  <c r="C1367" i="118" s="1"/>
  <c r="C1597" i="118" s="1"/>
  <c r="C1827" i="118" s="1"/>
  <c r="M446" i="118"/>
  <c r="C446" i="118"/>
  <c r="C676" i="118" s="1"/>
  <c r="C906" i="118" s="1"/>
  <c r="C1136" i="118" s="1"/>
  <c r="C1366" i="118" s="1"/>
  <c r="C1596" i="118" s="1"/>
  <c r="C1826" i="118" s="1"/>
  <c r="M445" i="118"/>
  <c r="C445" i="118"/>
  <c r="C675" i="118" s="1"/>
  <c r="C905" i="118" s="1"/>
  <c r="C1135" i="118" s="1"/>
  <c r="C1365" i="118" s="1"/>
  <c r="C1595" i="118" s="1"/>
  <c r="C1825" i="118" s="1"/>
  <c r="M444" i="118"/>
  <c r="C444" i="118"/>
  <c r="C674" i="118" s="1"/>
  <c r="C904" i="118" s="1"/>
  <c r="C1134" i="118" s="1"/>
  <c r="C1364" i="118" s="1"/>
  <c r="C1594" i="118" s="1"/>
  <c r="C1824" i="118" s="1"/>
  <c r="M443" i="118"/>
  <c r="C443" i="118"/>
  <c r="C673" i="118" s="1"/>
  <c r="C903" i="118" s="1"/>
  <c r="C1133" i="118" s="1"/>
  <c r="C1363" i="118" s="1"/>
  <c r="C1593" i="118" s="1"/>
  <c r="C1823" i="118" s="1"/>
  <c r="M442" i="118"/>
  <c r="C442" i="118"/>
  <c r="C672" i="118" s="1"/>
  <c r="C902" i="118" s="1"/>
  <c r="C1132" i="118" s="1"/>
  <c r="C1362" i="118" s="1"/>
  <c r="C1592" i="118" s="1"/>
  <c r="C1822" i="118" s="1"/>
  <c r="M441" i="118"/>
  <c r="C441" i="118"/>
  <c r="C671" i="118" s="1"/>
  <c r="C901" i="118" s="1"/>
  <c r="C1131" i="118" s="1"/>
  <c r="C1361" i="118" s="1"/>
  <c r="C1591" i="118" s="1"/>
  <c r="C1821" i="118" s="1"/>
  <c r="M440" i="118"/>
  <c r="C440" i="118"/>
  <c r="C670" i="118" s="1"/>
  <c r="C900" i="118" s="1"/>
  <c r="C1130" i="118" s="1"/>
  <c r="C1360" i="118" s="1"/>
  <c r="C1590" i="118" s="1"/>
  <c r="C1820" i="118" s="1"/>
  <c r="M439" i="118"/>
  <c r="C439" i="118"/>
  <c r="C669" i="118" s="1"/>
  <c r="C899" i="118" s="1"/>
  <c r="C1129" i="118" s="1"/>
  <c r="C1359" i="118" s="1"/>
  <c r="C1589" i="118" s="1"/>
  <c r="C1819" i="118" s="1"/>
  <c r="M438" i="118"/>
  <c r="C438" i="118"/>
  <c r="C668" i="118" s="1"/>
  <c r="C898" i="118" s="1"/>
  <c r="C1128" i="118" s="1"/>
  <c r="C1358" i="118" s="1"/>
  <c r="C1588" i="118" s="1"/>
  <c r="C1818" i="118" s="1"/>
  <c r="M437" i="118"/>
  <c r="C437" i="118"/>
  <c r="C667" i="118" s="1"/>
  <c r="C897" i="118" s="1"/>
  <c r="C1127" i="118" s="1"/>
  <c r="C1357" i="118" s="1"/>
  <c r="C1587" i="118" s="1"/>
  <c r="C1817" i="118" s="1"/>
  <c r="M436" i="118"/>
  <c r="C436" i="118"/>
  <c r="C666" i="118" s="1"/>
  <c r="C896" i="118" s="1"/>
  <c r="C1126" i="118" s="1"/>
  <c r="C1356" i="118" s="1"/>
  <c r="C1586" i="118" s="1"/>
  <c r="C1816" i="118" s="1"/>
  <c r="M435" i="118"/>
  <c r="C435" i="118"/>
  <c r="C665" i="118" s="1"/>
  <c r="C895" i="118" s="1"/>
  <c r="C1125" i="118" s="1"/>
  <c r="C1355" i="118" s="1"/>
  <c r="C1585" i="118" s="1"/>
  <c r="C1815" i="118" s="1"/>
  <c r="M434" i="118"/>
  <c r="C434" i="118"/>
  <c r="C664" i="118" s="1"/>
  <c r="C894" i="118" s="1"/>
  <c r="C1124" i="118" s="1"/>
  <c r="C1354" i="118" s="1"/>
  <c r="C1584" i="118" s="1"/>
  <c r="C1814" i="118" s="1"/>
  <c r="M433" i="118"/>
  <c r="C433" i="118"/>
  <c r="C663" i="118" s="1"/>
  <c r="C893" i="118" s="1"/>
  <c r="C1123" i="118" s="1"/>
  <c r="C1353" i="118" s="1"/>
  <c r="C1583" i="118" s="1"/>
  <c r="C1813" i="118" s="1"/>
  <c r="M432" i="118"/>
  <c r="C432" i="118"/>
  <c r="C662" i="118" s="1"/>
  <c r="C892" i="118" s="1"/>
  <c r="C1122" i="118" s="1"/>
  <c r="C1352" i="118" s="1"/>
  <c r="C1582" i="118" s="1"/>
  <c r="C1812" i="118" s="1"/>
  <c r="M431" i="118"/>
  <c r="C431" i="118"/>
  <c r="C661" i="118" s="1"/>
  <c r="C891" i="118" s="1"/>
  <c r="C1121" i="118" s="1"/>
  <c r="C1351" i="118" s="1"/>
  <c r="C1581" i="118" s="1"/>
  <c r="C1811" i="118" s="1"/>
  <c r="M430" i="118"/>
  <c r="C430" i="118"/>
  <c r="C660" i="118" s="1"/>
  <c r="C890" i="118" s="1"/>
  <c r="C1120" i="118" s="1"/>
  <c r="C1350" i="118" s="1"/>
  <c r="C1580" i="118" s="1"/>
  <c r="C1810" i="118" s="1"/>
  <c r="M429" i="118"/>
  <c r="C429" i="118"/>
  <c r="C659" i="118" s="1"/>
  <c r="C889" i="118" s="1"/>
  <c r="C1119" i="118" s="1"/>
  <c r="C1349" i="118" s="1"/>
  <c r="C1579" i="118" s="1"/>
  <c r="C1809" i="118" s="1"/>
  <c r="M428" i="118"/>
  <c r="C428" i="118"/>
  <c r="C658" i="118" s="1"/>
  <c r="C888" i="118" s="1"/>
  <c r="C1118" i="118" s="1"/>
  <c r="C1348" i="118" s="1"/>
  <c r="C1578" i="118" s="1"/>
  <c r="C1808" i="118" s="1"/>
  <c r="M427" i="118"/>
  <c r="C427" i="118"/>
  <c r="C657" i="118" s="1"/>
  <c r="C887" i="118" s="1"/>
  <c r="C1117" i="118" s="1"/>
  <c r="C1347" i="118" s="1"/>
  <c r="C1577" i="118" s="1"/>
  <c r="C1807" i="118" s="1"/>
  <c r="M426" i="118"/>
  <c r="C426" i="118"/>
  <c r="C656" i="118" s="1"/>
  <c r="C886" i="118" s="1"/>
  <c r="C1116" i="118" s="1"/>
  <c r="C1346" i="118" s="1"/>
  <c r="C1576" i="118" s="1"/>
  <c r="C1806" i="118" s="1"/>
  <c r="M425" i="118"/>
  <c r="C425" i="118"/>
  <c r="C655" i="118" s="1"/>
  <c r="C885" i="118" s="1"/>
  <c r="C1115" i="118" s="1"/>
  <c r="C1345" i="118" s="1"/>
  <c r="C1575" i="118" s="1"/>
  <c r="C1805" i="118" s="1"/>
  <c r="M424" i="118"/>
  <c r="C424" i="118"/>
  <c r="C654" i="118" s="1"/>
  <c r="C884" i="118" s="1"/>
  <c r="C1114" i="118" s="1"/>
  <c r="C1344" i="118" s="1"/>
  <c r="C1574" i="118" s="1"/>
  <c r="C1804" i="118" s="1"/>
  <c r="M423" i="118"/>
  <c r="C423" i="118"/>
  <c r="C653" i="118" s="1"/>
  <c r="C883" i="118" s="1"/>
  <c r="C1113" i="118" s="1"/>
  <c r="C1343" i="118" s="1"/>
  <c r="C1573" i="118" s="1"/>
  <c r="C1803" i="118" s="1"/>
  <c r="M422" i="118"/>
  <c r="C422" i="118"/>
  <c r="C652" i="118" s="1"/>
  <c r="C882" i="118" s="1"/>
  <c r="C1112" i="118" s="1"/>
  <c r="C1342" i="118" s="1"/>
  <c r="C1572" i="118" s="1"/>
  <c r="C1802" i="118" s="1"/>
  <c r="M421" i="118"/>
  <c r="C421" i="118"/>
  <c r="C651" i="118" s="1"/>
  <c r="C881" i="118" s="1"/>
  <c r="C1111" i="118" s="1"/>
  <c r="C1341" i="118" s="1"/>
  <c r="C1571" i="118" s="1"/>
  <c r="C1801" i="118" s="1"/>
  <c r="M420" i="118"/>
  <c r="C420" i="118"/>
  <c r="C650" i="118" s="1"/>
  <c r="C880" i="118" s="1"/>
  <c r="C1110" i="118" s="1"/>
  <c r="C1340" i="118" s="1"/>
  <c r="C1570" i="118" s="1"/>
  <c r="C1800" i="118" s="1"/>
  <c r="M419" i="118"/>
  <c r="C419" i="118"/>
  <c r="C649" i="118" s="1"/>
  <c r="C879" i="118" s="1"/>
  <c r="C1109" i="118" s="1"/>
  <c r="C1339" i="118" s="1"/>
  <c r="C1569" i="118" s="1"/>
  <c r="C1799" i="118" s="1"/>
  <c r="M418" i="118"/>
  <c r="C418" i="118"/>
  <c r="C648" i="118" s="1"/>
  <c r="C878" i="118" s="1"/>
  <c r="C1108" i="118" s="1"/>
  <c r="C1338" i="118" s="1"/>
  <c r="C1568" i="118" s="1"/>
  <c r="C1798" i="118" s="1"/>
  <c r="M417" i="118"/>
  <c r="C417" i="118"/>
  <c r="C647" i="118" s="1"/>
  <c r="C877" i="118" s="1"/>
  <c r="C1107" i="118" s="1"/>
  <c r="C1337" i="118" s="1"/>
  <c r="C1567" i="118" s="1"/>
  <c r="C1797" i="118" s="1"/>
  <c r="M416" i="118"/>
  <c r="C416" i="118"/>
  <c r="C646" i="118" s="1"/>
  <c r="C876" i="118" s="1"/>
  <c r="C1106" i="118" s="1"/>
  <c r="C1336" i="118" s="1"/>
  <c r="C1566" i="118" s="1"/>
  <c r="C1796" i="118" s="1"/>
  <c r="M415" i="118"/>
  <c r="C415" i="118"/>
  <c r="C645" i="118" s="1"/>
  <c r="C875" i="118" s="1"/>
  <c r="C1105" i="118" s="1"/>
  <c r="C1335" i="118" s="1"/>
  <c r="C1565" i="118" s="1"/>
  <c r="C1795" i="118" s="1"/>
  <c r="M414" i="118"/>
  <c r="C414" i="118"/>
  <c r="C644" i="118" s="1"/>
  <c r="C874" i="118" s="1"/>
  <c r="C1104" i="118" s="1"/>
  <c r="C1334" i="118" s="1"/>
  <c r="C1564" i="118" s="1"/>
  <c r="C1794" i="118" s="1"/>
  <c r="M413" i="118"/>
  <c r="C413" i="118"/>
  <c r="C643" i="118" s="1"/>
  <c r="C873" i="118" s="1"/>
  <c r="C1103" i="118" s="1"/>
  <c r="C1333" i="118" s="1"/>
  <c r="C1563" i="118" s="1"/>
  <c r="C1793" i="118" s="1"/>
  <c r="M412" i="118"/>
  <c r="C412" i="118"/>
  <c r="C642" i="118" s="1"/>
  <c r="C872" i="118" s="1"/>
  <c r="C1102" i="118" s="1"/>
  <c r="C1332" i="118" s="1"/>
  <c r="C1562" i="118" s="1"/>
  <c r="C1792" i="118" s="1"/>
  <c r="M411" i="118"/>
  <c r="C411" i="118"/>
  <c r="C641" i="118" s="1"/>
  <c r="C871" i="118" s="1"/>
  <c r="C1101" i="118" s="1"/>
  <c r="C1331" i="118" s="1"/>
  <c r="C1561" i="118" s="1"/>
  <c r="C1791" i="118" s="1"/>
  <c r="M410" i="118"/>
  <c r="C410" i="118"/>
  <c r="C640" i="118" s="1"/>
  <c r="C870" i="118" s="1"/>
  <c r="C1100" i="118" s="1"/>
  <c r="C1330" i="118" s="1"/>
  <c r="C1560" i="118" s="1"/>
  <c r="C1790" i="118" s="1"/>
  <c r="M409" i="118"/>
  <c r="C409" i="118"/>
  <c r="C639" i="118" s="1"/>
  <c r="C869" i="118" s="1"/>
  <c r="C1099" i="118" s="1"/>
  <c r="C1329" i="118" s="1"/>
  <c r="C1559" i="118" s="1"/>
  <c r="C1789" i="118" s="1"/>
  <c r="M408" i="118"/>
  <c r="C408" i="118"/>
  <c r="C638" i="118" s="1"/>
  <c r="C868" i="118" s="1"/>
  <c r="C1098" i="118" s="1"/>
  <c r="C1328" i="118" s="1"/>
  <c r="C1558" i="118" s="1"/>
  <c r="C1788" i="118" s="1"/>
  <c r="M407" i="118"/>
  <c r="C407" i="118"/>
  <c r="C637" i="118" s="1"/>
  <c r="C867" i="118" s="1"/>
  <c r="C1097" i="118" s="1"/>
  <c r="C1327" i="118" s="1"/>
  <c r="C1557" i="118" s="1"/>
  <c r="C1787" i="118" s="1"/>
  <c r="M406" i="118"/>
  <c r="C406" i="118"/>
  <c r="C636" i="118" s="1"/>
  <c r="C866" i="118" s="1"/>
  <c r="C1096" i="118" s="1"/>
  <c r="C1326" i="118" s="1"/>
  <c r="C1556" i="118" s="1"/>
  <c r="C1786" i="118" s="1"/>
  <c r="M405" i="118"/>
  <c r="C405" i="118"/>
  <c r="C635" i="118" s="1"/>
  <c r="C865" i="118" s="1"/>
  <c r="C1095" i="118" s="1"/>
  <c r="C1325" i="118" s="1"/>
  <c r="C1555" i="118" s="1"/>
  <c r="C1785" i="118" s="1"/>
  <c r="M404" i="118"/>
  <c r="C404" i="118"/>
  <c r="C634" i="118" s="1"/>
  <c r="C864" i="118" s="1"/>
  <c r="C1094" i="118" s="1"/>
  <c r="C1324" i="118" s="1"/>
  <c r="C1554" i="118" s="1"/>
  <c r="C1784" i="118" s="1"/>
  <c r="M403" i="118"/>
  <c r="C403" i="118"/>
  <c r="C633" i="118" s="1"/>
  <c r="C863" i="118" s="1"/>
  <c r="C1093" i="118" s="1"/>
  <c r="C1323" i="118" s="1"/>
  <c r="C1553" i="118" s="1"/>
  <c r="C1783" i="118" s="1"/>
  <c r="M402" i="118"/>
  <c r="C402" i="118"/>
  <c r="C632" i="118" s="1"/>
  <c r="C862" i="118" s="1"/>
  <c r="C1092" i="118" s="1"/>
  <c r="C1322" i="118" s="1"/>
  <c r="C1552" i="118" s="1"/>
  <c r="C1782" i="118" s="1"/>
  <c r="M401" i="118"/>
  <c r="C401" i="118"/>
  <c r="C631" i="118" s="1"/>
  <c r="C861" i="118" s="1"/>
  <c r="C1091" i="118" s="1"/>
  <c r="C1321" i="118" s="1"/>
  <c r="C1551" i="118" s="1"/>
  <c r="C1781" i="118" s="1"/>
  <c r="M400" i="118"/>
  <c r="C400" i="118"/>
  <c r="C630" i="118" s="1"/>
  <c r="C860" i="118" s="1"/>
  <c r="C1090" i="118" s="1"/>
  <c r="C1320" i="118" s="1"/>
  <c r="C1550" i="118" s="1"/>
  <c r="C1780" i="118" s="1"/>
  <c r="M399" i="118"/>
  <c r="C399" i="118"/>
  <c r="C629" i="118" s="1"/>
  <c r="C859" i="118" s="1"/>
  <c r="C1089" i="118" s="1"/>
  <c r="C1319" i="118" s="1"/>
  <c r="C1549" i="118" s="1"/>
  <c r="C1779" i="118" s="1"/>
  <c r="M398" i="118"/>
  <c r="C398" i="118"/>
  <c r="C628" i="118" s="1"/>
  <c r="C858" i="118" s="1"/>
  <c r="C1088" i="118" s="1"/>
  <c r="C1318" i="118" s="1"/>
  <c r="C1548" i="118" s="1"/>
  <c r="C1778" i="118" s="1"/>
  <c r="M397" i="118"/>
  <c r="C397" i="118"/>
  <c r="C627" i="118" s="1"/>
  <c r="C857" i="118" s="1"/>
  <c r="C1087" i="118" s="1"/>
  <c r="C1317" i="118" s="1"/>
  <c r="C1547" i="118" s="1"/>
  <c r="C1777" i="118" s="1"/>
  <c r="M396" i="118"/>
  <c r="C396" i="118"/>
  <c r="C626" i="118" s="1"/>
  <c r="C856" i="118" s="1"/>
  <c r="C1086" i="118" s="1"/>
  <c r="C1316" i="118" s="1"/>
  <c r="C1546" i="118" s="1"/>
  <c r="C1776" i="118" s="1"/>
  <c r="M395" i="118"/>
  <c r="C395" i="118"/>
  <c r="C625" i="118" s="1"/>
  <c r="C855" i="118" s="1"/>
  <c r="C1085" i="118" s="1"/>
  <c r="C1315" i="118" s="1"/>
  <c r="C1545" i="118" s="1"/>
  <c r="C1775" i="118" s="1"/>
  <c r="M394" i="118"/>
  <c r="C394" i="118"/>
  <c r="C624" i="118" s="1"/>
  <c r="C854" i="118" s="1"/>
  <c r="C1084" i="118" s="1"/>
  <c r="C1314" i="118" s="1"/>
  <c r="C1544" i="118" s="1"/>
  <c r="C1774" i="118" s="1"/>
  <c r="M393" i="118"/>
  <c r="C393" i="118"/>
  <c r="C623" i="118" s="1"/>
  <c r="C853" i="118" s="1"/>
  <c r="C1083" i="118" s="1"/>
  <c r="C1313" i="118" s="1"/>
  <c r="C1543" i="118" s="1"/>
  <c r="C1773" i="118" s="1"/>
  <c r="M392" i="118"/>
  <c r="C392" i="118"/>
  <c r="C622" i="118" s="1"/>
  <c r="C852" i="118" s="1"/>
  <c r="C1082" i="118" s="1"/>
  <c r="C1312" i="118" s="1"/>
  <c r="C1542" i="118" s="1"/>
  <c r="C1772" i="118" s="1"/>
  <c r="M391" i="118"/>
  <c r="C391" i="118"/>
  <c r="C621" i="118" s="1"/>
  <c r="C851" i="118" s="1"/>
  <c r="C1081" i="118" s="1"/>
  <c r="C1311" i="118" s="1"/>
  <c r="C1541" i="118" s="1"/>
  <c r="C1771" i="118" s="1"/>
  <c r="M390" i="118"/>
  <c r="C390" i="118"/>
  <c r="C620" i="118" s="1"/>
  <c r="C850" i="118" s="1"/>
  <c r="C1080" i="118" s="1"/>
  <c r="C1310" i="118" s="1"/>
  <c r="C1540" i="118" s="1"/>
  <c r="C1770" i="118" s="1"/>
  <c r="M389" i="118"/>
  <c r="C389" i="118"/>
  <c r="C619" i="118" s="1"/>
  <c r="C849" i="118" s="1"/>
  <c r="C1079" i="118" s="1"/>
  <c r="C1309" i="118" s="1"/>
  <c r="C1539" i="118" s="1"/>
  <c r="C1769" i="118" s="1"/>
  <c r="M388" i="118"/>
  <c r="C388" i="118"/>
  <c r="C618" i="118" s="1"/>
  <c r="C848" i="118" s="1"/>
  <c r="C1078" i="118" s="1"/>
  <c r="C1308" i="118" s="1"/>
  <c r="C1538" i="118" s="1"/>
  <c r="C1768" i="118" s="1"/>
  <c r="M387" i="118"/>
  <c r="C387" i="118"/>
  <c r="C617" i="118" s="1"/>
  <c r="C847" i="118" s="1"/>
  <c r="C1077" i="118" s="1"/>
  <c r="C1307" i="118" s="1"/>
  <c r="C1537" i="118" s="1"/>
  <c r="C1767" i="118" s="1"/>
  <c r="M386" i="118"/>
  <c r="C386" i="118"/>
  <c r="C616" i="118" s="1"/>
  <c r="C846" i="118" s="1"/>
  <c r="C1076" i="118" s="1"/>
  <c r="C1306" i="118" s="1"/>
  <c r="C1536" i="118" s="1"/>
  <c r="C1766" i="118" s="1"/>
  <c r="M385" i="118"/>
  <c r="C385" i="118"/>
  <c r="C615" i="118" s="1"/>
  <c r="C845" i="118" s="1"/>
  <c r="C1075" i="118" s="1"/>
  <c r="C1305" i="118" s="1"/>
  <c r="C1535" i="118" s="1"/>
  <c r="C1765" i="118" s="1"/>
  <c r="M384" i="118"/>
  <c r="C384" i="118"/>
  <c r="C614" i="118" s="1"/>
  <c r="C844" i="118" s="1"/>
  <c r="C1074" i="118" s="1"/>
  <c r="C1304" i="118" s="1"/>
  <c r="C1534" i="118" s="1"/>
  <c r="C1764" i="118" s="1"/>
  <c r="M383" i="118"/>
  <c r="C383" i="118"/>
  <c r="C613" i="118" s="1"/>
  <c r="C843" i="118" s="1"/>
  <c r="C1073" i="118" s="1"/>
  <c r="C1303" i="118" s="1"/>
  <c r="C1533" i="118" s="1"/>
  <c r="C1763" i="118" s="1"/>
  <c r="M382" i="118"/>
  <c r="C382" i="118"/>
  <c r="C612" i="118" s="1"/>
  <c r="C842" i="118" s="1"/>
  <c r="C1072" i="118" s="1"/>
  <c r="C1302" i="118" s="1"/>
  <c r="C1532" i="118" s="1"/>
  <c r="C1762" i="118" s="1"/>
  <c r="M381" i="118"/>
  <c r="C381" i="118"/>
  <c r="C611" i="118" s="1"/>
  <c r="C841" i="118" s="1"/>
  <c r="C1071" i="118" s="1"/>
  <c r="C1301" i="118" s="1"/>
  <c r="C1531" i="118" s="1"/>
  <c r="C1761" i="118" s="1"/>
  <c r="M380" i="118"/>
  <c r="C380" i="118"/>
  <c r="C610" i="118" s="1"/>
  <c r="C840" i="118" s="1"/>
  <c r="C1070" i="118" s="1"/>
  <c r="C1300" i="118" s="1"/>
  <c r="C1530" i="118" s="1"/>
  <c r="C1760" i="118" s="1"/>
  <c r="M379" i="118"/>
  <c r="C379" i="118"/>
  <c r="C609" i="118" s="1"/>
  <c r="C839" i="118" s="1"/>
  <c r="C1069" i="118" s="1"/>
  <c r="C1299" i="118" s="1"/>
  <c r="C1529" i="118" s="1"/>
  <c r="C1759" i="118" s="1"/>
  <c r="M378" i="118"/>
  <c r="C378" i="118"/>
  <c r="C608" i="118" s="1"/>
  <c r="C838" i="118" s="1"/>
  <c r="C1068" i="118" s="1"/>
  <c r="C1298" i="118" s="1"/>
  <c r="C1528" i="118" s="1"/>
  <c r="C1758" i="118" s="1"/>
  <c r="M377" i="118"/>
  <c r="C377" i="118"/>
  <c r="C607" i="118" s="1"/>
  <c r="C837" i="118" s="1"/>
  <c r="C1067" i="118" s="1"/>
  <c r="C1297" i="118" s="1"/>
  <c r="C1527" i="118" s="1"/>
  <c r="C1757" i="118" s="1"/>
  <c r="M376" i="118"/>
  <c r="C376" i="118"/>
  <c r="C606" i="118" s="1"/>
  <c r="C836" i="118" s="1"/>
  <c r="C1066" i="118" s="1"/>
  <c r="C1296" i="118" s="1"/>
  <c r="C1526" i="118" s="1"/>
  <c r="C1756" i="118" s="1"/>
  <c r="M375" i="118"/>
  <c r="C375" i="118"/>
  <c r="C605" i="118" s="1"/>
  <c r="C835" i="118" s="1"/>
  <c r="C1065" i="118" s="1"/>
  <c r="C1295" i="118" s="1"/>
  <c r="C1525" i="118" s="1"/>
  <c r="C1755" i="118" s="1"/>
  <c r="M374" i="118"/>
  <c r="C374" i="118"/>
  <c r="C604" i="118" s="1"/>
  <c r="C834" i="118" s="1"/>
  <c r="C1064" i="118" s="1"/>
  <c r="C1294" i="118" s="1"/>
  <c r="C1524" i="118" s="1"/>
  <c r="C1754" i="118" s="1"/>
  <c r="M373" i="118"/>
  <c r="C373" i="118"/>
  <c r="C603" i="118" s="1"/>
  <c r="C833" i="118" s="1"/>
  <c r="C1063" i="118" s="1"/>
  <c r="C1293" i="118" s="1"/>
  <c r="C1523" i="118" s="1"/>
  <c r="C1753" i="118" s="1"/>
  <c r="M372" i="118"/>
  <c r="C372" i="118"/>
  <c r="C602" i="118" s="1"/>
  <c r="C832" i="118" s="1"/>
  <c r="C1062" i="118" s="1"/>
  <c r="C1292" i="118" s="1"/>
  <c r="C1522" i="118" s="1"/>
  <c r="C1752" i="118" s="1"/>
  <c r="M371" i="118"/>
  <c r="C371" i="118"/>
  <c r="C601" i="118" s="1"/>
  <c r="C831" i="118" s="1"/>
  <c r="C1061" i="118" s="1"/>
  <c r="C1291" i="118" s="1"/>
  <c r="C1521" i="118" s="1"/>
  <c r="C1751" i="118" s="1"/>
  <c r="M370" i="118"/>
  <c r="C370" i="118"/>
  <c r="C600" i="118" s="1"/>
  <c r="C830" i="118" s="1"/>
  <c r="C1060" i="118" s="1"/>
  <c r="C1290" i="118" s="1"/>
  <c r="C1520" i="118" s="1"/>
  <c r="C1750" i="118" s="1"/>
  <c r="M369" i="118"/>
  <c r="C369" i="118"/>
  <c r="C599" i="118" s="1"/>
  <c r="C829" i="118" s="1"/>
  <c r="C1059" i="118" s="1"/>
  <c r="C1289" i="118" s="1"/>
  <c r="C1519" i="118" s="1"/>
  <c r="C1749" i="118" s="1"/>
  <c r="M368" i="118"/>
  <c r="C368" i="118"/>
  <c r="C598" i="118" s="1"/>
  <c r="C828" i="118" s="1"/>
  <c r="C1058" i="118" s="1"/>
  <c r="C1288" i="118" s="1"/>
  <c r="C1518" i="118" s="1"/>
  <c r="C1748" i="118" s="1"/>
  <c r="M367" i="118"/>
  <c r="C367" i="118"/>
  <c r="C597" i="118" s="1"/>
  <c r="C827" i="118" s="1"/>
  <c r="C1057" i="118" s="1"/>
  <c r="C1287" i="118" s="1"/>
  <c r="C1517" i="118" s="1"/>
  <c r="C1747" i="118" s="1"/>
  <c r="M366" i="118"/>
  <c r="C366" i="118"/>
  <c r="C596" i="118" s="1"/>
  <c r="C826" i="118" s="1"/>
  <c r="C1056" i="118" s="1"/>
  <c r="C1286" i="118" s="1"/>
  <c r="C1516" i="118" s="1"/>
  <c r="C1746" i="118" s="1"/>
  <c r="M365" i="118"/>
  <c r="C365" i="118"/>
  <c r="C595" i="118" s="1"/>
  <c r="C825" i="118" s="1"/>
  <c r="C1055" i="118" s="1"/>
  <c r="C1285" i="118" s="1"/>
  <c r="C1515" i="118" s="1"/>
  <c r="C1745" i="118" s="1"/>
  <c r="M364" i="118"/>
  <c r="C364" i="118"/>
  <c r="C594" i="118" s="1"/>
  <c r="C824" i="118" s="1"/>
  <c r="C1054" i="118" s="1"/>
  <c r="C1284" i="118" s="1"/>
  <c r="C1514" i="118" s="1"/>
  <c r="C1744" i="118" s="1"/>
  <c r="M363" i="118"/>
  <c r="C363" i="118"/>
  <c r="C593" i="118" s="1"/>
  <c r="C823" i="118" s="1"/>
  <c r="C1053" i="118" s="1"/>
  <c r="C1283" i="118" s="1"/>
  <c r="C1513" i="118" s="1"/>
  <c r="C1743" i="118" s="1"/>
  <c r="M362" i="118"/>
  <c r="C362" i="118"/>
  <c r="C592" i="118" s="1"/>
  <c r="C822" i="118" s="1"/>
  <c r="C1052" i="118" s="1"/>
  <c r="C1282" i="118" s="1"/>
  <c r="C1512" i="118" s="1"/>
  <c r="C1742" i="118" s="1"/>
  <c r="M361" i="118"/>
  <c r="C361" i="118"/>
  <c r="C591" i="118" s="1"/>
  <c r="C821" i="118" s="1"/>
  <c r="C1051" i="118" s="1"/>
  <c r="C1281" i="118" s="1"/>
  <c r="C1511" i="118" s="1"/>
  <c r="C1741" i="118" s="1"/>
  <c r="M360" i="118"/>
  <c r="C360" i="118"/>
  <c r="C590" i="118" s="1"/>
  <c r="C820" i="118" s="1"/>
  <c r="C1050" i="118" s="1"/>
  <c r="C1280" i="118" s="1"/>
  <c r="C1510" i="118" s="1"/>
  <c r="C1740" i="118" s="1"/>
  <c r="M359" i="118"/>
  <c r="C359" i="118"/>
  <c r="C589" i="118" s="1"/>
  <c r="C819" i="118" s="1"/>
  <c r="C1049" i="118" s="1"/>
  <c r="C1279" i="118" s="1"/>
  <c r="C1509" i="118" s="1"/>
  <c r="C1739" i="118" s="1"/>
  <c r="M358" i="118"/>
  <c r="C358" i="118"/>
  <c r="C588" i="118" s="1"/>
  <c r="C818" i="118" s="1"/>
  <c r="C1048" i="118" s="1"/>
  <c r="C1278" i="118" s="1"/>
  <c r="C1508" i="118" s="1"/>
  <c r="C1738" i="118" s="1"/>
  <c r="M357" i="118"/>
  <c r="C357" i="118"/>
  <c r="C587" i="118" s="1"/>
  <c r="C817" i="118" s="1"/>
  <c r="C1047" i="118" s="1"/>
  <c r="C1277" i="118" s="1"/>
  <c r="C1507" i="118" s="1"/>
  <c r="C1737" i="118" s="1"/>
  <c r="M356" i="118"/>
  <c r="C356" i="118"/>
  <c r="C586" i="118" s="1"/>
  <c r="C816" i="118" s="1"/>
  <c r="C1046" i="118" s="1"/>
  <c r="C1276" i="118" s="1"/>
  <c r="C1506" i="118" s="1"/>
  <c r="C1736" i="118" s="1"/>
  <c r="M355" i="118"/>
  <c r="C355" i="118"/>
  <c r="C585" i="118" s="1"/>
  <c r="C815" i="118" s="1"/>
  <c r="C1045" i="118" s="1"/>
  <c r="C1275" i="118" s="1"/>
  <c r="C1505" i="118" s="1"/>
  <c r="C1735" i="118" s="1"/>
  <c r="M354" i="118"/>
  <c r="C354" i="118"/>
  <c r="C584" i="118" s="1"/>
  <c r="C814" i="118" s="1"/>
  <c r="C1044" i="118" s="1"/>
  <c r="C1274" i="118" s="1"/>
  <c r="C1504" i="118" s="1"/>
  <c r="C1734" i="118" s="1"/>
  <c r="M353" i="118"/>
  <c r="C353" i="118"/>
  <c r="C583" i="118" s="1"/>
  <c r="C813" i="118" s="1"/>
  <c r="C1043" i="118" s="1"/>
  <c r="C1273" i="118" s="1"/>
  <c r="C1503" i="118" s="1"/>
  <c r="C1733" i="118" s="1"/>
  <c r="M352" i="118"/>
  <c r="C352" i="118"/>
  <c r="C582" i="118" s="1"/>
  <c r="C812" i="118" s="1"/>
  <c r="C1042" i="118" s="1"/>
  <c r="C1272" i="118" s="1"/>
  <c r="C1502" i="118" s="1"/>
  <c r="C1732" i="118" s="1"/>
  <c r="M351" i="118"/>
  <c r="C351" i="118"/>
  <c r="C581" i="118" s="1"/>
  <c r="C811" i="118" s="1"/>
  <c r="C1041" i="118" s="1"/>
  <c r="C1271" i="118" s="1"/>
  <c r="C1501" i="118" s="1"/>
  <c r="C1731" i="118" s="1"/>
  <c r="M350" i="118"/>
  <c r="C350" i="118"/>
  <c r="C580" i="118" s="1"/>
  <c r="C810" i="118" s="1"/>
  <c r="C1040" i="118" s="1"/>
  <c r="C1270" i="118" s="1"/>
  <c r="C1500" i="118" s="1"/>
  <c r="C1730" i="118" s="1"/>
  <c r="M349" i="118"/>
  <c r="C349" i="118"/>
  <c r="C579" i="118" s="1"/>
  <c r="C809" i="118" s="1"/>
  <c r="C1039" i="118" s="1"/>
  <c r="C1269" i="118" s="1"/>
  <c r="C1499" i="118" s="1"/>
  <c r="C1729" i="118" s="1"/>
  <c r="M348" i="118"/>
  <c r="C348" i="118"/>
  <c r="C578" i="118" s="1"/>
  <c r="C808" i="118" s="1"/>
  <c r="C1038" i="118" s="1"/>
  <c r="C1268" i="118" s="1"/>
  <c r="C1498" i="118" s="1"/>
  <c r="C1728" i="118" s="1"/>
  <c r="M347" i="118"/>
  <c r="C347" i="118"/>
  <c r="C577" i="118" s="1"/>
  <c r="C807" i="118" s="1"/>
  <c r="C1037" i="118" s="1"/>
  <c r="C1267" i="118" s="1"/>
  <c r="C1497" i="118" s="1"/>
  <c r="C1727" i="118" s="1"/>
  <c r="M346" i="118"/>
  <c r="C346" i="118"/>
  <c r="C576" i="118" s="1"/>
  <c r="C806" i="118" s="1"/>
  <c r="C1036" i="118" s="1"/>
  <c r="C1266" i="118" s="1"/>
  <c r="C1496" i="118" s="1"/>
  <c r="C1726" i="118" s="1"/>
  <c r="M345" i="118"/>
  <c r="C345" i="118"/>
  <c r="C575" i="118" s="1"/>
  <c r="C805" i="118" s="1"/>
  <c r="C1035" i="118" s="1"/>
  <c r="C1265" i="118" s="1"/>
  <c r="C1495" i="118" s="1"/>
  <c r="C1725" i="118" s="1"/>
  <c r="M344" i="118"/>
  <c r="C344" i="118"/>
  <c r="C574" i="118" s="1"/>
  <c r="C804" i="118" s="1"/>
  <c r="C1034" i="118" s="1"/>
  <c r="C1264" i="118" s="1"/>
  <c r="C1494" i="118" s="1"/>
  <c r="C1724" i="118" s="1"/>
  <c r="M343" i="118"/>
  <c r="C343" i="118"/>
  <c r="C573" i="118" s="1"/>
  <c r="C803" i="118" s="1"/>
  <c r="C1033" i="118" s="1"/>
  <c r="C1263" i="118" s="1"/>
  <c r="C1493" i="118" s="1"/>
  <c r="C1723" i="118" s="1"/>
  <c r="M342" i="118"/>
  <c r="C342" i="118"/>
  <c r="C572" i="118" s="1"/>
  <c r="C802" i="118" s="1"/>
  <c r="C1032" i="118" s="1"/>
  <c r="C1262" i="118" s="1"/>
  <c r="C1492" i="118" s="1"/>
  <c r="C1722" i="118" s="1"/>
  <c r="M341" i="118"/>
  <c r="C341" i="118"/>
  <c r="C571" i="118" s="1"/>
  <c r="C801" i="118" s="1"/>
  <c r="C1031" i="118" s="1"/>
  <c r="C1261" i="118" s="1"/>
  <c r="C1491" i="118" s="1"/>
  <c r="C1721" i="118" s="1"/>
  <c r="M340" i="118"/>
  <c r="C340" i="118"/>
  <c r="C570" i="118" s="1"/>
  <c r="C800" i="118" s="1"/>
  <c r="C1030" i="118" s="1"/>
  <c r="C1260" i="118" s="1"/>
  <c r="C1490" i="118" s="1"/>
  <c r="C1720" i="118" s="1"/>
  <c r="M339" i="118"/>
  <c r="C339" i="118"/>
  <c r="C569" i="118" s="1"/>
  <c r="C799" i="118" s="1"/>
  <c r="C1029" i="118" s="1"/>
  <c r="C1259" i="118" s="1"/>
  <c r="C1489" i="118" s="1"/>
  <c r="C1719" i="118" s="1"/>
  <c r="M338" i="118"/>
  <c r="C338" i="118"/>
  <c r="C568" i="118" s="1"/>
  <c r="C798" i="118" s="1"/>
  <c r="C1028" i="118" s="1"/>
  <c r="C1258" i="118" s="1"/>
  <c r="C1488" i="118" s="1"/>
  <c r="C1718" i="118" s="1"/>
  <c r="M337" i="118"/>
  <c r="C337" i="118"/>
  <c r="C567" i="118" s="1"/>
  <c r="C797" i="118" s="1"/>
  <c r="C1027" i="118" s="1"/>
  <c r="C1257" i="118" s="1"/>
  <c r="C1487" i="118" s="1"/>
  <c r="C1717" i="118" s="1"/>
  <c r="M336" i="118"/>
  <c r="C336" i="118"/>
  <c r="C566" i="118" s="1"/>
  <c r="C796" i="118" s="1"/>
  <c r="C1026" i="118" s="1"/>
  <c r="C1256" i="118" s="1"/>
  <c r="C1486" i="118" s="1"/>
  <c r="C1716" i="118" s="1"/>
  <c r="M335" i="118"/>
  <c r="C335" i="118"/>
  <c r="C565" i="118" s="1"/>
  <c r="C795" i="118" s="1"/>
  <c r="C1025" i="118" s="1"/>
  <c r="C1255" i="118" s="1"/>
  <c r="C1485" i="118" s="1"/>
  <c r="C1715" i="118" s="1"/>
  <c r="M334" i="118"/>
  <c r="C334" i="118"/>
  <c r="C564" i="118" s="1"/>
  <c r="C794" i="118" s="1"/>
  <c r="C1024" i="118" s="1"/>
  <c r="C1254" i="118" s="1"/>
  <c r="C1484" i="118" s="1"/>
  <c r="C1714" i="118" s="1"/>
  <c r="M333" i="118"/>
  <c r="C333" i="118"/>
  <c r="C563" i="118" s="1"/>
  <c r="C793" i="118" s="1"/>
  <c r="C1023" i="118" s="1"/>
  <c r="C1253" i="118" s="1"/>
  <c r="C1483" i="118" s="1"/>
  <c r="C1713" i="118" s="1"/>
  <c r="M332" i="118"/>
  <c r="M331" i="118"/>
  <c r="M330" i="118"/>
  <c r="M329" i="118"/>
  <c r="M328" i="118"/>
  <c r="M327" i="118"/>
  <c r="M326" i="118"/>
  <c r="M325" i="118"/>
  <c r="M324" i="118"/>
  <c r="M323" i="118"/>
  <c r="M322" i="118"/>
  <c r="M321" i="118"/>
  <c r="M320" i="118"/>
  <c r="M319" i="118"/>
  <c r="M318" i="118"/>
  <c r="M317" i="118"/>
  <c r="M316" i="118"/>
  <c r="M315" i="118"/>
  <c r="M314" i="118"/>
  <c r="O314" i="118" s="1"/>
  <c r="M313" i="118"/>
  <c r="M312" i="118"/>
  <c r="O311" i="118"/>
  <c r="P311" i="118" s="1"/>
  <c r="M311" i="118"/>
  <c r="M310" i="118"/>
  <c r="M309" i="118"/>
  <c r="M308" i="118"/>
  <c r="M307" i="118"/>
  <c r="O307" i="118" s="1"/>
  <c r="P307" i="118" s="1"/>
  <c r="M306" i="118"/>
  <c r="M305" i="118"/>
  <c r="M304" i="118"/>
  <c r="M303" i="118"/>
  <c r="O303" i="118" s="1"/>
  <c r="P303" i="118" s="1"/>
  <c r="M302" i="118"/>
  <c r="M301" i="118"/>
  <c r="M300" i="118"/>
  <c r="M299" i="118"/>
  <c r="M298" i="118"/>
  <c r="M297" i="118"/>
  <c r="M296" i="118"/>
  <c r="M295" i="118"/>
  <c r="M294" i="118"/>
  <c r="M293" i="118"/>
  <c r="M292" i="118"/>
  <c r="M291" i="118"/>
  <c r="M290" i="118"/>
  <c r="M289" i="118"/>
  <c r="M288" i="118"/>
  <c r="M287" i="118"/>
  <c r="M286" i="118"/>
  <c r="M285" i="118"/>
  <c r="M284" i="118"/>
  <c r="O284" i="118" s="1"/>
  <c r="P284" i="118" s="1"/>
  <c r="M283" i="118"/>
  <c r="M282" i="118"/>
  <c r="M281" i="118"/>
  <c r="M280" i="118"/>
  <c r="O280" i="118" s="1"/>
  <c r="M279" i="118"/>
  <c r="M278" i="118"/>
  <c r="M277" i="118"/>
  <c r="P276" i="118"/>
  <c r="M276" i="118"/>
  <c r="O276" i="118" s="1"/>
  <c r="M275" i="118"/>
  <c r="M274" i="118"/>
  <c r="M273" i="118"/>
  <c r="M272" i="118"/>
  <c r="O272" i="118" s="1"/>
  <c r="M271" i="118"/>
  <c r="M270" i="118"/>
  <c r="M269" i="118"/>
  <c r="M268" i="118"/>
  <c r="O268" i="118" s="1"/>
  <c r="M267" i="118"/>
  <c r="M266" i="118"/>
  <c r="M265" i="118"/>
  <c r="M264" i="118"/>
  <c r="O264" i="118" s="1"/>
  <c r="M263" i="118"/>
  <c r="M262" i="118"/>
  <c r="M261" i="118"/>
  <c r="M260" i="118"/>
  <c r="O260" i="118" s="1"/>
  <c r="M259" i="118"/>
  <c r="M258" i="118"/>
  <c r="M257" i="118"/>
  <c r="M256" i="118"/>
  <c r="O256" i="118" s="1"/>
  <c r="M255" i="118"/>
  <c r="M254" i="118"/>
  <c r="M253" i="118"/>
  <c r="M252" i="118"/>
  <c r="O252" i="118" s="1"/>
  <c r="M251" i="118"/>
  <c r="M250" i="118"/>
  <c r="M249" i="118"/>
  <c r="M248" i="118"/>
  <c r="O248" i="118" s="1"/>
  <c r="M247" i="118"/>
  <c r="M246" i="118"/>
  <c r="M245" i="118"/>
  <c r="M244" i="118"/>
  <c r="O244" i="118" s="1"/>
  <c r="P244" i="118" s="1"/>
  <c r="M243" i="118"/>
  <c r="M242" i="118"/>
  <c r="M241" i="118"/>
  <c r="M240" i="118"/>
  <c r="B238" i="118"/>
  <c r="B468" i="118" s="1"/>
  <c r="B698" i="118" s="1"/>
  <c r="B928" i="118" s="1"/>
  <c r="B1158" i="118" s="1"/>
  <c r="B1388" i="118" s="1"/>
  <c r="B1618" i="118" s="1"/>
  <c r="L235" i="118"/>
  <c r="K235" i="118"/>
  <c r="M234" i="118"/>
  <c r="E464" i="118"/>
  <c r="E694" i="118" s="1"/>
  <c r="E924" i="118" s="1"/>
  <c r="E1154" i="118" s="1"/>
  <c r="E1384" i="118" s="1"/>
  <c r="E1614" i="118" s="1"/>
  <c r="E1844" i="118" s="1"/>
  <c r="D464" i="118"/>
  <c r="D694" i="118" s="1"/>
  <c r="D924" i="118" s="1"/>
  <c r="D1154" i="118" s="1"/>
  <c r="D1384" i="118" s="1"/>
  <c r="D1614" i="118" s="1"/>
  <c r="D1844" i="118" s="1"/>
  <c r="B464" i="118"/>
  <c r="B694" i="118" s="1"/>
  <c r="B924" i="118" s="1"/>
  <c r="B1154" i="118" s="1"/>
  <c r="B1384" i="118" s="1"/>
  <c r="B1614" i="118" s="1"/>
  <c r="B1844" i="118" s="1"/>
  <c r="A464" i="118"/>
  <c r="A694" i="118" s="1"/>
  <c r="A924" i="118" s="1"/>
  <c r="A1154" i="118" s="1"/>
  <c r="A1384" i="118" s="1"/>
  <c r="A1614" i="118" s="1"/>
  <c r="A1844" i="118" s="1"/>
  <c r="M233" i="118"/>
  <c r="E463" i="118"/>
  <c r="E693" i="118" s="1"/>
  <c r="E923" i="118" s="1"/>
  <c r="E1153" i="118" s="1"/>
  <c r="E1383" i="118" s="1"/>
  <c r="E1613" i="118" s="1"/>
  <c r="E1843" i="118" s="1"/>
  <c r="D463" i="118"/>
  <c r="D693" i="118" s="1"/>
  <c r="D923" i="118" s="1"/>
  <c r="D1153" i="118" s="1"/>
  <c r="D1383" i="118" s="1"/>
  <c r="D1613" i="118" s="1"/>
  <c r="D1843" i="118" s="1"/>
  <c r="B463" i="118"/>
  <c r="B693" i="118" s="1"/>
  <c r="B923" i="118" s="1"/>
  <c r="B1153" i="118" s="1"/>
  <c r="B1383" i="118" s="1"/>
  <c r="B1613" i="118" s="1"/>
  <c r="B1843" i="118" s="1"/>
  <c r="A463" i="118"/>
  <c r="A693" i="118" s="1"/>
  <c r="A923" i="118" s="1"/>
  <c r="A1153" i="118" s="1"/>
  <c r="A1383" i="118" s="1"/>
  <c r="A1613" i="118" s="1"/>
  <c r="A1843" i="118" s="1"/>
  <c r="M232" i="118"/>
  <c r="E462" i="118"/>
  <c r="E692" i="118" s="1"/>
  <c r="E922" i="118" s="1"/>
  <c r="E1152" i="118" s="1"/>
  <c r="E1382" i="118" s="1"/>
  <c r="E1612" i="118" s="1"/>
  <c r="E1842" i="118" s="1"/>
  <c r="D462" i="118"/>
  <c r="D692" i="118" s="1"/>
  <c r="D922" i="118" s="1"/>
  <c r="D1152" i="118" s="1"/>
  <c r="D1382" i="118" s="1"/>
  <c r="D1612" i="118" s="1"/>
  <c r="D1842" i="118" s="1"/>
  <c r="B462" i="118"/>
  <c r="B692" i="118" s="1"/>
  <c r="B922" i="118" s="1"/>
  <c r="B1152" i="118" s="1"/>
  <c r="B1382" i="118" s="1"/>
  <c r="B1612" i="118" s="1"/>
  <c r="B1842" i="118" s="1"/>
  <c r="A462" i="118"/>
  <c r="A692" i="118" s="1"/>
  <c r="A922" i="118" s="1"/>
  <c r="A1152" i="118" s="1"/>
  <c r="A1382" i="118" s="1"/>
  <c r="A1612" i="118" s="1"/>
  <c r="A1842" i="118" s="1"/>
  <c r="M231" i="118"/>
  <c r="E461" i="118"/>
  <c r="E691" i="118" s="1"/>
  <c r="E921" i="118" s="1"/>
  <c r="E1151" i="118" s="1"/>
  <c r="E1381" i="118" s="1"/>
  <c r="E1611" i="118" s="1"/>
  <c r="E1841" i="118" s="1"/>
  <c r="D461" i="118"/>
  <c r="D691" i="118" s="1"/>
  <c r="D921" i="118" s="1"/>
  <c r="D1151" i="118" s="1"/>
  <c r="D1381" i="118" s="1"/>
  <c r="D1611" i="118" s="1"/>
  <c r="D1841" i="118" s="1"/>
  <c r="B461" i="118"/>
  <c r="B691" i="118" s="1"/>
  <c r="B921" i="118" s="1"/>
  <c r="B1151" i="118" s="1"/>
  <c r="B1381" i="118" s="1"/>
  <c r="B1611" i="118" s="1"/>
  <c r="B1841" i="118" s="1"/>
  <c r="A461" i="118"/>
  <c r="A691" i="118" s="1"/>
  <c r="A921" i="118" s="1"/>
  <c r="A1151" i="118" s="1"/>
  <c r="A1381" i="118" s="1"/>
  <c r="A1611" i="118" s="1"/>
  <c r="A1841" i="118" s="1"/>
  <c r="M230" i="118"/>
  <c r="E460" i="118"/>
  <c r="E690" i="118" s="1"/>
  <c r="E920" i="118" s="1"/>
  <c r="E1150" i="118" s="1"/>
  <c r="E1380" i="118" s="1"/>
  <c r="E1610" i="118" s="1"/>
  <c r="E1840" i="118" s="1"/>
  <c r="D460" i="118"/>
  <c r="D690" i="118" s="1"/>
  <c r="D920" i="118" s="1"/>
  <c r="D1150" i="118" s="1"/>
  <c r="D1380" i="118" s="1"/>
  <c r="D1610" i="118" s="1"/>
  <c r="D1840" i="118" s="1"/>
  <c r="B460" i="118"/>
  <c r="B690" i="118" s="1"/>
  <c r="B920" i="118" s="1"/>
  <c r="B1150" i="118" s="1"/>
  <c r="B1380" i="118" s="1"/>
  <c r="B1610" i="118" s="1"/>
  <c r="B1840" i="118" s="1"/>
  <c r="A460" i="118"/>
  <c r="A690" i="118" s="1"/>
  <c r="A920" i="118" s="1"/>
  <c r="A1150" i="118" s="1"/>
  <c r="A1380" i="118" s="1"/>
  <c r="A1610" i="118" s="1"/>
  <c r="A1840" i="118" s="1"/>
  <c r="M229" i="118"/>
  <c r="E459" i="118"/>
  <c r="E689" i="118" s="1"/>
  <c r="E919" i="118" s="1"/>
  <c r="E1149" i="118" s="1"/>
  <c r="E1379" i="118" s="1"/>
  <c r="E1609" i="118" s="1"/>
  <c r="E1839" i="118" s="1"/>
  <c r="D459" i="118"/>
  <c r="D689" i="118" s="1"/>
  <c r="D919" i="118" s="1"/>
  <c r="D1149" i="118" s="1"/>
  <c r="D1379" i="118" s="1"/>
  <c r="D1609" i="118" s="1"/>
  <c r="D1839" i="118" s="1"/>
  <c r="B459" i="118"/>
  <c r="B689" i="118" s="1"/>
  <c r="B919" i="118" s="1"/>
  <c r="B1149" i="118" s="1"/>
  <c r="B1379" i="118" s="1"/>
  <c r="B1609" i="118" s="1"/>
  <c r="B1839" i="118" s="1"/>
  <c r="A459" i="118"/>
  <c r="A689" i="118" s="1"/>
  <c r="A919" i="118" s="1"/>
  <c r="A1149" i="118" s="1"/>
  <c r="A1379" i="118" s="1"/>
  <c r="A1609" i="118" s="1"/>
  <c r="A1839" i="118" s="1"/>
  <c r="M228" i="118"/>
  <c r="E458" i="118"/>
  <c r="E688" i="118" s="1"/>
  <c r="E918" i="118" s="1"/>
  <c r="E1148" i="118" s="1"/>
  <c r="E1378" i="118" s="1"/>
  <c r="E1608" i="118" s="1"/>
  <c r="E1838" i="118" s="1"/>
  <c r="D458" i="118"/>
  <c r="D688" i="118" s="1"/>
  <c r="D918" i="118" s="1"/>
  <c r="D1148" i="118" s="1"/>
  <c r="D1378" i="118" s="1"/>
  <c r="D1608" i="118" s="1"/>
  <c r="D1838" i="118" s="1"/>
  <c r="B458" i="118"/>
  <c r="B688" i="118" s="1"/>
  <c r="B918" i="118" s="1"/>
  <c r="B1148" i="118" s="1"/>
  <c r="B1378" i="118" s="1"/>
  <c r="B1608" i="118" s="1"/>
  <c r="B1838" i="118" s="1"/>
  <c r="A458" i="118"/>
  <c r="A688" i="118" s="1"/>
  <c r="A918" i="118" s="1"/>
  <c r="A1148" i="118" s="1"/>
  <c r="A1378" i="118" s="1"/>
  <c r="A1608" i="118" s="1"/>
  <c r="A1838" i="118" s="1"/>
  <c r="M227" i="118"/>
  <c r="E457" i="118"/>
  <c r="E687" i="118" s="1"/>
  <c r="E917" i="118" s="1"/>
  <c r="E1147" i="118" s="1"/>
  <c r="E1377" i="118" s="1"/>
  <c r="E1607" i="118" s="1"/>
  <c r="E1837" i="118" s="1"/>
  <c r="D457" i="118"/>
  <c r="D687" i="118" s="1"/>
  <c r="D917" i="118" s="1"/>
  <c r="D1147" i="118" s="1"/>
  <c r="D1377" i="118" s="1"/>
  <c r="D1607" i="118" s="1"/>
  <c r="D1837" i="118" s="1"/>
  <c r="B457" i="118"/>
  <c r="B687" i="118" s="1"/>
  <c r="B917" i="118" s="1"/>
  <c r="B1147" i="118" s="1"/>
  <c r="B1377" i="118" s="1"/>
  <c r="B1607" i="118" s="1"/>
  <c r="B1837" i="118" s="1"/>
  <c r="A457" i="118"/>
  <c r="A687" i="118" s="1"/>
  <c r="A917" i="118" s="1"/>
  <c r="A1147" i="118" s="1"/>
  <c r="A1377" i="118" s="1"/>
  <c r="A1607" i="118" s="1"/>
  <c r="A1837" i="118" s="1"/>
  <c r="M226" i="118"/>
  <c r="E456" i="118"/>
  <c r="E686" i="118" s="1"/>
  <c r="E916" i="118" s="1"/>
  <c r="E1146" i="118" s="1"/>
  <c r="E1376" i="118" s="1"/>
  <c r="E1606" i="118" s="1"/>
  <c r="E1836" i="118" s="1"/>
  <c r="D456" i="118"/>
  <c r="D686" i="118" s="1"/>
  <c r="D916" i="118" s="1"/>
  <c r="D1146" i="118" s="1"/>
  <c r="D1376" i="118" s="1"/>
  <c r="D1606" i="118" s="1"/>
  <c r="D1836" i="118" s="1"/>
  <c r="B456" i="118"/>
  <c r="B686" i="118" s="1"/>
  <c r="B916" i="118" s="1"/>
  <c r="B1146" i="118" s="1"/>
  <c r="B1376" i="118" s="1"/>
  <c r="B1606" i="118" s="1"/>
  <c r="B1836" i="118" s="1"/>
  <c r="A456" i="118"/>
  <c r="A686" i="118" s="1"/>
  <c r="A916" i="118" s="1"/>
  <c r="A1146" i="118" s="1"/>
  <c r="A1376" i="118" s="1"/>
  <c r="A1606" i="118" s="1"/>
  <c r="A1836" i="118" s="1"/>
  <c r="M225" i="118"/>
  <c r="E455" i="118"/>
  <c r="E685" i="118" s="1"/>
  <c r="E915" i="118" s="1"/>
  <c r="E1145" i="118" s="1"/>
  <c r="E1375" i="118" s="1"/>
  <c r="E1605" i="118" s="1"/>
  <c r="E1835" i="118" s="1"/>
  <c r="D455" i="118"/>
  <c r="D685" i="118" s="1"/>
  <c r="D915" i="118" s="1"/>
  <c r="D1145" i="118" s="1"/>
  <c r="D1375" i="118" s="1"/>
  <c r="D1605" i="118" s="1"/>
  <c r="D1835" i="118" s="1"/>
  <c r="B455" i="118"/>
  <c r="B685" i="118" s="1"/>
  <c r="B915" i="118" s="1"/>
  <c r="B1145" i="118" s="1"/>
  <c r="B1375" i="118" s="1"/>
  <c r="B1605" i="118" s="1"/>
  <c r="B1835" i="118" s="1"/>
  <c r="A455" i="118"/>
  <c r="A685" i="118" s="1"/>
  <c r="A915" i="118" s="1"/>
  <c r="A1145" i="118" s="1"/>
  <c r="A1375" i="118" s="1"/>
  <c r="A1605" i="118" s="1"/>
  <c r="A1835" i="118" s="1"/>
  <c r="M224" i="118"/>
  <c r="E454" i="118"/>
  <c r="E684" i="118" s="1"/>
  <c r="E914" i="118" s="1"/>
  <c r="E1144" i="118" s="1"/>
  <c r="E1374" i="118" s="1"/>
  <c r="E1604" i="118" s="1"/>
  <c r="E1834" i="118" s="1"/>
  <c r="D454" i="118"/>
  <c r="D684" i="118" s="1"/>
  <c r="D914" i="118" s="1"/>
  <c r="D1144" i="118" s="1"/>
  <c r="D1374" i="118" s="1"/>
  <c r="D1604" i="118" s="1"/>
  <c r="D1834" i="118" s="1"/>
  <c r="B454" i="118"/>
  <c r="B684" i="118" s="1"/>
  <c r="B914" i="118" s="1"/>
  <c r="B1144" i="118" s="1"/>
  <c r="B1374" i="118" s="1"/>
  <c r="B1604" i="118" s="1"/>
  <c r="B1834" i="118" s="1"/>
  <c r="A454" i="118"/>
  <c r="A684" i="118" s="1"/>
  <c r="A914" i="118" s="1"/>
  <c r="A1144" i="118" s="1"/>
  <c r="A1374" i="118" s="1"/>
  <c r="A1604" i="118" s="1"/>
  <c r="A1834" i="118" s="1"/>
  <c r="M223" i="118"/>
  <c r="E453" i="118"/>
  <c r="E683" i="118" s="1"/>
  <c r="E913" i="118" s="1"/>
  <c r="E1143" i="118" s="1"/>
  <c r="E1373" i="118" s="1"/>
  <c r="E1603" i="118" s="1"/>
  <c r="E1833" i="118" s="1"/>
  <c r="D453" i="118"/>
  <c r="D683" i="118" s="1"/>
  <c r="D913" i="118" s="1"/>
  <c r="D1143" i="118" s="1"/>
  <c r="D1373" i="118" s="1"/>
  <c r="D1603" i="118" s="1"/>
  <c r="D1833" i="118" s="1"/>
  <c r="B453" i="118"/>
  <c r="B683" i="118" s="1"/>
  <c r="B913" i="118" s="1"/>
  <c r="B1143" i="118" s="1"/>
  <c r="B1373" i="118" s="1"/>
  <c r="B1603" i="118" s="1"/>
  <c r="B1833" i="118" s="1"/>
  <c r="A453" i="118"/>
  <c r="A683" i="118" s="1"/>
  <c r="A913" i="118" s="1"/>
  <c r="A1143" i="118" s="1"/>
  <c r="A1373" i="118" s="1"/>
  <c r="A1603" i="118" s="1"/>
  <c r="A1833" i="118" s="1"/>
  <c r="M222" i="118"/>
  <c r="E452" i="118"/>
  <c r="E682" i="118" s="1"/>
  <c r="E912" i="118" s="1"/>
  <c r="E1142" i="118" s="1"/>
  <c r="E1372" i="118" s="1"/>
  <c r="E1602" i="118" s="1"/>
  <c r="E1832" i="118" s="1"/>
  <c r="D452" i="118"/>
  <c r="D682" i="118" s="1"/>
  <c r="D912" i="118" s="1"/>
  <c r="D1142" i="118" s="1"/>
  <c r="D1372" i="118" s="1"/>
  <c r="D1602" i="118" s="1"/>
  <c r="D1832" i="118" s="1"/>
  <c r="B452" i="118"/>
  <c r="B682" i="118" s="1"/>
  <c r="B912" i="118" s="1"/>
  <c r="B1142" i="118" s="1"/>
  <c r="B1372" i="118" s="1"/>
  <c r="B1602" i="118" s="1"/>
  <c r="B1832" i="118" s="1"/>
  <c r="A452" i="118"/>
  <c r="A682" i="118" s="1"/>
  <c r="A912" i="118" s="1"/>
  <c r="A1142" i="118" s="1"/>
  <c r="A1372" i="118" s="1"/>
  <c r="A1602" i="118" s="1"/>
  <c r="A1832" i="118" s="1"/>
  <c r="M221" i="118"/>
  <c r="E451" i="118"/>
  <c r="E681" i="118" s="1"/>
  <c r="E911" i="118" s="1"/>
  <c r="E1141" i="118" s="1"/>
  <c r="E1371" i="118" s="1"/>
  <c r="E1601" i="118" s="1"/>
  <c r="E1831" i="118" s="1"/>
  <c r="D451" i="118"/>
  <c r="D681" i="118" s="1"/>
  <c r="D911" i="118" s="1"/>
  <c r="D1141" i="118" s="1"/>
  <c r="D1371" i="118" s="1"/>
  <c r="D1601" i="118" s="1"/>
  <c r="D1831" i="118" s="1"/>
  <c r="B451" i="118"/>
  <c r="B681" i="118" s="1"/>
  <c r="B911" i="118" s="1"/>
  <c r="B1141" i="118" s="1"/>
  <c r="B1371" i="118" s="1"/>
  <c r="B1601" i="118" s="1"/>
  <c r="B1831" i="118" s="1"/>
  <c r="A451" i="118"/>
  <c r="A681" i="118" s="1"/>
  <c r="A911" i="118" s="1"/>
  <c r="A1141" i="118" s="1"/>
  <c r="A1371" i="118" s="1"/>
  <c r="A1601" i="118" s="1"/>
  <c r="A1831" i="118" s="1"/>
  <c r="M220" i="118"/>
  <c r="E450" i="118"/>
  <c r="E680" i="118" s="1"/>
  <c r="E910" i="118" s="1"/>
  <c r="E1140" i="118" s="1"/>
  <c r="E1370" i="118" s="1"/>
  <c r="E1600" i="118" s="1"/>
  <c r="E1830" i="118" s="1"/>
  <c r="D450" i="118"/>
  <c r="D680" i="118" s="1"/>
  <c r="D910" i="118" s="1"/>
  <c r="D1140" i="118" s="1"/>
  <c r="D1370" i="118" s="1"/>
  <c r="D1600" i="118" s="1"/>
  <c r="D1830" i="118" s="1"/>
  <c r="B450" i="118"/>
  <c r="B680" i="118" s="1"/>
  <c r="B910" i="118" s="1"/>
  <c r="B1140" i="118" s="1"/>
  <c r="B1370" i="118" s="1"/>
  <c r="B1600" i="118" s="1"/>
  <c r="B1830" i="118" s="1"/>
  <c r="A450" i="118"/>
  <c r="A680" i="118" s="1"/>
  <c r="A910" i="118" s="1"/>
  <c r="A1140" i="118" s="1"/>
  <c r="A1370" i="118" s="1"/>
  <c r="A1600" i="118" s="1"/>
  <c r="A1830" i="118" s="1"/>
  <c r="M219" i="118"/>
  <c r="E449" i="118"/>
  <c r="E679" i="118" s="1"/>
  <c r="E909" i="118" s="1"/>
  <c r="E1139" i="118" s="1"/>
  <c r="E1369" i="118" s="1"/>
  <c r="E1599" i="118" s="1"/>
  <c r="E1829" i="118" s="1"/>
  <c r="D449" i="118"/>
  <c r="D679" i="118" s="1"/>
  <c r="D909" i="118" s="1"/>
  <c r="D1139" i="118" s="1"/>
  <c r="D1369" i="118" s="1"/>
  <c r="D1599" i="118" s="1"/>
  <c r="D1829" i="118" s="1"/>
  <c r="B449" i="118"/>
  <c r="B679" i="118" s="1"/>
  <c r="B909" i="118" s="1"/>
  <c r="B1139" i="118" s="1"/>
  <c r="B1369" i="118" s="1"/>
  <c r="B1599" i="118" s="1"/>
  <c r="B1829" i="118" s="1"/>
  <c r="A449" i="118"/>
  <c r="A679" i="118" s="1"/>
  <c r="A909" i="118" s="1"/>
  <c r="A1139" i="118" s="1"/>
  <c r="A1369" i="118" s="1"/>
  <c r="A1599" i="118" s="1"/>
  <c r="A1829" i="118" s="1"/>
  <c r="M218" i="118"/>
  <c r="E448" i="118"/>
  <c r="E678" i="118" s="1"/>
  <c r="E908" i="118" s="1"/>
  <c r="E1138" i="118" s="1"/>
  <c r="E1368" i="118" s="1"/>
  <c r="E1598" i="118" s="1"/>
  <c r="E1828" i="118" s="1"/>
  <c r="D448" i="118"/>
  <c r="D678" i="118" s="1"/>
  <c r="D908" i="118" s="1"/>
  <c r="D1138" i="118" s="1"/>
  <c r="D1368" i="118" s="1"/>
  <c r="D1598" i="118" s="1"/>
  <c r="D1828" i="118" s="1"/>
  <c r="B448" i="118"/>
  <c r="B678" i="118" s="1"/>
  <c r="B908" i="118" s="1"/>
  <c r="B1138" i="118" s="1"/>
  <c r="B1368" i="118" s="1"/>
  <c r="B1598" i="118" s="1"/>
  <c r="B1828" i="118" s="1"/>
  <c r="A448" i="118"/>
  <c r="A678" i="118" s="1"/>
  <c r="A908" i="118" s="1"/>
  <c r="A1138" i="118" s="1"/>
  <c r="A1368" i="118" s="1"/>
  <c r="A1598" i="118" s="1"/>
  <c r="A1828" i="118" s="1"/>
  <c r="M217" i="118"/>
  <c r="E447" i="118"/>
  <c r="E677" i="118" s="1"/>
  <c r="E907" i="118" s="1"/>
  <c r="E1137" i="118" s="1"/>
  <c r="E1367" i="118" s="1"/>
  <c r="E1597" i="118" s="1"/>
  <c r="E1827" i="118" s="1"/>
  <c r="D447" i="118"/>
  <c r="D677" i="118" s="1"/>
  <c r="D907" i="118" s="1"/>
  <c r="D1137" i="118" s="1"/>
  <c r="D1367" i="118" s="1"/>
  <c r="D1597" i="118" s="1"/>
  <c r="D1827" i="118" s="1"/>
  <c r="B447" i="118"/>
  <c r="B677" i="118" s="1"/>
  <c r="B907" i="118" s="1"/>
  <c r="B1137" i="118" s="1"/>
  <c r="B1367" i="118" s="1"/>
  <c r="B1597" i="118" s="1"/>
  <c r="B1827" i="118" s="1"/>
  <c r="A447" i="118"/>
  <c r="A677" i="118" s="1"/>
  <c r="A907" i="118" s="1"/>
  <c r="A1137" i="118" s="1"/>
  <c r="A1367" i="118" s="1"/>
  <c r="A1597" i="118" s="1"/>
  <c r="A1827" i="118" s="1"/>
  <c r="M216" i="118"/>
  <c r="E446" i="118"/>
  <c r="E676" i="118" s="1"/>
  <c r="E906" i="118" s="1"/>
  <c r="E1136" i="118" s="1"/>
  <c r="E1366" i="118" s="1"/>
  <c r="E1596" i="118" s="1"/>
  <c r="E1826" i="118" s="1"/>
  <c r="D446" i="118"/>
  <c r="D676" i="118" s="1"/>
  <c r="D906" i="118" s="1"/>
  <c r="D1136" i="118" s="1"/>
  <c r="D1366" i="118" s="1"/>
  <c r="D1596" i="118" s="1"/>
  <c r="D1826" i="118" s="1"/>
  <c r="B446" i="118"/>
  <c r="B676" i="118" s="1"/>
  <c r="B906" i="118" s="1"/>
  <c r="B1136" i="118" s="1"/>
  <c r="B1366" i="118" s="1"/>
  <c r="B1596" i="118" s="1"/>
  <c r="B1826" i="118" s="1"/>
  <c r="A446" i="118"/>
  <c r="A676" i="118" s="1"/>
  <c r="A906" i="118" s="1"/>
  <c r="A1136" i="118" s="1"/>
  <c r="A1366" i="118" s="1"/>
  <c r="A1596" i="118" s="1"/>
  <c r="A1826" i="118" s="1"/>
  <c r="M215" i="118"/>
  <c r="E445" i="118"/>
  <c r="E675" i="118" s="1"/>
  <c r="E905" i="118" s="1"/>
  <c r="E1135" i="118" s="1"/>
  <c r="E1365" i="118" s="1"/>
  <c r="E1595" i="118" s="1"/>
  <c r="E1825" i="118" s="1"/>
  <c r="D445" i="118"/>
  <c r="D675" i="118" s="1"/>
  <c r="D905" i="118" s="1"/>
  <c r="D1135" i="118" s="1"/>
  <c r="D1365" i="118" s="1"/>
  <c r="D1595" i="118" s="1"/>
  <c r="D1825" i="118" s="1"/>
  <c r="B445" i="118"/>
  <c r="B675" i="118" s="1"/>
  <c r="B905" i="118" s="1"/>
  <c r="B1135" i="118" s="1"/>
  <c r="B1365" i="118" s="1"/>
  <c r="B1595" i="118" s="1"/>
  <c r="B1825" i="118" s="1"/>
  <c r="A445" i="118"/>
  <c r="A675" i="118" s="1"/>
  <c r="A905" i="118" s="1"/>
  <c r="A1135" i="118" s="1"/>
  <c r="A1365" i="118" s="1"/>
  <c r="A1595" i="118" s="1"/>
  <c r="A1825" i="118" s="1"/>
  <c r="M214" i="118"/>
  <c r="E444" i="118"/>
  <c r="E674" i="118" s="1"/>
  <c r="E904" i="118" s="1"/>
  <c r="E1134" i="118" s="1"/>
  <c r="E1364" i="118" s="1"/>
  <c r="E1594" i="118" s="1"/>
  <c r="E1824" i="118" s="1"/>
  <c r="D444" i="118"/>
  <c r="D674" i="118" s="1"/>
  <c r="D904" i="118" s="1"/>
  <c r="D1134" i="118" s="1"/>
  <c r="D1364" i="118" s="1"/>
  <c r="D1594" i="118" s="1"/>
  <c r="D1824" i="118" s="1"/>
  <c r="B444" i="118"/>
  <c r="B674" i="118" s="1"/>
  <c r="B904" i="118" s="1"/>
  <c r="B1134" i="118" s="1"/>
  <c r="B1364" i="118" s="1"/>
  <c r="B1594" i="118" s="1"/>
  <c r="B1824" i="118" s="1"/>
  <c r="A444" i="118"/>
  <c r="A674" i="118" s="1"/>
  <c r="A904" i="118" s="1"/>
  <c r="A1134" i="118" s="1"/>
  <c r="A1364" i="118" s="1"/>
  <c r="A1594" i="118" s="1"/>
  <c r="A1824" i="118" s="1"/>
  <c r="M213" i="118"/>
  <c r="E443" i="118"/>
  <c r="E673" i="118" s="1"/>
  <c r="E903" i="118" s="1"/>
  <c r="E1133" i="118" s="1"/>
  <c r="E1363" i="118" s="1"/>
  <c r="E1593" i="118" s="1"/>
  <c r="E1823" i="118" s="1"/>
  <c r="D443" i="118"/>
  <c r="D673" i="118" s="1"/>
  <c r="D903" i="118" s="1"/>
  <c r="D1133" i="118" s="1"/>
  <c r="D1363" i="118" s="1"/>
  <c r="D1593" i="118" s="1"/>
  <c r="D1823" i="118" s="1"/>
  <c r="B443" i="118"/>
  <c r="B673" i="118" s="1"/>
  <c r="B903" i="118" s="1"/>
  <c r="B1133" i="118" s="1"/>
  <c r="B1363" i="118" s="1"/>
  <c r="B1593" i="118" s="1"/>
  <c r="B1823" i="118" s="1"/>
  <c r="A443" i="118"/>
  <c r="A673" i="118" s="1"/>
  <c r="A903" i="118" s="1"/>
  <c r="A1133" i="118" s="1"/>
  <c r="A1363" i="118" s="1"/>
  <c r="A1593" i="118" s="1"/>
  <c r="A1823" i="118" s="1"/>
  <c r="M212" i="118"/>
  <c r="E442" i="118"/>
  <c r="E672" i="118" s="1"/>
  <c r="E902" i="118" s="1"/>
  <c r="E1132" i="118" s="1"/>
  <c r="E1362" i="118" s="1"/>
  <c r="E1592" i="118" s="1"/>
  <c r="E1822" i="118" s="1"/>
  <c r="D442" i="118"/>
  <c r="D672" i="118" s="1"/>
  <c r="D902" i="118" s="1"/>
  <c r="D1132" i="118" s="1"/>
  <c r="D1362" i="118" s="1"/>
  <c r="D1592" i="118" s="1"/>
  <c r="D1822" i="118" s="1"/>
  <c r="B442" i="118"/>
  <c r="B672" i="118" s="1"/>
  <c r="B902" i="118" s="1"/>
  <c r="B1132" i="118" s="1"/>
  <c r="B1362" i="118" s="1"/>
  <c r="B1592" i="118" s="1"/>
  <c r="B1822" i="118" s="1"/>
  <c r="A442" i="118"/>
  <c r="A672" i="118" s="1"/>
  <c r="A902" i="118" s="1"/>
  <c r="A1132" i="118" s="1"/>
  <c r="A1362" i="118" s="1"/>
  <c r="A1592" i="118" s="1"/>
  <c r="A1822" i="118" s="1"/>
  <c r="M211" i="118"/>
  <c r="E441" i="118"/>
  <c r="E671" i="118" s="1"/>
  <c r="E901" i="118" s="1"/>
  <c r="E1131" i="118" s="1"/>
  <c r="E1361" i="118" s="1"/>
  <c r="E1591" i="118" s="1"/>
  <c r="E1821" i="118" s="1"/>
  <c r="D441" i="118"/>
  <c r="D671" i="118" s="1"/>
  <c r="D901" i="118" s="1"/>
  <c r="D1131" i="118" s="1"/>
  <c r="D1361" i="118" s="1"/>
  <c r="D1591" i="118" s="1"/>
  <c r="D1821" i="118" s="1"/>
  <c r="B441" i="118"/>
  <c r="B671" i="118" s="1"/>
  <c r="B901" i="118" s="1"/>
  <c r="B1131" i="118" s="1"/>
  <c r="B1361" i="118" s="1"/>
  <c r="B1591" i="118" s="1"/>
  <c r="B1821" i="118" s="1"/>
  <c r="A441" i="118"/>
  <c r="A671" i="118" s="1"/>
  <c r="A901" i="118" s="1"/>
  <c r="A1131" i="118" s="1"/>
  <c r="A1361" i="118" s="1"/>
  <c r="A1591" i="118" s="1"/>
  <c r="A1821" i="118" s="1"/>
  <c r="M210" i="118"/>
  <c r="E440" i="118"/>
  <c r="E670" i="118" s="1"/>
  <c r="E900" i="118" s="1"/>
  <c r="E1130" i="118" s="1"/>
  <c r="E1360" i="118" s="1"/>
  <c r="E1590" i="118" s="1"/>
  <c r="E1820" i="118" s="1"/>
  <c r="D440" i="118"/>
  <c r="D670" i="118" s="1"/>
  <c r="D900" i="118" s="1"/>
  <c r="D1130" i="118" s="1"/>
  <c r="D1360" i="118" s="1"/>
  <c r="D1590" i="118" s="1"/>
  <c r="D1820" i="118" s="1"/>
  <c r="B440" i="118"/>
  <c r="B670" i="118" s="1"/>
  <c r="B900" i="118" s="1"/>
  <c r="B1130" i="118" s="1"/>
  <c r="B1360" i="118" s="1"/>
  <c r="B1590" i="118" s="1"/>
  <c r="B1820" i="118" s="1"/>
  <c r="A440" i="118"/>
  <c r="A670" i="118" s="1"/>
  <c r="A900" i="118" s="1"/>
  <c r="A1130" i="118" s="1"/>
  <c r="A1360" i="118" s="1"/>
  <c r="A1590" i="118" s="1"/>
  <c r="A1820" i="118" s="1"/>
  <c r="M209" i="118"/>
  <c r="E439" i="118"/>
  <c r="E669" i="118" s="1"/>
  <c r="E899" i="118" s="1"/>
  <c r="E1129" i="118" s="1"/>
  <c r="E1359" i="118" s="1"/>
  <c r="E1589" i="118" s="1"/>
  <c r="E1819" i="118" s="1"/>
  <c r="D439" i="118"/>
  <c r="D669" i="118" s="1"/>
  <c r="D899" i="118" s="1"/>
  <c r="D1129" i="118" s="1"/>
  <c r="D1359" i="118" s="1"/>
  <c r="D1589" i="118" s="1"/>
  <c r="D1819" i="118" s="1"/>
  <c r="B439" i="118"/>
  <c r="B669" i="118" s="1"/>
  <c r="B899" i="118" s="1"/>
  <c r="B1129" i="118" s="1"/>
  <c r="B1359" i="118" s="1"/>
  <c r="B1589" i="118" s="1"/>
  <c r="B1819" i="118" s="1"/>
  <c r="A439" i="118"/>
  <c r="A669" i="118" s="1"/>
  <c r="A899" i="118" s="1"/>
  <c r="A1129" i="118" s="1"/>
  <c r="A1359" i="118" s="1"/>
  <c r="A1589" i="118" s="1"/>
  <c r="A1819" i="118" s="1"/>
  <c r="M208" i="118"/>
  <c r="E438" i="118"/>
  <c r="E668" i="118" s="1"/>
  <c r="E898" i="118" s="1"/>
  <c r="E1128" i="118" s="1"/>
  <c r="E1358" i="118" s="1"/>
  <c r="E1588" i="118" s="1"/>
  <c r="E1818" i="118" s="1"/>
  <c r="D438" i="118"/>
  <c r="D668" i="118" s="1"/>
  <c r="D898" i="118" s="1"/>
  <c r="D1128" i="118" s="1"/>
  <c r="D1358" i="118" s="1"/>
  <c r="D1588" i="118" s="1"/>
  <c r="D1818" i="118" s="1"/>
  <c r="B438" i="118"/>
  <c r="B668" i="118" s="1"/>
  <c r="B898" i="118" s="1"/>
  <c r="B1128" i="118" s="1"/>
  <c r="B1358" i="118" s="1"/>
  <c r="B1588" i="118" s="1"/>
  <c r="B1818" i="118" s="1"/>
  <c r="A438" i="118"/>
  <c r="A668" i="118" s="1"/>
  <c r="A898" i="118" s="1"/>
  <c r="A1128" i="118" s="1"/>
  <c r="A1358" i="118" s="1"/>
  <c r="A1588" i="118" s="1"/>
  <c r="A1818" i="118" s="1"/>
  <c r="M207" i="118"/>
  <c r="E437" i="118"/>
  <c r="E667" i="118" s="1"/>
  <c r="E897" i="118" s="1"/>
  <c r="E1127" i="118" s="1"/>
  <c r="E1357" i="118" s="1"/>
  <c r="E1587" i="118" s="1"/>
  <c r="E1817" i="118" s="1"/>
  <c r="D437" i="118"/>
  <c r="D667" i="118" s="1"/>
  <c r="D897" i="118" s="1"/>
  <c r="D1127" i="118" s="1"/>
  <c r="D1357" i="118" s="1"/>
  <c r="D1587" i="118" s="1"/>
  <c r="D1817" i="118" s="1"/>
  <c r="B437" i="118"/>
  <c r="B667" i="118" s="1"/>
  <c r="B897" i="118" s="1"/>
  <c r="B1127" i="118" s="1"/>
  <c r="B1357" i="118" s="1"/>
  <c r="B1587" i="118" s="1"/>
  <c r="B1817" i="118" s="1"/>
  <c r="A437" i="118"/>
  <c r="A667" i="118" s="1"/>
  <c r="A897" i="118" s="1"/>
  <c r="A1127" i="118" s="1"/>
  <c r="A1357" i="118" s="1"/>
  <c r="A1587" i="118" s="1"/>
  <c r="A1817" i="118" s="1"/>
  <c r="M206" i="118"/>
  <c r="E436" i="118"/>
  <c r="E666" i="118" s="1"/>
  <c r="E896" i="118" s="1"/>
  <c r="E1126" i="118" s="1"/>
  <c r="E1356" i="118" s="1"/>
  <c r="E1586" i="118" s="1"/>
  <c r="E1816" i="118" s="1"/>
  <c r="D436" i="118"/>
  <c r="D666" i="118" s="1"/>
  <c r="D896" i="118" s="1"/>
  <c r="D1126" i="118" s="1"/>
  <c r="D1356" i="118" s="1"/>
  <c r="D1586" i="118" s="1"/>
  <c r="D1816" i="118" s="1"/>
  <c r="B436" i="118"/>
  <c r="B666" i="118" s="1"/>
  <c r="B896" i="118" s="1"/>
  <c r="B1126" i="118" s="1"/>
  <c r="B1356" i="118" s="1"/>
  <c r="B1586" i="118" s="1"/>
  <c r="B1816" i="118" s="1"/>
  <c r="A436" i="118"/>
  <c r="A666" i="118" s="1"/>
  <c r="A896" i="118" s="1"/>
  <c r="A1126" i="118" s="1"/>
  <c r="A1356" i="118" s="1"/>
  <c r="A1586" i="118" s="1"/>
  <c r="A1816" i="118" s="1"/>
  <c r="M205" i="118"/>
  <c r="E435" i="118"/>
  <c r="E665" i="118" s="1"/>
  <c r="E895" i="118" s="1"/>
  <c r="E1125" i="118" s="1"/>
  <c r="E1355" i="118" s="1"/>
  <c r="E1585" i="118" s="1"/>
  <c r="E1815" i="118" s="1"/>
  <c r="D435" i="118"/>
  <c r="D665" i="118" s="1"/>
  <c r="D895" i="118" s="1"/>
  <c r="D1125" i="118" s="1"/>
  <c r="D1355" i="118" s="1"/>
  <c r="D1585" i="118" s="1"/>
  <c r="D1815" i="118" s="1"/>
  <c r="B435" i="118"/>
  <c r="B665" i="118" s="1"/>
  <c r="B895" i="118" s="1"/>
  <c r="B1125" i="118" s="1"/>
  <c r="B1355" i="118" s="1"/>
  <c r="B1585" i="118" s="1"/>
  <c r="B1815" i="118" s="1"/>
  <c r="A435" i="118"/>
  <c r="A665" i="118" s="1"/>
  <c r="A895" i="118" s="1"/>
  <c r="A1125" i="118" s="1"/>
  <c r="A1355" i="118" s="1"/>
  <c r="A1585" i="118" s="1"/>
  <c r="A1815" i="118" s="1"/>
  <c r="M204" i="118"/>
  <c r="E434" i="118"/>
  <c r="E664" i="118" s="1"/>
  <c r="E894" i="118" s="1"/>
  <c r="E1124" i="118" s="1"/>
  <c r="E1354" i="118" s="1"/>
  <c r="E1584" i="118" s="1"/>
  <c r="E1814" i="118" s="1"/>
  <c r="D434" i="118"/>
  <c r="D664" i="118" s="1"/>
  <c r="D894" i="118" s="1"/>
  <c r="D1124" i="118" s="1"/>
  <c r="D1354" i="118" s="1"/>
  <c r="D1584" i="118" s="1"/>
  <c r="D1814" i="118" s="1"/>
  <c r="B434" i="118"/>
  <c r="B664" i="118" s="1"/>
  <c r="B894" i="118" s="1"/>
  <c r="B1124" i="118" s="1"/>
  <c r="B1354" i="118" s="1"/>
  <c r="B1584" i="118" s="1"/>
  <c r="B1814" i="118" s="1"/>
  <c r="A434" i="118"/>
  <c r="A664" i="118" s="1"/>
  <c r="A894" i="118" s="1"/>
  <c r="A1124" i="118" s="1"/>
  <c r="A1354" i="118" s="1"/>
  <c r="A1584" i="118" s="1"/>
  <c r="A1814" i="118" s="1"/>
  <c r="M203" i="118"/>
  <c r="E433" i="118"/>
  <c r="E663" i="118" s="1"/>
  <c r="E893" i="118" s="1"/>
  <c r="E1123" i="118" s="1"/>
  <c r="E1353" i="118" s="1"/>
  <c r="E1583" i="118" s="1"/>
  <c r="E1813" i="118" s="1"/>
  <c r="D433" i="118"/>
  <c r="D663" i="118" s="1"/>
  <c r="D893" i="118" s="1"/>
  <c r="D1123" i="118" s="1"/>
  <c r="D1353" i="118" s="1"/>
  <c r="D1583" i="118" s="1"/>
  <c r="D1813" i="118" s="1"/>
  <c r="B433" i="118"/>
  <c r="B663" i="118" s="1"/>
  <c r="B893" i="118" s="1"/>
  <c r="B1123" i="118" s="1"/>
  <c r="B1353" i="118" s="1"/>
  <c r="B1583" i="118" s="1"/>
  <c r="B1813" i="118" s="1"/>
  <c r="A433" i="118"/>
  <c r="A663" i="118" s="1"/>
  <c r="A893" i="118" s="1"/>
  <c r="A1123" i="118" s="1"/>
  <c r="A1353" i="118" s="1"/>
  <c r="A1583" i="118" s="1"/>
  <c r="A1813" i="118" s="1"/>
  <c r="M202" i="118"/>
  <c r="E432" i="118"/>
  <c r="E662" i="118" s="1"/>
  <c r="E892" i="118" s="1"/>
  <c r="E1122" i="118" s="1"/>
  <c r="E1352" i="118" s="1"/>
  <c r="E1582" i="118" s="1"/>
  <c r="E1812" i="118" s="1"/>
  <c r="D432" i="118"/>
  <c r="D662" i="118" s="1"/>
  <c r="D892" i="118" s="1"/>
  <c r="D1122" i="118" s="1"/>
  <c r="D1352" i="118" s="1"/>
  <c r="D1582" i="118" s="1"/>
  <c r="D1812" i="118" s="1"/>
  <c r="B432" i="118"/>
  <c r="B662" i="118" s="1"/>
  <c r="B892" i="118" s="1"/>
  <c r="B1122" i="118" s="1"/>
  <c r="B1352" i="118" s="1"/>
  <c r="B1582" i="118" s="1"/>
  <c r="B1812" i="118" s="1"/>
  <c r="A432" i="118"/>
  <c r="A662" i="118" s="1"/>
  <c r="A892" i="118" s="1"/>
  <c r="A1122" i="118" s="1"/>
  <c r="A1352" i="118" s="1"/>
  <c r="A1582" i="118" s="1"/>
  <c r="A1812" i="118" s="1"/>
  <c r="M201" i="118"/>
  <c r="E431" i="118"/>
  <c r="E661" i="118" s="1"/>
  <c r="E891" i="118" s="1"/>
  <c r="E1121" i="118" s="1"/>
  <c r="E1351" i="118" s="1"/>
  <c r="E1581" i="118" s="1"/>
  <c r="E1811" i="118" s="1"/>
  <c r="D431" i="118"/>
  <c r="D661" i="118" s="1"/>
  <c r="D891" i="118" s="1"/>
  <c r="D1121" i="118" s="1"/>
  <c r="D1351" i="118" s="1"/>
  <c r="D1581" i="118" s="1"/>
  <c r="D1811" i="118" s="1"/>
  <c r="B431" i="118"/>
  <c r="B661" i="118" s="1"/>
  <c r="B891" i="118" s="1"/>
  <c r="B1121" i="118" s="1"/>
  <c r="B1351" i="118" s="1"/>
  <c r="B1581" i="118" s="1"/>
  <c r="B1811" i="118" s="1"/>
  <c r="A431" i="118"/>
  <c r="A661" i="118" s="1"/>
  <c r="A891" i="118" s="1"/>
  <c r="A1121" i="118" s="1"/>
  <c r="A1351" i="118" s="1"/>
  <c r="A1581" i="118" s="1"/>
  <c r="A1811" i="118" s="1"/>
  <c r="M200" i="118"/>
  <c r="E430" i="118"/>
  <c r="E660" i="118" s="1"/>
  <c r="E890" i="118" s="1"/>
  <c r="E1120" i="118" s="1"/>
  <c r="E1350" i="118" s="1"/>
  <c r="E1580" i="118" s="1"/>
  <c r="E1810" i="118" s="1"/>
  <c r="D430" i="118"/>
  <c r="D660" i="118" s="1"/>
  <c r="D890" i="118" s="1"/>
  <c r="D1120" i="118" s="1"/>
  <c r="D1350" i="118" s="1"/>
  <c r="D1580" i="118" s="1"/>
  <c r="D1810" i="118" s="1"/>
  <c r="B430" i="118"/>
  <c r="B660" i="118" s="1"/>
  <c r="B890" i="118" s="1"/>
  <c r="B1120" i="118" s="1"/>
  <c r="B1350" i="118" s="1"/>
  <c r="B1580" i="118" s="1"/>
  <c r="B1810" i="118" s="1"/>
  <c r="A430" i="118"/>
  <c r="A660" i="118" s="1"/>
  <c r="A890" i="118" s="1"/>
  <c r="A1120" i="118" s="1"/>
  <c r="A1350" i="118" s="1"/>
  <c r="A1580" i="118" s="1"/>
  <c r="A1810" i="118" s="1"/>
  <c r="M199" i="118"/>
  <c r="E429" i="118"/>
  <c r="E659" i="118" s="1"/>
  <c r="E889" i="118" s="1"/>
  <c r="E1119" i="118" s="1"/>
  <c r="E1349" i="118" s="1"/>
  <c r="E1579" i="118" s="1"/>
  <c r="E1809" i="118" s="1"/>
  <c r="D429" i="118"/>
  <c r="D659" i="118" s="1"/>
  <c r="D889" i="118" s="1"/>
  <c r="D1119" i="118" s="1"/>
  <c r="D1349" i="118" s="1"/>
  <c r="D1579" i="118" s="1"/>
  <c r="D1809" i="118" s="1"/>
  <c r="B429" i="118"/>
  <c r="B659" i="118" s="1"/>
  <c r="B889" i="118" s="1"/>
  <c r="B1119" i="118" s="1"/>
  <c r="B1349" i="118" s="1"/>
  <c r="B1579" i="118" s="1"/>
  <c r="B1809" i="118" s="1"/>
  <c r="A429" i="118"/>
  <c r="A659" i="118" s="1"/>
  <c r="A889" i="118" s="1"/>
  <c r="A1119" i="118" s="1"/>
  <c r="A1349" i="118" s="1"/>
  <c r="A1579" i="118" s="1"/>
  <c r="A1809" i="118" s="1"/>
  <c r="M198" i="118"/>
  <c r="E428" i="118"/>
  <c r="E658" i="118" s="1"/>
  <c r="E888" i="118" s="1"/>
  <c r="E1118" i="118" s="1"/>
  <c r="E1348" i="118" s="1"/>
  <c r="E1578" i="118" s="1"/>
  <c r="E1808" i="118" s="1"/>
  <c r="D428" i="118"/>
  <c r="D658" i="118" s="1"/>
  <c r="D888" i="118" s="1"/>
  <c r="D1118" i="118" s="1"/>
  <c r="D1348" i="118" s="1"/>
  <c r="D1578" i="118" s="1"/>
  <c r="D1808" i="118" s="1"/>
  <c r="B428" i="118"/>
  <c r="B658" i="118" s="1"/>
  <c r="B888" i="118" s="1"/>
  <c r="B1118" i="118" s="1"/>
  <c r="B1348" i="118" s="1"/>
  <c r="B1578" i="118" s="1"/>
  <c r="B1808" i="118" s="1"/>
  <c r="A428" i="118"/>
  <c r="A658" i="118" s="1"/>
  <c r="A888" i="118" s="1"/>
  <c r="A1118" i="118" s="1"/>
  <c r="A1348" i="118" s="1"/>
  <c r="A1578" i="118" s="1"/>
  <c r="A1808" i="118" s="1"/>
  <c r="M197" i="118"/>
  <c r="E427" i="118"/>
  <c r="E657" i="118" s="1"/>
  <c r="E887" i="118" s="1"/>
  <c r="E1117" i="118" s="1"/>
  <c r="E1347" i="118" s="1"/>
  <c r="E1577" i="118" s="1"/>
  <c r="E1807" i="118" s="1"/>
  <c r="D427" i="118"/>
  <c r="D657" i="118" s="1"/>
  <c r="D887" i="118" s="1"/>
  <c r="D1117" i="118" s="1"/>
  <c r="D1347" i="118" s="1"/>
  <c r="D1577" i="118" s="1"/>
  <c r="D1807" i="118" s="1"/>
  <c r="B427" i="118"/>
  <c r="B657" i="118" s="1"/>
  <c r="B887" i="118" s="1"/>
  <c r="B1117" i="118" s="1"/>
  <c r="B1347" i="118" s="1"/>
  <c r="B1577" i="118" s="1"/>
  <c r="B1807" i="118" s="1"/>
  <c r="A427" i="118"/>
  <c r="A657" i="118" s="1"/>
  <c r="A887" i="118" s="1"/>
  <c r="A1117" i="118" s="1"/>
  <c r="A1347" i="118" s="1"/>
  <c r="A1577" i="118" s="1"/>
  <c r="A1807" i="118" s="1"/>
  <c r="M196" i="118"/>
  <c r="E426" i="118"/>
  <c r="E656" i="118" s="1"/>
  <c r="E886" i="118" s="1"/>
  <c r="E1116" i="118" s="1"/>
  <c r="E1346" i="118" s="1"/>
  <c r="E1576" i="118" s="1"/>
  <c r="E1806" i="118" s="1"/>
  <c r="D426" i="118"/>
  <c r="D656" i="118" s="1"/>
  <c r="D886" i="118" s="1"/>
  <c r="D1116" i="118" s="1"/>
  <c r="D1346" i="118" s="1"/>
  <c r="D1576" i="118" s="1"/>
  <c r="D1806" i="118" s="1"/>
  <c r="B426" i="118"/>
  <c r="B656" i="118" s="1"/>
  <c r="B886" i="118" s="1"/>
  <c r="B1116" i="118" s="1"/>
  <c r="B1346" i="118" s="1"/>
  <c r="B1576" i="118" s="1"/>
  <c r="B1806" i="118" s="1"/>
  <c r="A426" i="118"/>
  <c r="A656" i="118" s="1"/>
  <c r="A886" i="118" s="1"/>
  <c r="A1116" i="118" s="1"/>
  <c r="A1346" i="118" s="1"/>
  <c r="A1576" i="118" s="1"/>
  <c r="A1806" i="118" s="1"/>
  <c r="M195" i="118"/>
  <c r="E425" i="118"/>
  <c r="E655" i="118" s="1"/>
  <c r="E885" i="118" s="1"/>
  <c r="E1115" i="118" s="1"/>
  <c r="E1345" i="118" s="1"/>
  <c r="E1575" i="118" s="1"/>
  <c r="E1805" i="118" s="1"/>
  <c r="D425" i="118"/>
  <c r="D655" i="118" s="1"/>
  <c r="D885" i="118" s="1"/>
  <c r="D1115" i="118" s="1"/>
  <c r="D1345" i="118" s="1"/>
  <c r="D1575" i="118" s="1"/>
  <c r="D1805" i="118" s="1"/>
  <c r="B425" i="118"/>
  <c r="B655" i="118" s="1"/>
  <c r="B885" i="118" s="1"/>
  <c r="B1115" i="118" s="1"/>
  <c r="B1345" i="118" s="1"/>
  <c r="B1575" i="118" s="1"/>
  <c r="B1805" i="118" s="1"/>
  <c r="A425" i="118"/>
  <c r="A655" i="118" s="1"/>
  <c r="A885" i="118" s="1"/>
  <c r="A1115" i="118" s="1"/>
  <c r="A1345" i="118" s="1"/>
  <c r="A1575" i="118" s="1"/>
  <c r="A1805" i="118" s="1"/>
  <c r="M194" i="118"/>
  <c r="E424" i="118"/>
  <c r="E654" i="118" s="1"/>
  <c r="E884" i="118" s="1"/>
  <c r="E1114" i="118" s="1"/>
  <c r="E1344" i="118" s="1"/>
  <c r="E1574" i="118" s="1"/>
  <c r="E1804" i="118" s="1"/>
  <c r="D424" i="118"/>
  <c r="D654" i="118" s="1"/>
  <c r="D884" i="118" s="1"/>
  <c r="D1114" i="118" s="1"/>
  <c r="D1344" i="118" s="1"/>
  <c r="D1574" i="118" s="1"/>
  <c r="D1804" i="118" s="1"/>
  <c r="B424" i="118"/>
  <c r="B654" i="118" s="1"/>
  <c r="B884" i="118" s="1"/>
  <c r="B1114" i="118" s="1"/>
  <c r="B1344" i="118" s="1"/>
  <c r="B1574" i="118" s="1"/>
  <c r="B1804" i="118" s="1"/>
  <c r="A424" i="118"/>
  <c r="A654" i="118" s="1"/>
  <c r="A884" i="118" s="1"/>
  <c r="A1114" i="118" s="1"/>
  <c r="A1344" i="118" s="1"/>
  <c r="A1574" i="118" s="1"/>
  <c r="A1804" i="118" s="1"/>
  <c r="M193" i="118"/>
  <c r="E423" i="118"/>
  <c r="E653" i="118" s="1"/>
  <c r="E883" i="118" s="1"/>
  <c r="E1113" i="118" s="1"/>
  <c r="E1343" i="118" s="1"/>
  <c r="E1573" i="118" s="1"/>
  <c r="E1803" i="118" s="1"/>
  <c r="D423" i="118"/>
  <c r="D653" i="118" s="1"/>
  <c r="D883" i="118" s="1"/>
  <c r="D1113" i="118" s="1"/>
  <c r="D1343" i="118" s="1"/>
  <c r="D1573" i="118" s="1"/>
  <c r="D1803" i="118" s="1"/>
  <c r="B423" i="118"/>
  <c r="B653" i="118" s="1"/>
  <c r="B883" i="118" s="1"/>
  <c r="B1113" i="118" s="1"/>
  <c r="B1343" i="118" s="1"/>
  <c r="B1573" i="118" s="1"/>
  <c r="B1803" i="118" s="1"/>
  <c r="A423" i="118"/>
  <c r="A653" i="118" s="1"/>
  <c r="A883" i="118" s="1"/>
  <c r="A1113" i="118" s="1"/>
  <c r="A1343" i="118" s="1"/>
  <c r="A1573" i="118" s="1"/>
  <c r="A1803" i="118" s="1"/>
  <c r="M192" i="118"/>
  <c r="E422" i="118"/>
  <c r="E652" i="118" s="1"/>
  <c r="E882" i="118" s="1"/>
  <c r="E1112" i="118" s="1"/>
  <c r="E1342" i="118" s="1"/>
  <c r="E1572" i="118" s="1"/>
  <c r="E1802" i="118" s="1"/>
  <c r="D422" i="118"/>
  <c r="D652" i="118" s="1"/>
  <c r="D882" i="118" s="1"/>
  <c r="D1112" i="118" s="1"/>
  <c r="D1342" i="118" s="1"/>
  <c r="D1572" i="118" s="1"/>
  <c r="D1802" i="118" s="1"/>
  <c r="B422" i="118"/>
  <c r="B652" i="118" s="1"/>
  <c r="B882" i="118" s="1"/>
  <c r="B1112" i="118" s="1"/>
  <c r="B1342" i="118" s="1"/>
  <c r="B1572" i="118" s="1"/>
  <c r="B1802" i="118" s="1"/>
  <c r="A422" i="118"/>
  <c r="A652" i="118" s="1"/>
  <c r="A882" i="118" s="1"/>
  <c r="A1112" i="118" s="1"/>
  <c r="A1342" i="118" s="1"/>
  <c r="A1572" i="118" s="1"/>
  <c r="A1802" i="118" s="1"/>
  <c r="M191" i="118"/>
  <c r="E421" i="118"/>
  <c r="E651" i="118" s="1"/>
  <c r="E881" i="118" s="1"/>
  <c r="E1111" i="118" s="1"/>
  <c r="E1341" i="118" s="1"/>
  <c r="E1571" i="118" s="1"/>
  <c r="E1801" i="118" s="1"/>
  <c r="D421" i="118"/>
  <c r="D651" i="118" s="1"/>
  <c r="D881" i="118" s="1"/>
  <c r="D1111" i="118" s="1"/>
  <c r="D1341" i="118" s="1"/>
  <c r="D1571" i="118" s="1"/>
  <c r="D1801" i="118" s="1"/>
  <c r="B421" i="118"/>
  <c r="B651" i="118" s="1"/>
  <c r="B881" i="118" s="1"/>
  <c r="B1111" i="118" s="1"/>
  <c r="B1341" i="118" s="1"/>
  <c r="B1571" i="118" s="1"/>
  <c r="B1801" i="118" s="1"/>
  <c r="A421" i="118"/>
  <c r="A651" i="118" s="1"/>
  <c r="A881" i="118" s="1"/>
  <c r="A1111" i="118" s="1"/>
  <c r="A1341" i="118" s="1"/>
  <c r="A1571" i="118" s="1"/>
  <c r="A1801" i="118" s="1"/>
  <c r="M190" i="118"/>
  <c r="E420" i="118"/>
  <c r="E650" i="118" s="1"/>
  <c r="E880" i="118" s="1"/>
  <c r="E1110" i="118" s="1"/>
  <c r="E1340" i="118" s="1"/>
  <c r="E1570" i="118" s="1"/>
  <c r="E1800" i="118" s="1"/>
  <c r="D420" i="118"/>
  <c r="D650" i="118" s="1"/>
  <c r="D880" i="118" s="1"/>
  <c r="D1110" i="118" s="1"/>
  <c r="D1340" i="118" s="1"/>
  <c r="D1570" i="118" s="1"/>
  <c r="D1800" i="118" s="1"/>
  <c r="B420" i="118"/>
  <c r="B650" i="118" s="1"/>
  <c r="B880" i="118" s="1"/>
  <c r="B1110" i="118" s="1"/>
  <c r="B1340" i="118" s="1"/>
  <c r="B1570" i="118" s="1"/>
  <c r="B1800" i="118" s="1"/>
  <c r="A420" i="118"/>
  <c r="A650" i="118" s="1"/>
  <c r="A880" i="118" s="1"/>
  <c r="A1110" i="118" s="1"/>
  <c r="A1340" i="118" s="1"/>
  <c r="A1570" i="118" s="1"/>
  <c r="A1800" i="118" s="1"/>
  <c r="M189" i="118"/>
  <c r="E419" i="118"/>
  <c r="E649" i="118" s="1"/>
  <c r="E879" i="118" s="1"/>
  <c r="E1109" i="118" s="1"/>
  <c r="E1339" i="118" s="1"/>
  <c r="E1569" i="118" s="1"/>
  <c r="E1799" i="118" s="1"/>
  <c r="D419" i="118"/>
  <c r="D649" i="118" s="1"/>
  <c r="D879" i="118" s="1"/>
  <c r="D1109" i="118" s="1"/>
  <c r="D1339" i="118" s="1"/>
  <c r="D1569" i="118" s="1"/>
  <c r="D1799" i="118" s="1"/>
  <c r="B419" i="118"/>
  <c r="B649" i="118" s="1"/>
  <c r="B879" i="118" s="1"/>
  <c r="B1109" i="118" s="1"/>
  <c r="B1339" i="118" s="1"/>
  <c r="B1569" i="118" s="1"/>
  <c r="B1799" i="118" s="1"/>
  <c r="A419" i="118"/>
  <c r="A649" i="118" s="1"/>
  <c r="A879" i="118" s="1"/>
  <c r="A1109" i="118" s="1"/>
  <c r="A1339" i="118" s="1"/>
  <c r="A1569" i="118" s="1"/>
  <c r="A1799" i="118" s="1"/>
  <c r="M188" i="118"/>
  <c r="E418" i="118"/>
  <c r="E648" i="118" s="1"/>
  <c r="E878" i="118" s="1"/>
  <c r="E1108" i="118" s="1"/>
  <c r="E1338" i="118" s="1"/>
  <c r="E1568" i="118" s="1"/>
  <c r="E1798" i="118" s="1"/>
  <c r="D418" i="118"/>
  <c r="D648" i="118" s="1"/>
  <c r="D878" i="118" s="1"/>
  <c r="D1108" i="118" s="1"/>
  <c r="D1338" i="118" s="1"/>
  <c r="D1568" i="118" s="1"/>
  <c r="D1798" i="118" s="1"/>
  <c r="B418" i="118"/>
  <c r="B648" i="118" s="1"/>
  <c r="B878" i="118" s="1"/>
  <c r="B1108" i="118" s="1"/>
  <c r="B1338" i="118" s="1"/>
  <c r="B1568" i="118" s="1"/>
  <c r="B1798" i="118" s="1"/>
  <c r="A418" i="118"/>
  <c r="A648" i="118" s="1"/>
  <c r="A878" i="118" s="1"/>
  <c r="A1108" i="118" s="1"/>
  <c r="A1338" i="118" s="1"/>
  <c r="A1568" i="118" s="1"/>
  <c r="A1798" i="118" s="1"/>
  <c r="M187" i="118"/>
  <c r="E417" i="118"/>
  <c r="E647" i="118" s="1"/>
  <c r="E877" i="118" s="1"/>
  <c r="E1107" i="118" s="1"/>
  <c r="E1337" i="118" s="1"/>
  <c r="E1567" i="118" s="1"/>
  <c r="E1797" i="118" s="1"/>
  <c r="D417" i="118"/>
  <c r="D647" i="118" s="1"/>
  <c r="D877" i="118" s="1"/>
  <c r="D1107" i="118" s="1"/>
  <c r="D1337" i="118" s="1"/>
  <c r="D1567" i="118" s="1"/>
  <c r="D1797" i="118" s="1"/>
  <c r="B417" i="118"/>
  <c r="B647" i="118" s="1"/>
  <c r="B877" i="118" s="1"/>
  <c r="B1107" i="118" s="1"/>
  <c r="B1337" i="118" s="1"/>
  <c r="B1567" i="118" s="1"/>
  <c r="B1797" i="118" s="1"/>
  <c r="A417" i="118"/>
  <c r="A647" i="118" s="1"/>
  <c r="A877" i="118" s="1"/>
  <c r="A1107" i="118" s="1"/>
  <c r="A1337" i="118" s="1"/>
  <c r="A1567" i="118" s="1"/>
  <c r="A1797" i="118" s="1"/>
  <c r="M186" i="118"/>
  <c r="E416" i="118"/>
  <c r="E646" i="118" s="1"/>
  <c r="E876" i="118" s="1"/>
  <c r="E1106" i="118" s="1"/>
  <c r="E1336" i="118" s="1"/>
  <c r="E1566" i="118" s="1"/>
  <c r="E1796" i="118" s="1"/>
  <c r="D416" i="118"/>
  <c r="D646" i="118" s="1"/>
  <c r="D876" i="118" s="1"/>
  <c r="D1106" i="118" s="1"/>
  <c r="D1336" i="118" s="1"/>
  <c r="D1566" i="118" s="1"/>
  <c r="D1796" i="118" s="1"/>
  <c r="B416" i="118"/>
  <c r="B646" i="118" s="1"/>
  <c r="B876" i="118" s="1"/>
  <c r="B1106" i="118" s="1"/>
  <c r="B1336" i="118" s="1"/>
  <c r="B1566" i="118" s="1"/>
  <c r="B1796" i="118" s="1"/>
  <c r="A416" i="118"/>
  <c r="A646" i="118" s="1"/>
  <c r="A876" i="118" s="1"/>
  <c r="A1106" i="118" s="1"/>
  <c r="A1336" i="118" s="1"/>
  <c r="A1566" i="118" s="1"/>
  <c r="A1796" i="118" s="1"/>
  <c r="M185" i="118"/>
  <c r="E415" i="118"/>
  <c r="E645" i="118" s="1"/>
  <c r="E875" i="118" s="1"/>
  <c r="E1105" i="118" s="1"/>
  <c r="E1335" i="118" s="1"/>
  <c r="E1565" i="118" s="1"/>
  <c r="E1795" i="118" s="1"/>
  <c r="D415" i="118"/>
  <c r="D645" i="118" s="1"/>
  <c r="D875" i="118" s="1"/>
  <c r="D1105" i="118" s="1"/>
  <c r="D1335" i="118" s="1"/>
  <c r="D1565" i="118" s="1"/>
  <c r="D1795" i="118" s="1"/>
  <c r="B415" i="118"/>
  <c r="B645" i="118" s="1"/>
  <c r="B875" i="118" s="1"/>
  <c r="B1105" i="118" s="1"/>
  <c r="B1335" i="118" s="1"/>
  <c r="B1565" i="118" s="1"/>
  <c r="B1795" i="118" s="1"/>
  <c r="A415" i="118"/>
  <c r="A645" i="118" s="1"/>
  <c r="A875" i="118" s="1"/>
  <c r="A1105" i="118" s="1"/>
  <c r="A1335" i="118" s="1"/>
  <c r="A1565" i="118" s="1"/>
  <c r="A1795" i="118" s="1"/>
  <c r="M184" i="118"/>
  <c r="E414" i="118"/>
  <c r="E644" i="118" s="1"/>
  <c r="E874" i="118" s="1"/>
  <c r="E1104" i="118" s="1"/>
  <c r="E1334" i="118" s="1"/>
  <c r="E1564" i="118" s="1"/>
  <c r="E1794" i="118" s="1"/>
  <c r="D414" i="118"/>
  <c r="D644" i="118" s="1"/>
  <c r="D874" i="118" s="1"/>
  <c r="D1104" i="118" s="1"/>
  <c r="D1334" i="118" s="1"/>
  <c r="D1564" i="118" s="1"/>
  <c r="D1794" i="118" s="1"/>
  <c r="B414" i="118"/>
  <c r="B644" i="118" s="1"/>
  <c r="B874" i="118" s="1"/>
  <c r="B1104" i="118" s="1"/>
  <c r="B1334" i="118" s="1"/>
  <c r="B1564" i="118" s="1"/>
  <c r="B1794" i="118" s="1"/>
  <c r="A414" i="118"/>
  <c r="A644" i="118" s="1"/>
  <c r="A874" i="118" s="1"/>
  <c r="A1104" i="118" s="1"/>
  <c r="A1334" i="118" s="1"/>
  <c r="A1564" i="118" s="1"/>
  <c r="A1794" i="118" s="1"/>
  <c r="M183" i="118"/>
  <c r="E413" i="118"/>
  <c r="E643" i="118" s="1"/>
  <c r="E873" i="118" s="1"/>
  <c r="E1103" i="118" s="1"/>
  <c r="E1333" i="118" s="1"/>
  <c r="E1563" i="118" s="1"/>
  <c r="E1793" i="118" s="1"/>
  <c r="D413" i="118"/>
  <c r="D643" i="118" s="1"/>
  <c r="D873" i="118" s="1"/>
  <c r="D1103" i="118" s="1"/>
  <c r="D1333" i="118" s="1"/>
  <c r="D1563" i="118" s="1"/>
  <c r="D1793" i="118" s="1"/>
  <c r="B413" i="118"/>
  <c r="B643" i="118" s="1"/>
  <c r="B873" i="118" s="1"/>
  <c r="B1103" i="118" s="1"/>
  <c r="B1333" i="118" s="1"/>
  <c r="B1563" i="118" s="1"/>
  <c r="B1793" i="118" s="1"/>
  <c r="A413" i="118"/>
  <c r="A643" i="118" s="1"/>
  <c r="A873" i="118" s="1"/>
  <c r="A1103" i="118" s="1"/>
  <c r="A1333" i="118" s="1"/>
  <c r="A1563" i="118" s="1"/>
  <c r="A1793" i="118" s="1"/>
  <c r="M182" i="118"/>
  <c r="E412" i="118"/>
  <c r="E642" i="118" s="1"/>
  <c r="E872" i="118" s="1"/>
  <c r="E1102" i="118" s="1"/>
  <c r="E1332" i="118" s="1"/>
  <c r="E1562" i="118" s="1"/>
  <c r="E1792" i="118" s="1"/>
  <c r="D412" i="118"/>
  <c r="D642" i="118" s="1"/>
  <c r="D872" i="118" s="1"/>
  <c r="D1102" i="118" s="1"/>
  <c r="D1332" i="118" s="1"/>
  <c r="D1562" i="118" s="1"/>
  <c r="D1792" i="118" s="1"/>
  <c r="B412" i="118"/>
  <c r="B642" i="118" s="1"/>
  <c r="B872" i="118" s="1"/>
  <c r="B1102" i="118" s="1"/>
  <c r="B1332" i="118" s="1"/>
  <c r="B1562" i="118" s="1"/>
  <c r="B1792" i="118" s="1"/>
  <c r="A412" i="118"/>
  <c r="A642" i="118" s="1"/>
  <c r="A872" i="118" s="1"/>
  <c r="A1102" i="118" s="1"/>
  <c r="A1332" i="118" s="1"/>
  <c r="A1562" i="118" s="1"/>
  <c r="A1792" i="118" s="1"/>
  <c r="M181" i="118"/>
  <c r="E411" i="118"/>
  <c r="E641" i="118" s="1"/>
  <c r="E871" i="118" s="1"/>
  <c r="E1101" i="118" s="1"/>
  <c r="E1331" i="118" s="1"/>
  <c r="E1561" i="118" s="1"/>
  <c r="E1791" i="118" s="1"/>
  <c r="D411" i="118"/>
  <c r="D641" i="118" s="1"/>
  <c r="D871" i="118" s="1"/>
  <c r="D1101" i="118" s="1"/>
  <c r="D1331" i="118" s="1"/>
  <c r="D1561" i="118" s="1"/>
  <c r="D1791" i="118" s="1"/>
  <c r="B411" i="118"/>
  <c r="B641" i="118" s="1"/>
  <c r="B871" i="118" s="1"/>
  <c r="B1101" i="118" s="1"/>
  <c r="B1331" i="118" s="1"/>
  <c r="B1561" i="118" s="1"/>
  <c r="B1791" i="118" s="1"/>
  <c r="A411" i="118"/>
  <c r="A641" i="118" s="1"/>
  <c r="A871" i="118" s="1"/>
  <c r="A1101" i="118" s="1"/>
  <c r="A1331" i="118" s="1"/>
  <c r="A1561" i="118" s="1"/>
  <c r="A1791" i="118" s="1"/>
  <c r="M180" i="118"/>
  <c r="E410" i="118"/>
  <c r="E640" i="118" s="1"/>
  <c r="E870" i="118" s="1"/>
  <c r="E1100" i="118" s="1"/>
  <c r="E1330" i="118" s="1"/>
  <c r="E1560" i="118" s="1"/>
  <c r="E1790" i="118" s="1"/>
  <c r="D410" i="118"/>
  <c r="D640" i="118" s="1"/>
  <c r="D870" i="118" s="1"/>
  <c r="D1100" i="118" s="1"/>
  <c r="D1330" i="118" s="1"/>
  <c r="D1560" i="118" s="1"/>
  <c r="D1790" i="118" s="1"/>
  <c r="B410" i="118"/>
  <c r="B640" i="118" s="1"/>
  <c r="B870" i="118" s="1"/>
  <c r="B1100" i="118" s="1"/>
  <c r="B1330" i="118" s="1"/>
  <c r="B1560" i="118" s="1"/>
  <c r="B1790" i="118" s="1"/>
  <c r="A410" i="118"/>
  <c r="A640" i="118" s="1"/>
  <c r="A870" i="118" s="1"/>
  <c r="A1100" i="118" s="1"/>
  <c r="A1330" i="118" s="1"/>
  <c r="A1560" i="118" s="1"/>
  <c r="A1790" i="118" s="1"/>
  <c r="M179" i="118"/>
  <c r="E409" i="118"/>
  <c r="E639" i="118" s="1"/>
  <c r="E869" i="118" s="1"/>
  <c r="E1099" i="118" s="1"/>
  <c r="E1329" i="118" s="1"/>
  <c r="E1559" i="118" s="1"/>
  <c r="E1789" i="118" s="1"/>
  <c r="D409" i="118"/>
  <c r="D639" i="118" s="1"/>
  <c r="D869" i="118" s="1"/>
  <c r="D1099" i="118" s="1"/>
  <c r="D1329" i="118" s="1"/>
  <c r="D1559" i="118" s="1"/>
  <c r="D1789" i="118" s="1"/>
  <c r="B409" i="118"/>
  <c r="B639" i="118" s="1"/>
  <c r="B869" i="118" s="1"/>
  <c r="B1099" i="118" s="1"/>
  <c r="B1329" i="118" s="1"/>
  <c r="B1559" i="118" s="1"/>
  <c r="B1789" i="118" s="1"/>
  <c r="A409" i="118"/>
  <c r="A639" i="118" s="1"/>
  <c r="A869" i="118" s="1"/>
  <c r="A1099" i="118" s="1"/>
  <c r="A1329" i="118" s="1"/>
  <c r="A1559" i="118" s="1"/>
  <c r="A1789" i="118" s="1"/>
  <c r="M178" i="118"/>
  <c r="E408" i="118"/>
  <c r="E638" i="118" s="1"/>
  <c r="E868" i="118" s="1"/>
  <c r="E1098" i="118" s="1"/>
  <c r="E1328" i="118" s="1"/>
  <c r="E1558" i="118" s="1"/>
  <c r="E1788" i="118" s="1"/>
  <c r="D408" i="118"/>
  <c r="D638" i="118" s="1"/>
  <c r="D868" i="118" s="1"/>
  <c r="D1098" i="118" s="1"/>
  <c r="D1328" i="118" s="1"/>
  <c r="D1558" i="118" s="1"/>
  <c r="D1788" i="118" s="1"/>
  <c r="B408" i="118"/>
  <c r="B638" i="118" s="1"/>
  <c r="B868" i="118" s="1"/>
  <c r="B1098" i="118" s="1"/>
  <c r="B1328" i="118" s="1"/>
  <c r="B1558" i="118" s="1"/>
  <c r="B1788" i="118" s="1"/>
  <c r="A408" i="118"/>
  <c r="A638" i="118" s="1"/>
  <c r="A868" i="118" s="1"/>
  <c r="A1098" i="118" s="1"/>
  <c r="A1328" i="118" s="1"/>
  <c r="A1558" i="118" s="1"/>
  <c r="A1788" i="118" s="1"/>
  <c r="M177" i="118"/>
  <c r="E407" i="118"/>
  <c r="E637" i="118" s="1"/>
  <c r="E867" i="118" s="1"/>
  <c r="E1097" i="118" s="1"/>
  <c r="E1327" i="118" s="1"/>
  <c r="E1557" i="118" s="1"/>
  <c r="E1787" i="118" s="1"/>
  <c r="D407" i="118"/>
  <c r="D637" i="118" s="1"/>
  <c r="D867" i="118" s="1"/>
  <c r="D1097" i="118" s="1"/>
  <c r="D1327" i="118" s="1"/>
  <c r="D1557" i="118" s="1"/>
  <c r="D1787" i="118" s="1"/>
  <c r="B407" i="118"/>
  <c r="B637" i="118" s="1"/>
  <c r="B867" i="118" s="1"/>
  <c r="B1097" i="118" s="1"/>
  <c r="B1327" i="118" s="1"/>
  <c r="B1557" i="118" s="1"/>
  <c r="B1787" i="118" s="1"/>
  <c r="A407" i="118"/>
  <c r="A637" i="118" s="1"/>
  <c r="A867" i="118" s="1"/>
  <c r="A1097" i="118" s="1"/>
  <c r="A1327" i="118" s="1"/>
  <c r="A1557" i="118" s="1"/>
  <c r="A1787" i="118" s="1"/>
  <c r="M176" i="118"/>
  <c r="E406" i="118"/>
  <c r="E636" i="118" s="1"/>
  <c r="E866" i="118" s="1"/>
  <c r="E1096" i="118" s="1"/>
  <c r="E1326" i="118" s="1"/>
  <c r="E1556" i="118" s="1"/>
  <c r="E1786" i="118" s="1"/>
  <c r="D406" i="118"/>
  <c r="D636" i="118" s="1"/>
  <c r="D866" i="118" s="1"/>
  <c r="D1096" i="118" s="1"/>
  <c r="D1326" i="118" s="1"/>
  <c r="D1556" i="118" s="1"/>
  <c r="D1786" i="118" s="1"/>
  <c r="B406" i="118"/>
  <c r="B636" i="118" s="1"/>
  <c r="B866" i="118" s="1"/>
  <c r="B1096" i="118" s="1"/>
  <c r="B1326" i="118" s="1"/>
  <c r="B1556" i="118" s="1"/>
  <c r="B1786" i="118" s="1"/>
  <c r="A406" i="118"/>
  <c r="A636" i="118" s="1"/>
  <c r="A866" i="118" s="1"/>
  <c r="A1096" i="118" s="1"/>
  <c r="A1326" i="118" s="1"/>
  <c r="A1556" i="118" s="1"/>
  <c r="A1786" i="118" s="1"/>
  <c r="M175" i="118"/>
  <c r="E405" i="118"/>
  <c r="E635" i="118" s="1"/>
  <c r="E865" i="118" s="1"/>
  <c r="E1095" i="118" s="1"/>
  <c r="E1325" i="118" s="1"/>
  <c r="E1555" i="118" s="1"/>
  <c r="E1785" i="118" s="1"/>
  <c r="D405" i="118"/>
  <c r="D635" i="118" s="1"/>
  <c r="D865" i="118" s="1"/>
  <c r="D1095" i="118" s="1"/>
  <c r="D1325" i="118" s="1"/>
  <c r="D1555" i="118" s="1"/>
  <c r="D1785" i="118" s="1"/>
  <c r="B405" i="118"/>
  <c r="B635" i="118" s="1"/>
  <c r="B865" i="118" s="1"/>
  <c r="B1095" i="118" s="1"/>
  <c r="B1325" i="118" s="1"/>
  <c r="B1555" i="118" s="1"/>
  <c r="B1785" i="118" s="1"/>
  <c r="A405" i="118"/>
  <c r="A635" i="118" s="1"/>
  <c r="A865" i="118" s="1"/>
  <c r="A1095" i="118" s="1"/>
  <c r="A1325" i="118" s="1"/>
  <c r="A1555" i="118" s="1"/>
  <c r="A1785" i="118" s="1"/>
  <c r="M174" i="118"/>
  <c r="E404" i="118"/>
  <c r="E634" i="118" s="1"/>
  <c r="E864" i="118" s="1"/>
  <c r="E1094" i="118" s="1"/>
  <c r="E1324" i="118" s="1"/>
  <c r="E1554" i="118" s="1"/>
  <c r="E1784" i="118" s="1"/>
  <c r="D404" i="118"/>
  <c r="D634" i="118" s="1"/>
  <c r="D864" i="118" s="1"/>
  <c r="D1094" i="118" s="1"/>
  <c r="D1324" i="118" s="1"/>
  <c r="D1554" i="118" s="1"/>
  <c r="D1784" i="118" s="1"/>
  <c r="B404" i="118"/>
  <c r="B634" i="118" s="1"/>
  <c r="B864" i="118" s="1"/>
  <c r="B1094" i="118" s="1"/>
  <c r="B1324" i="118" s="1"/>
  <c r="B1554" i="118" s="1"/>
  <c r="B1784" i="118" s="1"/>
  <c r="A404" i="118"/>
  <c r="A634" i="118" s="1"/>
  <c r="A864" i="118" s="1"/>
  <c r="A1094" i="118" s="1"/>
  <c r="A1324" i="118" s="1"/>
  <c r="A1554" i="118" s="1"/>
  <c r="A1784" i="118" s="1"/>
  <c r="M173" i="118"/>
  <c r="E403" i="118"/>
  <c r="E633" i="118" s="1"/>
  <c r="E863" i="118" s="1"/>
  <c r="E1093" i="118" s="1"/>
  <c r="E1323" i="118" s="1"/>
  <c r="E1553" i="118" s="1"/>
  <c r="E1783" i="118" s="1"/>
  <c r="D403" i="118"/>
  <c r="D633" i="118" s="1"/>
  <c r="D863" i="118" s="1"/>
  <c r="D1093" i="118" s="1"/>
  <c r="D1323" i="118" s="1"/>
  <c r="D1553" i="118" s="1"/>
  <c r="D1783" i="118" s="1"/>
  <c r="B403" i="118"/>
  <c r="B633" i="118" s="1"/>
  <c r="B863" i="118" s="1"/>
  <c r="B1093" i="118" s="1"/>
  <c r="B1323" i="118" s="1"/>
  <c r="B1553" i="118" s="1"/>
  <c r="B1783" i="118" s="1"/>
  <c r="A403" i="118"/>
  <c r="A633" i="118" s="1"/>
  <c r="A863" i="118" s="1"/>
  <c r="A1093" i="118" s="1"/>
  <c r="A1323" i="118" s="1"/>
  <c r="A1553" i="118" s="1"/>
  <c r="A1783" i="118" s="1"/>
  <c r="M172" i="118"/>
  <c r="E402" i="118"/>
  <c r="E632" i="118" s="1"/>
  <c r="E862" i="118" s="1"/>
  <c r="E1092" i="118" s="1"/>
  <c r="E1322" i="118" s="1"/>
  <c r="E1552" i="118" s="1"/>
  <c r="E1782" i="118" s="1"/>
  <c r="D402" i="118"/>
  <c r="D632" i="118" s="1"/>
  <c r="D862" i="118" s="1"/>
  <c r="D1092" i="118" s="1"/>
  <c r="D1322" i="118" s="1"/>
  <c r="D1552" i="118" s="1"/>
  <c r="D1782" i="118" s="1"/>
  <c r="B402" i="118"/>
  <c r="B632" i="118" s="1"/>
  <c r="B862" i="118" s="1"/>
  <c r="B1092" i="118" s="1"/>
  <c r="B1322" i="118" s="1"/>
  <c r="B1552" i="118" s="1"/>
  <c r="B1782" i="118" s="1"/>
  <c r="A402" i="118"/>
  <c r="A632" i="118" s="1"/>
  <c r="A862" i="118" s="1"/>
  <c r="A1092" i="118" s="1"/>
  <c r="A1322" i="118" s="1"/>
  <c r="A1552" i="118" s="1"/>
  <c r="A1782" i="118" s="1"/>
  <c r="M171" i="118"/>
  <c r="E401" i="118"/>
  <c r="E631" i="118" s="1"/>
  <c r="E861" i="118" s="1"/>
  <c r="E1091" i="118" s="1"/>
  <c r="E1321" i="118" s="1"/>
  <c r="E1551" i="118" s="1"/>
  <c r="E1781" i="118" s="1"/>
  <c r="D401" i="118"/>
  <c r="D631" i="118" s="1"/>
  <c r="D861" i="118" s="1"/>
  <c r="D1091" i="118" s="1"/>
  <c r="D1321" i="118" s="1"/>
  <c r="D1551" i="118" s="1"/>
  <c r="D1781" i="118" s="1"/>
  <c r="B401" i="118"/>
  <c r="B631" i="118" s="1"/>
  <c r="B861" i="118" s="1"/>
  <c r="B1091" i="118" s="1"/>
  <c r="B1321" i="118" s="1"/>
  <c r="B1551" i="118" s="1"/>
  <c r="B1781" i="118" s="1"/>
  <c r="A401" i="118"/>
  <c r="A631" i="118" s="1"/>
  <c r="A861" i="118" s="1"/>
  <c r="A1091" i="118" s="1"/>
  <c r="A1321" i="118" s="1"/>
  <c r="A1551" i="118" s="1"/>
  <c r="A1781" i="118" s="1"/>
  <c r="M170" i="118"/>
  <c r="E400" i="118"/>
  <c r="E630" i="118" s="1"/>
  <c r="E860" i="118" s="1"/>
  <c r="E1090" i="118" s="1"/>
  <c r="E1320" i="118" s="1"/>
  <c r="E1550" i="118" s="1"/>
  <c r="E1780" i="118" s="1"/>
  <c r="D400" i="118"/>
  <c r="D630" i="118" s="1"/>
  <c r="D860" i="118" s="1"/>
  <c r="D1090" i="118" s="1"/>
  <c r="D1320" i="118" s="1"/>
  <c r="D1550" i="118" s="1"/>
  <c r="D1780" i="118" s="1"/>
  <c r="B400" i="118"/>
  <c r="B630" i="118" s="1"/>
  <c r="B860" i="118" s="1"/>
  <c r="B1090" i="118" s="1"/>
  <c r="B1320" i="118" s="1"/>
  <c r="B1550" i="118" s="1"/>
  <c r="B1780" i="118" s="1"/>
  <c r="A400" i="118"/>
  <c r="A630" i="118" s="1"/>
  <c r="A860" i="118" s="1"/>
  <c r="A1090" i="118" s="1"/>
  <c r="A1320" i="118" s="1"/>
  <c r="A1550" i="118" s="1"/>
  <c r="A1780" i="118" s="1"/>
  <c r="M169" i="118"/>
  <c r="E399" i="118"/>
  <c r="E629" i="118" s="1"/>
  <c r="E859" i="118" s="1"/>
  <c r="E1089" i="118" s="1"/>
  <c r="E1319" i="118" s="1"/>
  <c r="E1549" i="118" s="1"/>
  <c r="E1779" i="118" s="1"/>
  <c r="D399" i="118"/>
  <c r="D629" i="118" s="1"/>
  <c r="D859" i="118" s="1"/>
  <c r="D1089" i="118" s="1"/>
  <c r="D1319" i="118" s="1"/>
  <c r="D1549" i="118" s="1"/>
  <c r="D1779" i="118" s="1"/>
  <c r="B399" i="118"/>
  <c r="B629" i="118" s="1"/>
  <c r="B859" i="118" s="1"/>
  <c r="B1089" i="118" s="1"/>
  <c r="B1319" i="118" s="1"/>
  <c r="B1549" i="118" s="1"/>
  <c r="B1779" i="118" s="1"/>
  <c r="A399" i="118"/>
  <c r="A629" i="118" s="1"/>
  <c r="A859" i="118" s="1"/>
  <c r="A1089" i="118" s="1"/>
  <c r="A1319" i="118" s="1"/>
  <c r="A1549" i="118" s="1"/>
  <c r="A1779" i="118" s="1"/>
  <c r="M168" i="118"/>
  <c r="E398" i="118"/>
  <c r="E628" i="118" s="1"/>
  <c r="E858" i="118" s="1"/>
  <c r="E1088" i="118" s="1"/>
  <c r="E1318" i="118" s="1"/>
  <c r="E1548" i="118" s="1"/>
  <c r="E1778" i="118" s="1"/>
  <c r="D398" i="118"/>
  <c r="D628" i="118" s="1"/>
  <c r="D858" i="118" s="1"/>
  <c r="D1088" i="118" s="1"/>
  <c r="D1318" i="118" s="1"/>
  <c r="D1548" i="118" s="1"/>
  <c r="D1778" i="118" s="1"/>
  <c r="B398" i="118"/>
  <c r="B628" i="118" s="1"/>
  <c r="B858" i="118" s="1"/>
  <c r="B1088" i="118" s="1"/>
  <c r="B1318" i="118" s="1"/>
  <c r="B1548" i="118" s="1"/>
  <c r="B1778" i="118" s="1"/>
  <c r="A398" i="118"/>
  <c r="A628" i="118" s="1"/>
  <c r="A858" i="118" s="1"/>
  <c r="A1088" i="118" s="1"/>
  <c r="A1318" i="118" s="1"/>
  <c r="A1548" i="118" s="1"/>
  <c r="A1778" i="118" s="1"/>
  <c r="M167" i="118"/>
  <c r="E397" i="118"/>
  <c r="E627" i="118" s="1"/>
  <c r="E857" i="118" s="1"/>
  <c r="E1087" i="118" s="1"/>
  <c r="E1317" i="118" s="1"/>
  <c r="E1547" i="118" s="1"/>
  <c r="E1777" i="118" s="1"/>
  <c r="D397" i="118"/>
  <c r="D627" i="118" s="1"/>
  <c r="D857" i="118" s="1"/>
  <c r="D1087" i="118" s="1"/>
  <c r="D1317" i="118" s="1"/>
  <c r="D1547" i="118" s="1"/>
  <c r="D1777" i="118" s="1"/>
  <c r="B397" i="118"/>
  <c r="B627" i="118" s="1"/>
  <c r="B857" i="118" s="1"/>
  <c r="B1087" i="118" s="1"/>
  <c r="B1317" i="118" s="1"/>
  <c r="B1547" i="118" s="1"/>
  <c r="B1777" i="118" s="1"/>
  <c r="A397" i="118"/>
  <c r="A627" i="118" s="1"/>
  <c r="A857" i="118" s="1"/>
  <c r="A1087" i="118" s="1"/>
  <c r="A1317" i="118" s="1"/>
  <c r="A1547" i="118" s="1"/>
  <c r="A1777" i="118" s="1"/>
  <c r="M166" i="118"/>
  <c r="E396" i="118"/>
  <c r="E626" i="118" s="1"/>
  <c r="E856" i="118" s="1"/>
  <c r="E1086" i="118" s="1"/>
  <c r="E1316" i="118" s="1"/>
  <c r="E1546" i="118" s="1"/>
  <c r="E1776" i="118" s="1"/>
  <c r="D396" i="118"/>
  <c r="D626" i="118" s="1"/>
  <c r="D856" i="118" s="1"/>
  <c r="D1086" i="118" s="1"/>
  <c r="D1316" i="118" s="1"/>
  <c r="D1546" i="118" s="1"/>
  <c r="D1776" i="118" s="1"/>
  <c r="B396" i="118"/>
  <c r="B626" i="118" s="1"/>
  <c r="B856" i="118" s="1"/>
  <c r="B1086" i="118" s="1"/>
  <c r="B1316" i="118" s="1"/>
  <c r="B1546" i="118" s="1"/>
  <c r="B1776" i="118" s="1"/>
  <c r="A396" i="118"/>
  <c r="A626" i="118" s="1"/>
  <c r="A856" i="118" s="1"/>
  <c r="A1086" i="118" s="1"/>
  <c r="A1316" i="118" s="1"/>
  <c r="A1546" i="118" s="1"/>
  <c r="A1776" i="118" s="1"/>
  <c r="M165" i="118"/>
  <c r="E395" i="118"/>
  <c r="E625" i="118" s="1"/>
  <c r="E855" i="118" s="1"/>
  <c r="E1085" i="118" s="1"/>
  <c r="E1315" i="118" s="1"/>
  <c r="E1545" i="118" s="1"/>
  <c r="E1775" i="118" s="1"/>
  <c r="D395" i="118"/>
  <c r="D625" i="118" s="1"/>
  <c r="D855" i="118" s="1"/>
  <c r="D1085" i="118" s="1"/>
  <c r="D1315" i="118" s="1"/>
  <c r="D1545" i="118" s="1"/>
  <c r="D1775" i="118" s="1"/>
  <c r="B395" i="118"/>
  <c r="B625" i="118" s="1"/>
  <c r="B855" i="118" s="1"/>
  <c r="B1085" i="118" s="1"/>
  <c r="B1315" i="118" s="1"/>
  <c r="B1545" i="118" s="1"/>
  <c r="B1775" i="118" s="1"/>
  <c r="A395" i="118"/>
  <c r="A625" i="118" s="1"/>
  <c r="A855" i="118" s="1"/>
  <c r="A1085" i="118" s="1"/>
  <c r="A1315" i="118" s="1"/>
  <c r="A1545" i="118" s="1"/>
  <c r="A1775" i="118" s="1"/>
  <c r="M164" i="118"/>
  <c r="E394" i="118"/>
  <c r="E624" i="118" s="1"/>
  <c r="E854" i="118" s="1"/>
  <c r="E1084" i="118" s="1"/>
  <c r="E1314" i="118" s="1"/>
  <c r="E1544" i="118" s="1"/>
  <c r="E1774" i="118" s="1"/>
  <c r="D394" i="118"/>
  <c r="D624" i="118" s="1"/>
  <c r="D854" i="118" s="1"/>
  <c r="D1084" i="118" s="1"/>
  <c r="D1314" i="118" s="1"/>
  <c r="D1544" i="118" s="1"/>
  <c r="D1774" i="118" s="1"/>
  <c r="B394" i="118"/>
  <c r="B624" i="118" s="1"/>
  <c r="B854" i="118" s="1"/>
  <c r="B1084" i="118" s="1"/>
  <c r="B1314" i="118" s="1"/>
  <c r="B1544" i="118" s="1"/>
  <c r="B1774" i="118" s="1"/>
  <c r="A394" i="118"/>
  <c r="A624" i="118" s="1"/>
  <c r="A854" i="118" s="1"/>
  <c r="A1084" i="118" s="1"/>
  <c r="A1314" i="118" s="1"/>
  <c r="A1544" i="118" s="1"/>
  <c r="A1774" i="118" s="1"/>
  <c r="M163" i="118"/>
  <c r="E393" i="118"/>
  <c r="E623" i="118" s="1"/>
  <c r="E853" i="118" s="1"/>
  <c r="E1083" i="118" s="1"/>
  <c r="E1313" i="118" s="1"/>
  <c r="E1543" i="118" s="1"/>
  <c r="E1773" i="118" s="1"/>
  <c r="D393" i="118"/>
  <c r="D623" i="118" s="1"/>
  <c r="D853" i="118" s="1"/>
  <c r="D1083" i="118" s="1"/>
  <c r="D1313" i="118" s="1"/>
  <c r="D1543" i="118" s="1"/>
  <c r="D1773" i="118" s="1"/>
  <c r="B393" i="118"/>
  <c r="B623" i="118" s="1"/>
  <c r="B853" i="118" s="1"/>
  <c r="B1083" i="118" s="1"/>
  <c r="B1313" i="118" s="1"/>
  <c r="B1543" i="118" s="1"/>
  <c r="B1773" i="118" s="1"/>
  <c r="A393" i="118"/>
  <c r="A623" i="118" s="1"/>
  <c r="A853" i="118" s="1"/>
  <c r="A1083" i="118" s="1"/>
  <c r="A1313" i="118" s="1"/>
  <c r="A1543" i="118" s="1"/>
  <c r="A1773" i="118" s="1"/>
  <c r="M162" i="118"/>
  <c r="E392" i="118"/>
  <c r="E622" i="118" s="1"/>
  <c r="E852" i="118" s="1"/>
  <c r="E1082" i="118" s="1"/>
  <c r="E1312" i="118" s="1"/>
  <c r="E1542" i="118" s="1"/>
  <c r="E1772" i="118" s="1"/>
  <c r="D392" i="118"/>
  <c r="D622" i="118" s="1"/>
  <c r="D852" i="118" s="1"/>
  <c r="D1082" i="118" s="1"/>
  <c r="D1312" i="118" s="1"/>
  <c r="D1542" i="118" s="1"/>
  <c r="D1772" i="118" s="1"/>
  <c r="B392" i="118"/>
  <c r="B622" i="118" s="1"/>
  <c r="B852" i="118" s="1"/>
  <c r="B1082" i="118" s="1"/>
  <c r="B1312" i="118" s="1"/>
  <c r="B1542" i="118" s="1"/>
  <c r="B1772" i="118" s="1"/>
  <c r="A392" i="118"/>
  <c r="A622" i="118" s="1"/>
  <c r="A852" i="118" s="1"/>
  <c r="A1082" i="118" s="1"/>
  <c r="A1312" i="118" s="1"/>
  <c r="A1542" i="118" s="1"/>
  <c r="A1772" i="118" s="1"/>
  <c r="M161" i="118"/>
  <c r="E391" i="118"/>
  <c r="E621" i="118" s="1"/>
  <c r="E851" i="118" s="1"/>
  <c r="E1081" i="118" s="1"/>
  <c r="E1311" i="118" s="1"/>
  <c r="E1541" i="118" s="1"/>
  <c r="E1771" i="118" s="1"/>
  <c r="D391" i="118"/>
  <c r="D621" i="118" s="1"/>
  <c r="D851" i="118" s="1"/>
  <c r="D1081" i="118" s="1"/>
  <c r="D1311" i="118" s="1"/>
  <c r="D1541" i="118" s="1"/>
  <c r="D1771" i="118" s="1"/>
  <c r="B391" i="118"/>
  <c r="B621" i="118" s="1"/>
  <c r="B851" i="118" s="1"/>
  <c r="B1081" i="118" s="1"/>
  <c r="B1311" i="118" s="1"/>
  <c r="B1541" i="118" s="1"/>
  <c r="B1771" i="118" s="1"/>
  <c r="A391" i="118"/>
  <c r="A621" i="118" s="1"/>
  <c r="A851" i="118" s="1"/>
  <c r="A1081" i="118" s="1"/>
  <c r="A1311" i="118" s="1"/>
  <c r="A1541" i="118" s="1"/>
  <c r="A1771" i="118" s="1"/>
  <c r="M160" i="118"/>
  <c r="E390" i="118"/>
  <c r="E620" i="118" s="1"/>
  <c r="E850" i="118" s="1"/>
  <c r="E1080" i="118" s="1"/>
  <c r="E1310" i="118" s="1"/>
  <c r="E1540" i="118" s="1"/>
  <c r="E1770" i="118" s="1"/>
  <c r="D390" i="118"/>
  <c r="D620" i="118" s="1"/>
  <c r="D850" i="118" s="1"/>
  <c r="D1080" i="118" s="1"/>
  <c r="D1310" i="118" s="1"/>
  <c r="D1540" i="118" s="1"/>
  <c r="D1770" i="118" s="1"/>
  <c r="B390" i="118"/>
  <c r="B620" i="118" s="1"/>
  <c r="B850" i="118" s="1"/>
  <c r="B1080" i="118" s="1"/>
  <c r="B1310" i="118" s="1"/>
  <c r="B1540" i="118" s="1"/>
  <c r="B1770" i="118" s="1"/>
  <c r="A390" i="118"/>
  <c r="A620" i="118" s="1"/>
  <c r="A850" i="118" s="1"/>
  <c r="A1080" i="118" s="1"/>
  <c r="A1310" i="118" s="1"/>
  <c r="A1540" i="118" s="1"/>
  <c r="A1770" i="118" s="1"/>
  <c r="M159" i="118"/>
  <c r="E389" i="118"/>
  <c r="E619" i="118" s="1"/>
  <c r="E849" i="118" s="1"/>
  <c r="E1079" i="118" s="1"/>
  <c r="E1309" i="118" s="1"/>
  <c r="E1539" i="118" s="1"/>
  <c r="E1769" i="118" s="1"/>
  <c r="D389" i="118"/>
  <c r="D619" i="118" s="1"/>
  <c r="D849" i="118" s="1"/>
  <c r="D1079" i="118" s="1"/>
  <c r="D1309" i="118" s="1"/>
  <c r="D1539" i="118" s="1"/>
  <c r="D1769" i="118" s="1"/>
  <c r="B389" i="118"/>
  <c r="B619" i="118" s="1"/>
  <c r="B849" i="118" s="1"/>
  <c r="B1079" i="118" s="1"/>
  <c r="B1309" i="118" s="1"/>
  <c r="B1539" i="118" s="1"/>
  <c r="B1769" i="118" s="1"/>
  <c r="A389" i="118"/>
  <c r="A619" i="118" s="1"/>
  <c r="A849" i="118" s="1"/>
  <c r="A1079" i="118" s="1"/>
  <c r="A1309" i="118" s="1"/>
  <c r="A1539" i="118" s="1"/>
  <c r="A1769" i="118" s="1"/>
  <c r="M158" i="118"/>
  <c r="E388" i="118"/>
  <c r="E618" i="118" s="1"/>
  <c r="E848" i="118" s="1"/>
  <c r="E1078" i="118" s="1"/>
  <c r="E1308" i="118" s="1"/>
  <c r="E1538" i="118" s="1"/>
  <c r="E1768" i="118" s="1"/>
  <c r="D388" i="118"/>
  <c r="D618" i="118" s="1"/>
  <c r="D848" i="118" s="1"/>
  <c r="D1078" i="118" s="1"/>
  <c r="D1308" i="118" s="1"/>
  <c r="D1538" i="118" s="1"/>
  <c r="D1768" i="118" s="1"/>
  <c r="B388" i="118"/>
  <c r="B618" i="118" s="1"/>
  <c r="B848" i="118" s="1"/>
  <c r="B1078" i="118" s="1"/>
  <c r="B1308" i="118" s="1"/>
  <c r="B1538" i="118" s="1"/>
  <c r="B1768" i="118" s="1"/>
  <c r="A388" i="118"/>
  <c r="A618" i="118" s="1"/>
  <c r="A848" i="118" s="1"/>
  <c r="A1078" i="118" s="1"/>
  <c r="A1308" i="118" s="1"/>
  <c r="A1538" i="118" s="1"/>
  <c r="A1768" i="118" s="1"/>
  <c r="M157" i="118"/>
  <c r="E387" i="118"/>
  <c r="E617" i="118" s="1"/>
  <c r="E847" i="118" s="1"/>
  <c r="E1077" i="118" s="1"/>
  <c r="E1307" i="118" s="1"/>
  <c r="E1537" i="118" s="1"/>
  <c r="E1767" i="118" s="1"/>
  <c r="D387" i="118"/>
  <c r="D617" i="118" s="1"/>
  <c r="D847" i="118" s="1"/>
  <c r="D1077" i="118" s="1"/>
  <c r="D1307" i="118" s="1"/>
  <c r="D1537" i="118" s="1"/>
  <c r="D1767" i="118" s="1"/>
  <c r="B387" i="118"/>
  <c r="B617" i="118" s="1"/>
  <c r="B847" i="118" s="1"/>
  <c r="B1077" i="118" s="1"/>
  <c r="B1307" i="118" s="1"/>
  <c r="B1537" i="118" s="1"/>
  <c r="B1767" i="118" s="1"/>
  <c r="A387" i="118"/>
  <c r="A617" i="118" s="1"/>
  <c r="A847" i="118" s="1"/>
  <c r="A1077" i="118" s="1"/>
  <c r="A1307" i="118" s="1"/>
  <c r="A1537" i="118" s="1"/>
  <c r="A1767" i="118" s="1"/>
  <c r="M156" i="118"/>
  <c r="E386" i="118"/>
  <c r="E616" i="118" s="1"/>
  <c r="E846" i="118" s="1"/>
  <c r="E1076" i="118" s="1"/>
  <c r="E1306" i="118" s="1"/>
  <c r="E1536" i="118" s="1"/>
  <c r="E1766" i="118" s="1"/>
  <c r="D386" i="118"/>
  <c r="D616" i="118" s="1"/>
  <c r="D846" i="118" s="1"/>
  <c r="D1076" i="118" s="1"/>
  <c r="D1306" i="118" s="1"/>
  <c r="D1536" i="118" s="1"/>
  <c r="D1766" i="118" s="1"/>
  <c r="B386" i="118"/>
  <c r="B616" i="118" s="1"/>
  <c r="B846" i="118" s="1"/>
  <c r="B1076" i="118" s="1"/>
  <c r="B1306" i="118" s="1"/>
  <c r="B1536" i="118" s="1"/>
  <c r="B1766" i="118" s="1"/>
  <c r="A386" i="118"/>
  <c r="A616" i="118" s="1"/>
  <c r="A846" i="118" s="1"/>
  <c r="A1076" i="118" s="1"/>
  <c r="A1306" i="118" s="1"/>
  <c r="A1536" i="118" s="1"/>
  <c r="A1766" i="118" s="1"/>
  <c r="M155" i="118"/>
  <c r="E385" i="118"/>
  <c r="E615" i="118" s="1"/>
  <c r="E845" i="118" s="1"/>
  <c r="E1075" i="118" s="1"/>
  <c r="E1305" i="118" s="1"/>
  <c r="E1535" i="118" s="1"/>
  <c r="E1765" i="118" s="1"/>
  <c r="D385" i="118"/>
  <c r="D615" i="118" s="1"/>
  <c r="D845" i="118" s="1"/>
  <c r="D1075" i="118" s="1"/>
  <c r="D1305" i="118" s="1"/>
  <c r="D1535" i="118" s="1"/>
  <c r="D1765" i="118" s="1"/>
  <c r="B385" i="118"/>
  <c r="B615" i="118" s="1"/>
  <c r="B845" i="118" s="1"/>
  <c r="B1075" i="118" s="1"/>
  <c r="B1305" i="118" s="1"/>
  <c r="B1535" i="118" s="1"/>
  <c r="B1765" i="118" s="1"/>
  <c r="A385" i="118"/>
  <c r="A615" i="118" s="1"/>
  <c r="A845" i="118" s="1"/>
  <c r="A1075" i="118" s="1"/>
  <c r="A1305" i="118" s="1"/>
  <c r="A1535" i="118" s="1"/>
  <c r="A1765" i="118" s="1"/>
  <c r="M154" i="118"/>
  <c r="E384" i="118"/>
  <c r="E614" i="118" s="1"/>
  <c r="E844" i="118" s="1"/>
  <c r="E1074" i="118" s="1"/>
  <c r="E1304" i="118" s="1"/>
  <c r="E1534" i="118" s="1"/>
  <c r="E1764" i="118" s="1"/>
  <c r="D384" i="118"/>
  <c r="D614" i="118" s="1"/>
  <c r="D844" i="118" s="1"/>
  <c r="D1074" i="118" s="1"/>
  <c r="D1304" i="118" s="1"/>
  <c r="D1534" i="118" s="1"/>
  <c r="D1764" i="118" s="1"/>
  <c r="B384" i="118"/>
  <c r="B614" i="118" s="1"/>
  <c r="B844" i="118" s="1"/>
  <c r="B1074" i="118" s="1"/>
  <c r="B1304" i="118" s="1"/>
  <c r="B1534" i="118" s="1"/>
  <c r="B1764" i="118" s="1"/>
  <c r="A384" i="118"/>
  <c r="A614" i="118" s="1"/>
  <c r="A844" i="118" s="1"/>
  <c r="A1074" i="118" s="1"/>
  <c r="A1304" i="118" s="1"/>
  <c r="A1534" i="118" s="1"/>
  <c r="A1764" i="118" s="1"/>
  <c r="M153" i="118"/>
  <c r="E383" i="118"/>
  <c r="E613" i="118" s="1"/>
  <c r="E843" i="118" s="1"/>
  <c r="E1073" i="118" s="1"/>
  <c r="E1303" i="118" s="1"/>
  <c r="E1533" i="118" s="1"/>
  <c r="E1763" i="118" s="1"/>
  <c r="D383" i="118"/>
  <c r="D613" i="118" s="1"/>
  <c r="D843" i="118" s="1"/>
  <c r="D1073" i="118" s="1"/>
  <c r="D1303" i="118" s="1"/>
  <c r="D1533" i="118" s="1"/>
  <c r="D1763" i="118" s="1"/>
  <c r="B383" i="118"/>
  <c r="B613" i="118" s="1"/>
  <c r="B843" i="118" s="1"/>
  <c r="B1073" i="118" s="1"/>
  <c r="B1303" i="118" s="1"/>
  <c r="B1533" i="118" s="1"/>
  <c r="B1763" i="118" s="1"/>
  <c r="A383" i="118"/>
  <c r="A613" i="118" s="1"/>
  <c r="A843" i="118" s="1"/>
  <c r="A1073" i="118" s="1"/>
  <c r="A1303" i="118" s="1"/>
  <c r="A1533" i="118" s="1"/>
  <c r="A1763" i="118" s="1"/>
  <c r="M152" i="118"/>
  <c r="E382" i="118"/>
  <c r="E612" i="118" s="1"/>
  <c r="E842" i="118" s="1"/>
  <c r="E1072" i="118" s="1"/>
  <c r="E1302" i="118" s="1"/>
  <c r="E1532" i="118" s="1"/>
  <c r="E1762" i="118" s="1"/>
  <c r="D382" i="118"/>
  <c r="D612" i="118" s="1"/>
  <c r="D842" i="118" s="1"/>
  <c r="D1072" i="118" s="1"/>
  <c r="D1302" i="118" s="1"/>
  <c r="D1532" i="118" s="1"/>
  <c r="D1762" i="118" s="1"/>
  <c r="B382" i="118"/>
  <c r="B612" i="118" s="1"/>
  <c r="B842" i="118" s="1"/>
  <c r="B1072" i="118" s="1"/>
  <c r="B1302" i="118" s="1"/>
  <c r="B1532" i="118" s="1"/>
  <c r="B1762" i="118" s="1"/>
  <c r="A382" i="118"/>
  <c r="A612" i="118" s="1"/>
  <c r="A842" i="118" s="1"/>
  <c r="A1072" i="118" s="1"/>
  <c r="A1302" i="118" s="1"/>
  <c r="A1532" i="118" s="1"/>
  <c r="A1762" i="118" s="1"/>
  <c r="M151" i="118"/>
  <c r="E381" i="118"/>
  <c r="E611" i="118" s="1"/>
  <c r="E841" i="118" s="1"/>
  <c r="E1071" i="118" s="1"/>
  <c r="E1301" i="118" s="1"/>
  <c r="E1531" i="118" s="1"/>
  <c r="E1761" i="118" s="1"/>
  <c r="D381" i="118"/>
  <c r="D611" i="118" s="1"/>
  <c r="D841" i="118" s="1"/>
  <c r="D1071" i="118" s="1"/>
  <c r="D1301" i="118" s="1"/>
  <c r="D1531" i="118" s="1"/>
  <c r="D1761" i="118" s="1"/>
  <c r="B381" i="118"/>
  <c r="B611" i="118" s="1"/>
  <c r="B841" i="118" s="1"/>
  <c r="B1071" i="118" s="1"/>
  <c r="B1301" i="118" s="1"/>
  <c r="B1531" i="118" s="1"/>
  <c r="B1761" i="118" s="1"/>
  <c r="A381" i="118"/>
  <c r="A611" i="118" s="1"/>
  <c r="A841" i="118" s="1"/>
  <c r="A1071" i="118" s="1"/>
  <c r="A1301" i="118" s="1"/>
  <c r="A1531" i="118" s="1"/>
  <c r="A1761" i="118" s="1"/>
  <c r="M150" i="118"/>
  <c r="E380" i="118"/>
  <c r="E610" i="118" s="1"/>
  <c r="E840" i="118" s="1"/>
  <c r="E1070" i="118" s="1"/>
  <c r="E1300" i="118" s="1"/>
  <c r="E1530" i="118" s="1"/>
  <c r="E1760" i="118" s="1"/>
  <c r="D380" i="118"/>
  <c r="D610" i="118" s="1"/>
  <c r="D840" i="118" s="1"/>
  <c r="D1070" i="118" s="1"/>
  <c r="D1300" i="118" s="1"/>
  <c r="D1530" i="118" s="1"/>
  <c r="D1760" i="118" s="1"/>
  <c r="B380" i="118"/>
  <c r="B610" i="118" s="1"/>
  <c r="B840" i="118" s="1"/>
  <c r="B1070" i="118" s="1"/>
  <c r="B1300" i="118" s="1"/>
  <c r="B1530" i="118" s="1"/>
  <c r="B1760" i="118" s="1"/>
  <c r="A380" i="118"/>
  <c r="A610" i="118" s="1"/>
  <c r="A840" i="118" s="1"/>
  <c r="A1070" i="118" s="1"/>
  <c r="A1300" i="118" s="1"/>
  <c r="A1530" i="118" s="1"/>
  <c r="A1760" i="118" s="1"/>
  <c r="M149" i="118"/>
  <c r="E379" i="118"/>
  <c r="E609" i="118" s="1"/>
  <c r="E839" i="118" s="1"/>
  <c r="E1069" i="118" s="1"/>
  <c r="E1299" i="118" s="1"/>
  <c r="E1529" i="118" s="1"/>
  <c r="E1759" i="118" s="1"/>
  <c r="D379" i="118"/>
  <c r="D609" i="118" s="1"/>
  <c r="D839" i="118" s="1"/>
  <c r="D1069" i="118" s="1"/>
  <c r="D1299" i="118" s="1"/>
  <c r="D1529" i="118" s="1"/>
  <c r="D1759" i="118" s="1"/>
  <c r="B379" i="118"/>
  <c r="B609" i="118" s="1"/>
  <c r="B839" i="118" s="1"/>
  <c r="B1069" i="118" s="1"/>
  <c r="B1299" i="118" s="1"/>
  <c r="B1529" i="118" s="1"/>
  <c r="B1759" i="118" s="1"/>
  <c r="A379" i="118"/>
  <c r="A609" i="118" s="1"/>
  <c r="A839" i="118" s="1"/>
  <c r="A1069" i="118" s="1"/>
  <c r="A1299" i="118" s="1"/>
  <c r="A1529" i="118" s="1"/>
  <c r="A1759" i="118" s="1"/>
  <c r="M148" i="118"/>
  <c r="E378" i="118"/>
  <c r="E608" i="118" s="1"/>
  <c r="E838" i="118" s="1"/>
  <c r="E1068" i="118" s="1"/>
  <c r="E1298" i="118" s="1"/>
  <c r="E1528" i="118" s="1"/>
  <c r="E1758" i="118" s="1"/>
  <c r="D378" i="118"/>
  <c r="D608" i="118" s="1"/>
  <c r="D838" i="118" s="1"/>
  <c r="D1068" i="118" s="1"/>
  <c r="D1298" i="118" s="1"/>
  <c r="D1528" i="118" s="1"/>
  <c r="D1758" i="118" s="1"/>
  <c r="B378" i="118"/>
  <c r="B608" i="118" s="1"/>
  <c r="B838" i="118" s="1"/>
  <c r="B1068" i="118" s="1"/>
  <c r="B1298" i="118" s="1"/>
  <c r="B1528" i="118" s="1"/>
  <c r="B1758" i="118" s="1"/>
  <c r="A378" i="118"/>
  <c r="A608" i="118" s="1"/>
  <c r="A838" i="118" s="1"/>
  <c r="A1068" i="118" s="1"/>
  <c r="A1298" i="118" s="1"/>
  <c r="A1528" i="118" s="1"/>
  <c r="A1758" i="118" s="1"/>
  <c r="M147" i="118"/>
  <c r="E377" i="118"/>
  <c r="E607" i="118" s="1"/>
  <c r="E837" i="118" s="1"/>
  <c r="E1067" i="118" s="1"/>
  <c r="E1297" i="118" s="1"/>
  <c r="E1527" i="118" s="1"/>
  <c r="E1757" i="118" s="1"/>
  <c r="D377" i="118"/>
  <c r="D607" i="118" s="1"/>
  <c r="D837" i="118" s="1"/>
  <c r="D1067" i="118" s="1"/>
  <c r="D1297" i="118" s="1"/>
  <c r="D1527" i="118" s="1"/>
  <c r="D1757" i="118" s="1"/>
  <c r="B377" i="118"/>
  <c r="B607" i="118" s="1"/>
  <c r="B837" i="118" s="1"/>
  <c r="B1067" i="118" s="1"/>
  <c r="B1297" i="118" s="1"/>
  <c r="B1527" i="118" s="1"/>
  <c r="B1757" i="118" s="1"/>
  <c r="A377" i="118"/>
  <c r="A607" i="118" s="1"/>
  <c r="A837" i="118" s="1"/>
  <c r="A1067" i="118" s="1"/>
  <c r="A1297" i="118" s="1"/>
  <c r="A1527" i="118" s="1"/>
  <c r="A1757" i="118" s="1"/>
  <c r="M146" i="118"/>
  <c r="E376" i="118"/>
  <c r="E606" i="118" s="1"/>
  <c r="E836" i="118" s="1"/>
  <c r="E1066" i="118" s="1"/>
  <c r="E1296" i="118" s="1"/>
  <c r="E1526" i="118" s="1"/>
  <c r="E1756" i="118" s="1"/>
  <c r="D376" i="118"/>
  <c r="D606" i="118" s="1"/>
  <c r="D836" i="118" s="1"/>
  <c r="D1066" i="118" s="1"/>
  <c r="D1296" i="118" s="1"/>
  <c r="D1526" i="118" s="1"/>
  <c r="D1756" i="118" s="1"/>
  <c r="B376" i="118"/>
  <c r="B606" i="118" s="1"/>
  <c r="B836" i="118" s="1"/>
  <c r="B1066" i="118" s="1"/>
  <c r="B1296" i="118" s="1"/>
  <c r="B1526" i="118" s="1"/>
  <c r="B1756" i="118" s="1"/>
  <c r="A376" i="118"/>
  <c r="A606" i="118" s="1"/>
  <c r="A836" i="118" s="1"/>
  <c r="A1066" i="118" s="1"/>
  <c r="A1296" i="118" s="1"/>
  <c r="A1526" i="118" s="1"/>
  <c r="A1756" i="118" s="1"/>
  <c r="M145" i="118"/>
  <c r="E375" i="118"/>
  <c r="E605" i="118" s="1"/>
  <c r="E835" i="118" s="1"/>
  <c r="E1065" i="118" s="1"/>
  <c r="E1295" i="118" s="1"/>
  <c r="E1525" i="118" s="1"/>
  <c r="E1755" i="118" s="1"/>
  <c r="D375" i="118"/>
  <c r="D605" i="118" s="1"/>
  <c r="D835" i="118" s="1"/>
  <c r="D1065" i="118" s="1"/>
  <c r="D1295" i="118" s="1"/>
  <c r="D1525" i="118" s="1"/>
  <c r="D1755" i="118" s="1"/>
  <c r="B375" i="118"/>
  <c r="B605" i="118" s="1"/>
  <c r="B835" i="118" s="1"/>
  <c r="B1065" i="118" s="1"/>
  <c r="B1295" i="118" s="1"/>
  <c r="B1525" i="118" s="1"/>
  <c r="B1755" i="118" s="1"/>
  <c r="A375" i="118"/>
  <c r="A605" i="118" s="1"/>
  <c r="A835" i="118" s="1"/>
  <c r="A1065" i="118" s="1"/>
  <c r="A1295" i="118" s="1"/>
  <c r="A1525" i="118" s="1"/>
  <c r="A1755" i="118" s="1"/>
  <c r="M144" i="118"/>
  <c r="E374" i="118"/>
  <c r="E604" i="118" s="1"/>
  <c r="E834" i="118" s="1"/>
  <c r="E1064" i="118" s="1"/>
  <c r="E1294" i="118" s="1"/>
  <c r="E1524" i="118" s="1"/>
  <c r="E1754" i="118" s="1"/>
  <c r="D374" i="118"/>
  <c r="D604" i="118" s="1"/>
  <c r="D834" i="118" s="1"/>
  <c r="D1064" i="118" s="1"/>
  <c r="D1294" i="118" s="1"/>
  <c r="D1524" i="118" s="1"/>
  <c r="D1754" i="118" s="1"/>
  <c r="B374" i="118"/>
  <c r="B604" i="118" s="1"/>
  <c r="B834" i="118" s="1"/>
  <c r="B1064" i="118" s="1"/>
  <c r="B1294" i="118" s="1"/>
  <c r="B1524" i="118" s="1"/>
  <c r="B1754" i="118" s="1"/>
  <c r="A374" i="118"/>
  <c r="A604" i="118" s="1"/>
  <c r="A834" i="118" s="1"/>
  <c r="A1064" i="118" s="1"/>
  <c r="A1294" i="118" s="1"/>
  <c r="A1524" i="118" s="1"/>
  <c r="A1754" i="118" s="1"/>
  <c r="M143" i="118"/>
  <c r="E373" i="118"/>
  <c r="E603" i="118" s="1"/>
  <c r="E833" i="118" s="1"/>
  <c r="E1063" i="118" s="1"/>
  <c r="E1293" i="118" s="1"/>
  <c r="E1523" i="118" s="1"/>
  <c r="E1753" i="118" s="1"/>
  <c r="D373" i="118"/>
  <c r="D603" i="118" s="1"/>
  <c r="D833" i="118" s="1"/>
  <c r="D1063" i="118" s="1"/>
  <c r="D1293" i="118" s="1"/>
  <c r="D1523" i="118" s="1"/>
  <c r="D1753" i="118" s="1"/>
  <c r="B373" i="118"/>
  <c r="B603" i="118" s="1"/>
  <c r="B833" i="118" s="1"/>
  <c r="B1063" i="118" s="1"/>
  <c r="B1293" i="118" s="1"/>
  <c r="B1523" i="118" s="1"/>
  <c r="B1753" i="118" s="1"/>
  <c r="A373" i="118"/>
  <c r="A603" i="118" s="1"/>
  <c r="A833" i="118" s="1"/>
  <c r="A1063" i="118" s="1"/>
  <c r="A1293" i="118" s="1"/>
  <c r="A1523" i="118" s="1"/>
  <c r="A1753" i="118" s="1"/>
  <c r="M142" i="118"/>
  <c r="E372" i="118"/>
  <c r="E602" i="118" s="1"/>
  <c r="E832" i="118" s="1"/>
  <c r="E1062" i="118" s="1"/>
  <c r="E1292" i="118" s="1"/>
  <c r="E1522" i="118" s="1"/>
  <c r="E1752" i="118" s="1"/>
  <c r="D372" i="118"/>
  <c r="D602" i="118" s="1"/>
  <c r="D832" i="118" s="1"/>
  <c r="D1062" i="118" s="1"/>
  <c r="D1292" i="118" s="1"/>
  <c r="D1522" i="118" s="1"/>
  <c r="D1752" i="118" s="1"/>
  <c r="B372" i="118"/>
  <c r="B602" i="118" s="1"/>
  <c r="B832" i="118" s="1"/>
  <c r="B1062" i="118" s="1"/>
  <c r="B1292" i="118" s="1"/>
  <c r="B1522" i="118" s="1"/>
  <c r="B1752" i="118" s="1"/>
  <c r="A372" i="118"/>
  <c r="A602" i="118" s="1"/>
  <c r="A832" i="118" s="1"/>
  <c r="A1062" i="118" s="1"/>
  <c r="A1292" i="118" s="1"/>
  <c r="A1522" i="118" s="1"/>
  <c r="A1752" i="118" s="1"/>
  <c r="M141" i="118"/>
  <c r="E371" i="118"/>
  <c r="E601" i="118" s="1"/>
  <c r="E831" i="118" s="1"/>
  <c r="E1061" i="118" s="1"/>
  <c r="E1291" i="118" s="1"/>
  <c r="E1521" i="118" s="1"/>
  <c r="E1751" i="118" s="1"/>
  <c r="D371" i="118"/>
  <c r="D601" i="118" s="1"/>
  <c r="D831" i="118" s="1"/>
  <c r="D1061" i="118" s="1"/>
  <c r="D1291" i="118" s="1"/>
  <c r="D1521" i="118" s="1"/>
  <c r="D1751" i="118" s="1"/>
  <c r="B371" i="118"/>
  <c r="B601" i="118" s="1"/>
  <c r="B831" i="118" s="1"/>
  <c r="B1061" i="118" s="1"/>
  <c r="B1291" i="118" s="1"/>
  <c r="B1521" i="118" s="1"/>
  <c r="B1751" i="118" s="1"/>
  <c r="A371" i="118"/>
  <c r="A601" i="118" s="1"/>
  <c r="A831" i="118" s="1"/>
  <c r="A1061" i="118" s="1"/>
  <c r="A1291" i="118" s="1"/>
  <c r="A1521" i="118" s="1"/>
  <c r="A1751" i="118" s="1"/>
  <c r="M140" i="118"/>
  <c r="E370" i="118"/>
  <c r="E600" i="118" s="1"/>
  <c r="E830" i="118" s="1"/>
  <c r="E1060" i="118" s="1"/>
  <c r="E1290" i="118" s="1"/>
  <c r="E1520" i="118" s="1"/>
  <c r="E1750" i="118" s="1"/>
  <c r="D370" i="118"/>
  <c r="D600" i="118" s="1"/>
  <c r="D830" i="118" s="1"/>
  <c r="D1060" i="118" s="1"/>
  <c r="D1290" i="118" s="1"/>
  <c r="D1520" i="118" s="1"/>
  <c r="D1750" i="118" s="1"/>
  <c r="B370" i="118"/>
  <c r="B600" i="118" s="1"/>
  <c r="B830" i="118" s="1"/>
  <c r="B1060" i="118" s="1"/>
  <c r="B1290" i="118" s="1"/>
  <c r="B1520" i="118" s="1"/>
  <c r="B1750" i="118" s="1"/>
  <c r="A370" i="118"/>
  <c r="A600" i="118" s="1"/>
  <c r="A830" i="118" s="1"/>
  <c r="A1060" i="118" s="1"/>
  <c r="A1290" i="118" s="1"/>
  <c r="A1520" i="118" s="1"/>
  <c r="A1750" i="118" s="1"/>
  <c r="M139" i="118"/>
  <c r="E369" i="118"/>
  <c r="E599" i="118" s="1"/>
  <c r="E829" i="118" s="1"/>
  <c r="E1059" i="118" s="1"/>
  <c r="E1289" i="118" s="1"/>
  <c r="E1519" i="118" s="1"/>
  <c r="E1749" i="118" s="1"/>
  <c r="D369" i="118"/>
  <c r="D599" i="118" s="1"/>
  <c r="D829" i="118" s="1"/>
  <c r="D1059" i="118" s="1"/>
  <c r="D1289" i="118" s="1"/>
  <c r="D1519" i="118" s="1"/>
  <c r="D1749" i="118" s="1"/>
  <c r="B369" i="118"/>
  <c r="B599" i="118" s="1"/>
  <c r="B829" i="118" s="1"/>
  <c r="B1059" i="118" s="1"/>
  <c r="B1289" i="118" s="1"/>
  <c r="B1519" i="118" s="1"/>
  <c r="B1749" i="118" s="1"/>
  <c r="A369" i="118"/>
  <c r="A599" i="118" s="1"/>
  <c r="A829" i="118" s="1"/>
  <c r="A1059" i="118" s="1"/>
  <c r="A1289" i="118" s="1"/>
  <c r="A1519" i="118" s="1"/>
  <c r="A1749" i="118" s="1"/>
  <c r="M138" i="118"/>
  <c r="E368" i="118"/>
  <c r="E598" i="118" s="1"/>
  <c r="E828" i="118" s="1"/>
  <c r="E1058" i="118" s="1"/>
  <c r="E1288" i="118" s="1"/>
  <c r="E1518" i="118" s="1"/>
  <c r="E1748" i="118" s="1"/>
  <c r="D368" i="118"/>
  <c r="D598" i="118" s="1"/>
  <c r="D828" i="118" s="1"/>
  <c r="D1058" i="118" s="1"/>
  <c r="D1288" i="118" s="1"/>
  <c r="D1518" i="118" s="1"/>
  <c r="D1748" i="118" s="1"/>
  <c r="B368" i="118"/>
  <c r="B598" i="118" s="1"/>
  <c r="B828" i="118" s="1"/>
  <c r="B1058" i="118" s="1"/>
  <c r="B1288" i="118" s="1"/>
  <c r="B1518" i="118" s="1"/>
  <c r="B1748" i="118" s="1"/>
  <c r="A368" i="118"/>
  <c r="A598" i="118" s="1"/>
  <c r="A828" i="118" s="1"/>
  <c r="A1058" i="118" s="1"/>
  <c r="A1288" i="118" s="1"/>
  <c r="A1518" i="118" s="1"/>
  <c r="A1748" i="118" s="1"/>
  <c r="M137" i="118"/>
  <c r="E367" i="118"/>
  <c r="E597" i="118" s="1"/>
  <c r="E827" i="118" s="1"/>
  <c r="E1057" i="118" s="1"/>
  <c r="E1287" i="118" s="1"/>
  <c r="E1517" i="118" s="1"/>
  <c r="E1747" i="118" s="1"/>
  <c r="D367" i="118"/>
  <c r="D597" i="118" s="1"/>
  <c r="D827" i="118" s="1"/>
  <c r="D1057" i="118" s="1"/>
  <c r="D1287" i="118" s="1"/>
  <c r="D1517" i="118" s="1"/>
  <c r="D1747" i="118" s="1"/>
  <c r="B367" i="118"/>
  <c r="B597" i="118" s="1"/>
  <c r="B827" i="118" s="1"/>
  <c r="B1057" i="118" s="1"/>
  <c r="B1287" i="118" s="1"/>
  <c r="B1517" i="118" s="1"/>
  <c r="B1747" i="118" s="1"/>
  <c r="A367" i="118"/>
  <c r="A597" i="118" s="1"/>
  <c r="A827" i="118" s="1"/>
  <c r="A1057" i="118" s="1"/>
  <c r="A1287" i="118" s="1"/>
  <c r="A1517" i="118" s="1"/>
  <c r="A1747" i="118" s="1"/>
  <c r="M136" i="118"/>
  <c r="E366" i="118"/>
  <c r="E596" i="118" s="1"/>
  <c r="E826" i="118" s="1"/>
  <c r="E1056" i="118" s="1"/>
  <c r="E1286" i="118" s="1"/>
  <c r="E1516" i="118" s="1"/>
  <c r="E1746" i="118" s="1"/>
  <c r="D366" i="118"/>
  <c r="D596" i="118" s="1"/>
  <c r="D826" i="118" s="1"/>
  <c r="D1056" i="118" s="1"/>
  <c r="D1286" i="118" s="1"/>
  <c r="D1516" i="118" s="1"/>
  <c r="D1746" i="118" s="1"/>
  <c r="B366" i="118"/>
  <c r="B596" i="118" s="1"/>
  <c r="B826" i="118" s="1"/>
  <c r="B1056" i="118" s="1"/>
  <c r="B1286" i="118" s="1"/>
  <c r="B1516" i="118" s="1"/>
  <c r="B1746" i="118" s="1"/>
  <c r="A366" i="118"/>
  <c r="A596" i="118" s="1"/>
  <c r="A826" i="118" s="1"/>
  <c r="A1056" i="118" s="1"/>
  <c r="A1286" i="118" s="1"/>
  <c r="A1516" i="118" s="1"/>
  <c r="A1746" i="118" s="1"/>
  <c r="M135" i="118"/>
  <c r="E365" i="118"/>
  <c r="E595" i="118" s="1"/>
  <c r="E825" i="118" s="1"/>
  <c r="E1055" i="118" s="1"/>
  <c r="E1285" i="118" s="1"/>
  <c r="E1515" i="118" s="1"/>
  <c r="E1745" i="118" s="1"/>
  <c r="D365" i="118"/>
  <c r="D595" i="118" s="1"/>
  <c r="D825" i="118" s="1"/>
  <c r="D1055" i="118" s="1"/>
  <c r="D1285" i="118" s="1"/>
  <c r="D1515" i="118" s="1"/>
  <c r="D1745" i="118" s="1"/>
  <c r="B365" i="118"/>
  <c r="B595" i="118" s="1"/>
  <c r="B825" i="118" s="1"/>
  <c r="B1055" i="118" s="1"/>
  <c r="B1285" i="118" s="1"/>
  <c r="B1515" i="118" s="1"/>
  <c r="B1745" i="118" s="1"/>
  <c r="A365" i="118"/>
  <c r="A595" i="118" s="1"/>
  <c r="A825" i="118" s="1"/>
  <c r="A1055" i="118" s="1"/>
  <c r="A1285" i="118" s="1"/>
  <c r="A1515" i="118" s="1"/>
  <c r="A1745" i="118" s="1"/>
  <c r="M134" i="118"/>
  <c r="E364" i="118"/>
  <c r="E594" i="118" s="1"/>
  <c r="E824" i="118" s="1"/>
  <c r="E1054" i="118" s="1"/>
  <c r="E1284" i="118" s="1"/>
  <c r="E1514" i="118" s="1"/>
  <c r="E1744" i="118" s="1"/>
  <c r="D364" i="118"/>
  <c r="D594" i="118" s="1"/>
  <c r="D824" i="118" s="1"/>
  <c r="D1054" i="118" s="1"/>
  <c r="D1284" i="118" s="1"/>
  <c r="D1514" i="118" s="1"/>
  <c r="D1744" i="118" s="1"/>
  <c r="B364" i="118"/>
  <c r="B594" i="118" s="1"/>
  <c r="B824" i="118" s="1"/>
  <c r="B1054" i="118" s="1"/>
  <c r="B1284" i="118" s="1"/>
  <c r="B1514" i="118" s="1"/>
  <c r="B1744" i="118" s="1"/>
  <c r="A364" i="118"/>
  <c r="A594" i="118" s="1"/>
  <c r="A824" i="118" s="1"/>
  <c r="A1054" i="118" s="1"/>
  <c r="A1284" i="118" s="1"/>
  <c r="A1514" i="118" s="1"/>
  <c r="A1744" i="118" s="1"/>
  <c r="M133" i="118"/>
  <c r="E363" i="118"/>
  <c r="E593" i="118" s="1"/>
  <c r="E823" i="118" s="1"/>
  <c r="E1053" i="118" s="1"/>
  <c r="E1283" i="118" s="1"/>
  <c r="E1513" i="118" s="1"/>
  <c r="E1743" i="118" s="1"/>
  <c r="D363" i="118"/>
  <c r="D593" i="118" s="1"/>
  <c r="D823" i="118" s="1"/>
  <c r="D1053" i="118" s="1"/>
  <c r="D1283" i="118" s="1"/>
  <c r="D1513" i="118" s="1"/>
  <c r="D1743" i="118" s="1"/>
  <c r="B363" i="118"/>
  <c r="B593" i="118" s="1"/>
  <c r="B823" i="118" s="1"/>
  <c r="B1053" i="118" s="1"/>
  <c r="B1283" i="118" s="1"/>
  <c r="B1513" i="118" s="1"/>
  <c r="B1743" i="118" s="1"/>
  <c r="A363" i="118"/>
  <c r="A593" i="118" s="1"/>
  <c r="A823" i="118" s="1"/>
  <c r="A1053" i="118" s="1"/>
  <c r="A1283" i="118" s="1"/>
  <c r="A1513" i="118" s="1"/>
  <c r="A1743" i="118" s="1"/>
  <c r="M132" i="118"/>
  <c r="E362" i="118"/>
  <c r="E592" i="118" s="1"/>
  <c r="E822" i="118" s="1"/>
  <c r="E1052" i="118" s="1"/>
  <c r="E1282" i="118" s="1"/>
  <c r="E1512" i="118" s="1"/>
  <c r="E1742" i="118" s="1"/>
  <c r="D362" i="118"/>
  <c r="D592" i="118" s="1"/>
  <c r="D822" i="118" s="1"/>
  <c r="D1052" i="118" s="1"/>
  <c r="D1282" i="118" s="1"/>
  <c r="D1512" i="118" s="1"/>
  <c r="D1742" i="118" s="1"/>
  <c r="B362" i="118"/>
  <c r="B592" i="118" s="1"/>
  <c r="B822" i="118" s="1"/>
  <c r="B1052" i="118" s="1"/>
  <c r="B1282" i="118" s="1"/>
  <c r="B1512" i="118" s="1"/>
  <c r="B1742" i="118" s="1"/>
  <c r="A362" i="118"/>
  <c r="A592" i="118" s="1"/>
  <c r="A822" i="118" s="1"/>
  <c r="A1052" i="118" s="1"/>
  <c r="A1282" i="118" s="1"/>
  <c r="A1512" i="118" s="1"/>
  <c r="A1742" i="118" s="1"/>
  <c r="M131" i="118"/>
  <c r="E361" i="118"/>
  <c r="E591" i="118" s="1"/>
  <c r="E821" i="118" s="1"/>
  <c r="E1051" i="118" s="1"/>
  <c r="E1281" i="118" s="1"/>
  <c r="E1511" i="118" s="1"/>
  <c r="E1741" i="118" s="1"/>
  <c r="D361" i="118"/>
  <c r="D591" i="118" s="1"/>
  <c r="D821" i="118" s="1"/>
  <c r="D1051" i="118" s="1"/>
  <c r="D1281" i="118" s="1"/>
  <c r="D1511" i="118" s="1"/>
  <c r="D1741" i="118" s="1"/>
  <c r="B361" i="118"/>
  <c r="B591" i="118" s="1"/>
  <c r="B821" i="118" s="1"/>
  <c r="B1051" i="118" s="1"/>
  <c r="B1281" i="118" s="1"/>
  <c r="B1511" i="118" s="1"/>
  <c r="B1741" i="118" s="1"/>
  <c r="A361" i="118"/>
  <c r="A591" i="118" s="1"/>
  <c r="A821" i="118" s="1"/>
  <c r="A1051" i="118" s="1"/>
  <c r="A1281" i="118" s="1"/>
  <c r="A1511" i="118" s="1"/>
  <c r="A1741" i="118" s="1"/>
  <c r="M130" i="118"/>
  <c r="E360" i="118"/>
  <c r="E590" i="118" s="1"/>
  <c r="E820" i="118" s="1"/>
  <c r="E1050" i="118" s="1"/>
  <c r="E1280" i="118" s="1"/>
  <c r="E1510" i="118" s="1"/>
  <c r="E1740" i="118" s="1"/>
  <c r="D360" i="118"/>
  <c r="D590" i="118" s="1"/>
  <c r="D820" i="118" s="1"/>
  <c r="D1050" i="118" s="1"/>
  <c r="D1280" i="118" s="1"/>
  <c r="D1510" i="118" s="1"/>
  <c r="D1740" i="118" s="1"/>
  <c r="B360" i="118"/>
  <c r="B590" i="118" s="1"/>
  <c r="B820" i="118" s="1"/>
  <c r="B1050" i="118" s="1"/>
  <c r="B1280" i="118" s="1"/>
  <c r="B1510" i="118" s="1"/>
  <c r="B1740" i="118" s="1"/>
  <c r="A360" i="118"/>
  <c r="A590" i="118" s="1"/>
  <c r="A820" i="118" s="1"/>
  <c r="A1050" i="118" s="1"/>
  <c r="A1280" i="118" s="1"/>
  <c r="A1510" i="118" s="1"/>
  <c r="A1740" i="118" s="1"/>
  <c r="M129" i="118"/>
  <c r="E359" i="118"/>
  <c r="E589" i="118" s="1"/>
  <c r="E819" i="118" s="1"/>
  <c r="E1049" i="118" s="1"/>
  <c r="E1279" i="118" s="1"/>
  <c r="E1509" i="118" s="1"/>
  <c r="E1739" i="118" s="1"/>
  <c r="D359" i="118"/>
  <c r="D589" i="118" s="1"/>
  <c r="D819" i="118" s="1"/>
  <c r="D1049" i="118" s="1"/>
  <c r="D1279" i="118" s="1"/>
  <c r="D1509" i="118" s="1"/>
  <c r="D1739" i="118" s="1"/>
  <c r="B359" i="118"/>
  <c r="B589" i="118" s="1"/>
  <c r="B819" i="118" s="1"/>
  <c r="B1049" i="118" s="1"/>
  <c r="B1279" i="118" s="1"/>
  <c r="B1509" i="118" s="1"/>
  <c r="B1739" i="118" s="1"/>
  <c r="A359" i="118"/>
  <c r="A589" i="118" s="1"/>
  <c r="A819" i="118" s="1"/>
  <c r="A1049" i="118" s="1"/>
  <c r="A1279" i="118" s="1"/>
  <c r="A1509" i="118" s="1"/>
  <c r="A1739" i="118" s="1"/>
  <c r="M128" i="118"/>
  <c r="E358" i="118"/>
  <c r="E588" i="118" s="1"/>
  <c r="E818" i="118" s="1"/>
  <c r="E1048" i="118" s="1"/>
  <c r="E1278" i="118" s="1"/>
  <c r="E1508" i="118" s="1"/>
  <c r="E1738" i="118" s="1"/>
  <c r="D358" i="118"/>
  <c r="D588" i="118" s="1"/>
  <c r="D818" i="118" s="1"/>
  <c r="D1048" i="118" s="1"/>
  <c r="D1278" i="118" s="1"/>
  <c r="D1508" i="118" s="1"/>
  <c r="D1738" i="118" s="1"/>
  <c r="B358" i="118"/>
  <c r="B588" i="118" s="1"/>
  <c r="B818" i="118" s="1"/>
  <c r="B1048" i="118" s="1"/>
  <c r="B1278" i="118" s="1"/>
  <c r="B1508" i="118" s="1"/>
  <c r="B1738" i="118" s="1"/>
  <c r="A358" i="118"/>
  <c r="A588" i="118" s="1"/>
  <c r="A818" i="118" s="1"/>
  <c r="A1048" i="118" s="1"/>
  <c r="A1278" i="118" s="1"/>
  <c r="A1508" i="118" s="1"/>
  <c r="A1738" i="118" s="1"/>
  <c r="M127" i="118"/>
  <c r="E357" i="118"/>
  <c r="E587" i="118" s="1"/>
  <c r="E817" i="118" s="1"/>
  <c r="E1047" i="118" s="1"/>
  <c r="E1277" i="118" s="1"/>
  <c r="E1507" i="118" s="1"/>
  <c r="E1737" i="118" s="1"/>
  <c r="D357" i="118"/>
  <c r="D587" i="118" s="1"/>
  <c r="D817" i="118" s="1"/>
  <c r="D1047" i="118" s="1"/>
  <c r="D1277" i="118" s="1"/>
  <c r="D1507" i="118" s="1"/>
  <c r="D1737" i="118" s="1"/>
  <c r="B357" i="118"/>
  <c r="B587" i="118" s="1"/>
  <c r="B817" i="118" s="1"/>
  <c r="B1047" i="118" s="1"/>
  <c r="B1277" i="118" s="1"/>
  <c r="B1507" i="118" s="1"/>
  <c r="B1737" i="118" s="1"/>
  <c r="A357" i="118"/>
  <c r="A587" i="118" s="1"/>
  <c r="A817" i="118" s="1"/>
  <c r="A1047" i="118" s="1"/>
  <c r="A1277" i="118" s="1"/>
  <c r="A1507" i="118" s="1"/>
  <c r="A1737" i="118" s="1"/>
  <c r="M126" i="118"/>
  <c r="E356" i="118"/>
  <c r="E586" i="118" s="1"/>
  <c r="E816" i="118" s="1"/>
  <c r="E1046" i="118" s="1"/>
  <c r="E1276" i="118" s="1"/>
  <c r="E1506" i="118" s="1"/>
  <c r="E1736" i="118" s="1"/>
  <c r="D356" i="118"/>
  <c r="D586" i="118" s="1"/>
  <c r="D816" i="118" s="1"/>
  <c r="D1046" i="118" s="1"/>
  <c r="D1276" i="118" s="1"/>
  <c r="D1506" i="118" s="1"/>
  <c r="D1736" i="118" s="1"/>
  <c r="B356" i="118"/>
  <c r="B586" i="118" s="1"/>
  <c r="B816" i="118" s="1"/>
  <c r="B1046" i="118" s="1"/>
  <c r="B1276" i="118" s="1"/>
  <c r="B1506" i="118" s="1"/>
  <c r="B1736" i="118" s="1"/>
  <c r="A356" i="118"/>
  <c r="A586" i="118" s="1"/>
  <c r="A816" i="118" s="1"/>
  <c r="A1046" i="118" s="1"/>
  <c r="A1276" i="118" s="1"/>
  <c r="A1506" i="118" s="1"/>
  <c r="A1736" i="118" s="1"/>
  <c r="M125" i="118"/>
  <c r="E355" i="118"/>
  <c r="E585" i="118" s="1"/>
  <c r="E815" i="118" s="1"/>
  <c r="E1045" i="118" s="1"/>
  <c r="E1275" i="118" s="1"/>
  <c r="E1505" i="118" s="1"/>
  <c r="E1735" i="118" s="1"/>
  <c r="D355" i="118"/>
  <c r="D585" i="118" s="1"/>
  <c r="D815" i="118" s="1"/>
  <c r="D1045" i="118" s="1"/>
  <c r="D1275" i="118" s="1"/>
  <c r="D1505" i="118" s="1"/>
  <c r="D1735" i="118" s="1"/>
  <c r="B355" i="118"/>
  <c r="B585" i="118" s="1"/>
  <c r="B815" i="118" s="1"/>
  <c r="B1045" i="118" s="1"/>
  <c r="B1275" i="118" s="1"/>
  <c r="B1505" i="118" s="1"/>
  <c r="B1735" i="118" s="1"/>
  <c r="A355" i="118"/>
  <c r="A585" i="118" s="1"/>
  <c r="A815" i="118" s="1"/>
  <c r="A1045" i="118" s="1"/>
  <c r="A1275" i="118" s="1"/>
  <c r="A1505" i="118" s="1"/>
  <c r="A1735" i="118" s="1"/>
  <c r="M124" i="118"/>
  <c r="E354" i="118"/>
  <c r="E584" i="118" s="1"/>
  <c r="E814" i="118" s="1"/>
  <c r="E1044" i="118" s="1"/>
  <c r="E1274" i="118" s="1"/>
  <c r="E1504" i="118" s="1"/>
  <c r="E1734" i="118" s="1"/>
  <c r="D354" i="118"/>
  <c r="D584" i="118" s="1"/>
  <c r="D814" i="118" s="1"/>
  <c r="D1044" i="118" s="1"/>
  <c r="D1274" i="118" s="1"/>
  <c r="D1504" i="118" s="1"/>
  <c r="D1734" i="118" s="1"/>
  <c r="B354" i="118"/>
  <c r="B584" i="118" s="1"/>
  <c r="B814" i="118" s="1"/>
  <c r="B1044" i="118" s="1"/>
  <c r="B1274" i="118" s="1"/>
  <c r="B1504" i="118" s="1"/>
  <c r="B1734" i="118" s="1"/>
  <c r="A354" i="118"/>
  <c r="A584" i="118" s="1"/>
  <c r="A814" i="118" s="1"/>
  <c r="A1044" i="118" s="1"/>
  <c r="A1274" i="118" s="1"/>
  <c r="A1504" i="118" s="1"/>
  <c r="A1734" i="118" s="1"/>
  <c r="M123" i="118"/>
  <c r="E353" i="118"/>
  <c r="E583" i="118" s="1"/>
  <c r="E813" i="118" s="1"/>
  <c r="E1043" i="118" s="1"/>
  <c r="E1273" i="118" s="1"/>
  <c r="E1503" i="118" s="1"/>
  <c r="E1733" i="118" s="1"/>
  <c r="D353" i="118"/>
  <c r="D583" i="118" s="1"/>
  <c r="D813" i="118" s="1"/>
  <c r="D1043" i="118" s="1"/>
  <c r="D1273" i="118" s="1"/>
  <c r="D1503" i="118" s="1"/>
  <c r="D1733" i="118" s="1"/>
  <c r="B353" i="118"/>
  <c r="B583" i="118" s="1"/>
  <c r="B813" i="118" s="1"/>
  <c r="B1043" i="118" s="1"/>
  <c r="B1273" i="118" s="1"/>
  <c r="B1503" i="118" s="1"/>
  <c r="B1733" i="118" s="1"/>
  <c r="A353" i="118"/>
  <c r="A583" i="118" s="1"/>
  <c r="A813" i="118" s="1"/>
  <c r="A1043" i="118" s="1"/>
  <c r="A1273" i="118" s="1"/>
  <c r="A1503" i="118" s="1"/>
  <c r="A1733" i="118" s="1"/>
  <c r="M122" i="118"/>
  <c r="E352" i="118"/>
  <c r="E582" i="118" s="1"/>
  <c r="E812" i="118" s="1"/>
  <c r="E1042" i="118" s="1"/>
  <c r="E1272" i="118" s="1"/>
  <c r="E1502" i="118" s="1"/>
  <c r="E1732" i="118" s="1"/>
  <c r="D352" i="118"/>
  <c r="D582" i="118" s="1"/>
  <c r="D812" i="118" s="1"/>
  <c r="D1042" i="118" s="1"/>
  <c r="D1272" i="118" s="1"/>
  <c r="D1502" i="118" s="1"/>
  <c r="D1732" i="118" s="1"/>
  <c r="B352" i="118"/>
  <c r="B582" i="118" s="1"/>
  <c r="B812" i="118" s="1"/>
  <c r="B1042" i="118" s="1"/>
  <c r="B1272" i="118" s="1"/>
  <c r="B1502" i="118" s="1"/>
  <c r="B1732" i="118" s="1"/>
  <c r="A352" i="118"/>
  <c r="A582" i="118" s="1"/>
  <c r="A812" i="118" s="1"/>
  <c r="A1042" i="118" s="1"/>
  <c r="A1272" i="118" s="1"/>
  <c r="A1502" i="118" s="1"/>
  <c r="A1732" i="118" s="1"/>
  <c r="M121" i="118"/>
  <c r="E351" i="118"/>
  <c r="E581" i="118" s="1"/>
  <c r="E811" i="118" s="1"/>
  <c r="E1041" i="118" s="1"/>
  <c r="E1271" i="118" s="1"/>
  <c r="E1501" i="118" s="1"/>
  <c r="E1731" i="118" s="1"/>
  <c r="D351" i="118"/>
  <c r="D581" i="118" s="1"/>
  <c r="D811" i="118" s="1"/>
  <c r="D1041" i="118" s="1"/>
  <c r="D1271" i="118" s="1"/>
  <c r="D1501" i="118" s="1"/>
  <c r="D1731" i="118" s="1"/>
  <c r="B351" i="118"/>
  <c r="B581" i="118" s="1"/>
  <c r="B811" i="118" s="1"/>
  <c r="B1041" i="118" s="1"/>
  <c r="B1271" i="118" s="1"/>
  <c r="B1501" i="118" s="1"/>
  <c r="B1731" i="118" s="1"/>
  <c r="A351" i="118"/>
  <c r="A581" i="118" s="1"/>
  <c r="A811" i="118" s="1"/>
  <c r="A1041" i="118" s="1"/>
  <c r="A1271" i="118" s="1"/>
  <c r="A1501" i="118" s="1"/>
  <c r="A1731" i="118" s="1"/>
  <c r="M120" i="118"/>
  <c r="E350" i="118"/>
  <c r="E580" i="118" s="1"/>
  <c r="E810" i="118" s="1"/>
  <c r="E1040" i="118" s="1"/>
  <c r="E1270" i="118" s="1"/>
  <c r="E1500" i="118" s="1"/>
  <c r="E1730" i="118" s="1"/>
  <c r="D350" i="118"/>
  <c r="D580" i="118" s="1"/>
  <c r="D810" i="118" s="1"/>
  <c r="D1040" i="118" s="1"/>
  <c r="D1270" i="118" s="1"/>
  <c r="D1500" i="118" s="1"/>
  <c r="D1730" i="118" s="1"/>
  <c r="B350" i="118"/>
  <c r="B580" i="118" s="1"/>
  <c r="B810" i="118" s="1"/>
  <c r="B1040" i="118" s="1"/>
  <c r="B1270" i="118" s="1"/>
  <c r="B1500" i="118" s="1"/>
  <c r="B1730" i="118" s="1"/>
  <c r="A350" i="118"/>
  <c r="A580" i="118" s="1"/>
  <c r="A810" i="118" s="1"/>
  <c r="A1040" i="118" s="1"/>
  <c r="A1270" i="118" s="1"/>
  <c r="A1500" i="118" s="1"/>
  <c r="A1730" i="118" s="1"/>
  <c r="M119" i="118"/>
  <c r="E349" i="118"/>
  <c r="E579" i="118" s="1"/>
  <c r="E809" i="118" s="1"/>
  <c r="E1039" i="118" s="1"/>
  <c r="E1269" i="118" s="1"/>
  <c r="E1499" i="118" s="1"/>
  <c r="E1729" i="118" s="1"/>
  <c r="D349" i="118"/>
  <c r="D579" i="118" s="1"/>
  <c r="D809" i="118" s="1"/>
  <c r="D1039" i="118" s="1"/>
  <c r="D1269" i="118" s="1"/>
  <c r="D1499" i="118" s="1"/>
  <c r="D1729" i="118" s="1"/>
  <c r="B349" i="118"/>
  <c r="B579" i="118" s="1"/>
  <c r="B809" i="118" s="1"/>
  <c r="B1039" i="118" s="1"/>
  <c r="B1269" i="118" s="1"/>
  <c r="B1499" i="118" s="1"/>
  <c r="B1729" i="118" s="1"/>
  <c r="A349" i="118"/>
  <c r="A579" i="118" s="1"/>
  <c r="A809" i="118" s="1"/>
  <c r="A1039" i="118" s="1"/>
  <c r="A1269" i="118" s="1"/>
  <c r="A1499" i="118" s="1"/>
  <c r="A1729" i="118" s="1"/>
  <c r="M118" i="118"/>
  <c r="E348" i="118"/>
  <c r="E578" i="118" s="1"/>
  <c r="E808" i="118" s="1"/>
  <c r="E1038" i="118" s="1"/>
  <c r="E1268" i="118" s="1"/>
  <c r="E1498" i="118" s="1"/>
  <c r="E1728" i="118" s="1"/>
  <c r="D348" i="118"/>
  <c r="D578" i="118" s="1"/>
  <c r="D808" i="118" s="1"/>
  <c r="D1038" i="118" s="1"/>
  <c r="D1268" i="118" s="1"/>
  <c r="D1498" i="118" s="1"/>
  <c r="D1728" i="118" s="1"/>
  <c r="B348" i="118"/>
  <c r="B578" i="118" s="1"/>
  <c r="B808" i="118" s="1"/>
  <c r="B1038" i="118" s="1"/>
  <c r="B1268" i="118" s="1"/>
  <c r="B1498" i="118" s="1"/>
  <c r="B1728" i="118" s="1"/>
  <c r="A348" i="118"/>
  <c r="A578" i="118" s="1"/>
  <c r="A808" i="118" s="1"/>
  <c r="A1038" i="118" s="1"/>
  <c r="A1268" i="118" s="1"/>
  <c r="A1498" i="118" s="1"/>
  <c r="A1728" i="118" s="1"/>
  <c r="M117" i="118"/>
  <c r="E347" i="118"/>
  <c r="E577" i="118" s="1"/>
  <c r="E807" i="118" s="1"/>
  <c r="E1037" i="118" s="1"/>
  <c r="E1267" i="118" s="1"/>
  <c r="E1497" i="118" s="1"/>
  <c r="E1727" i="118" s="1"/>
  <c r="D347" i="118"/>
  <c r="D577" i="118" s="1"/>
  <c r="D807" i="118" s="1"/>
  <c r="D1037" i="118" s="1"/>
  <c r="D1267" i="118" s="1"/>
  <c r="D1497" i="118" s="1"/>
  <c r="D1727" i="118" s="1"/>
  <c r="B347" i="118"/>
  <c r="B577" i="118" s="1"/>
  <c r="B807" i="118" s="1"/>
  <c r="B1037" i="118" s="1"/>
  <c r="B1267" i="118" s="1"/>
  <c r="B1497" i="118" s="1"/>
  <c r="B1727" i="118" s="1"/>
  <c r="A347" i="118"/>
  <c r="A577" i="118" s="1"/>
  <c r="A807" i="118" s="1"/>
  <c r="A1037" i="118" s="1"/>
  <c r="A1267" i="118" s="1"/>
  <c r="A1497" i="118" s="1"/>
  <c r="A1727" i="118" s="1"/>
  <c r="M116" i="118"/>
  <c r="E346" i="118"/>
  <c r="E576" i="118" s="1"/>
  <c r="E806" i="118" s="1"/>
  <c r="E1036" i="118" s="1"/>
  <c r="E1266" i="118" s="1"/>
  <c r="E1496" i="118" s="1"/>
  <c r="E1726" i="118" s="1"/>
  <c r="D346" i="118"/>
  <c r="D576" i="118" s="1"/>
  <c r="D806" i="118" s="1"/>
  <c r="D1036" i="118" s="1"/>
  <c r="D1266" i="118" s="1"/>
  <c r="D1496" i="118" s="1"/>
  <c r="D1726" i="118" s="1"/>
  <c r="B346" i="118"/>
  <c r="B576" i="118" s="1"/>
  <c r="B806" i="118" s="1"/>
  <c r="B1036" i="118" s="1"/>
  <c r="B1266" i="118" s="1"/>
  <c r="B1496" i="118" s="1"/>
  <c r="B1726" i="118" s="1"/>
  <c r="A346" i="118"/>
  <c r="A576" i="118" s="1"/>
  <c r="A806" i="118" s="1"/>
  <c r="A1036" i="118" s="1"/>
  <c r="A1266" i="118" s="1"/>
  <c r="A1496" i="118" s="1"/>
  <c r="A1726" i="118" s="1"/>
  <c r="M115" i="118"/>
  <c r="E345" i="118"/>
  <c r="E575" i="118" s="1"/>
  <c r="E805" i="118" s="1"/>
  <c r="E1035" i="118" s="1"/>
  <c r="E1265" i="118" s="1"/>
  <c r="E1495" i="118" s="1"/>
  <c r="E1725" i="118" s="1"/>
  <c r="D345" i="118"/>
  <c r="D575" i="118" s="1"/>
  <c r="D805" i="118" s="1"/>
  <c r="D1035" i="118" s="1"/>
  <c r="D1265" i="118" s="1"/>
  <c r="D1495" i="118" s="1"/>
  <c r="D1725" i="118" s="1"/>
  <c r="B345" i="118"/>
  <c r="B575" i="118" s="1"/>
  <c r="B805" i="118" s="1"/>
  <c r="B1035" i="118" s="1"/>
  <c r="B1265" i="118" s="1"/>
  <c r="B1495" i="118" s="1"/>
  <c r="B1725" i="118" s="1"/>
  <c r="A345" i="118"/>
  <c r="A575" i="118" s="1"/>
  <c r="A805" i="118" s="1"/>
  <c r="A1035" i="118" s="1"/>
  <c r="A1265" i="118" s="1"/>
  <c r="A1495" i="118" s="1"/>
  <c r="A1725" i="118" s="1"/>
  <c r="M114" i="118"/>
  <c r="E344" i="118"/>
  <c r="E574" i="118" s="1"/>
  <c r="E804" i="118" s="1"/>
  <c r="E1034" i="118" s="1"/>
  <c r="E1264" i="118" s="1"/>
  <c r="E1494" i="118" s="1"/>
  <c r="E1724" i="118" s="1"/>
  <c r="D344" i="118"/>
  <c r="D574" i="118" s="1"/>
  <c r="D804" i="118" s="1"/>
  <c r="D1034" i="118" s="1"/>
  <c r="D1264" i="118" s="1"/>
  <c r="D1494" i="118" s="1"/>
  <c r="D1724" i="118" s="1"/>
  <c r="B344" i="118"/>
  <c r="B574" i="118" s="1"/>
  <c r="B804" i="118" s="1"/>
  <c r="B1034" i="118" s="1"/>
  <c r="B1264" i="118" s="1"/>
  <c r="B1494" i="118" s="1"/>
  <c r="B1724" i="118" s="1"/>
  <c r="A344" i="118"/>
  <c r="A574" i="118" s="1"/>
  <c r="A804" i="118" s="1"/>
  <c r="A1034" i="118" s="1"/>
  <c r="A1264" i="118" s="1"/>
  <c r="A1494" i="118" s="1"/>
  <c r="A1724" i="118" s="1"/>
  <c r="M113" i="118"/>
  <c r="E343" i="118"/>
  <c r="E573" i="118" s="1"/>
  <c r="E803" i="118" s="1"/>
  <c r="E1033" i="118" s="1"/>
  <c r="E1263" i="118" s="1"/>
  <c r="E1493" i="118" s="1"/>
  <c r="E1723" i="118" s="1"/>
  <c r="D343" i="118"/>
  <c r="D573" i="118" s="1"/>
  <c r="D803" i="118" s="1"/>
  <c r="D1033" i="118" s="1"/>
  <c r="D1263" i="118" s="1"/>
  <c r="D1493" i="118" s="1"/>
  <c r="D1723" i="118" s="1"/>
  <c r="B343" i="118"/>
  <c r="B573" i="118" s="1"/>
  <c r="B803" i="118" s="1"/>
  <c r="B1033" i="118" s="1"/>
  <c r="B1263" i="118" s="1"/>
  <c r="B1493" i="118" s="1"/>
  <c r="B1723" i="118" s="1"/>
  <c r="A343" i="118"/>
  <c r="A573" i="118" s="1"/>
  <c r="A803" i="118" s="1"/>
  <c r="A1033" i="118" s="1"/>
  <c r="A1263" i="118" s="1"/>
  <c r="A1493" i="118" s="1"/>
  <c r="A1723" i="118" s="1"/>
  <c r="M112" i="118"/>
  <c r="E342" i="118"/>
  <c r="E572" i="118" s="1"/>
  <c r="E802" i="118" s="1"/>
  <c r="E1032" i="118" s="1"/>
  <c r="E1262" i="118" s="1"/>
  <c r="E1492" i="118" s="1"/>
  <c r="E1722" i="118" s="1"/>
  <c r="D342" i="118"/>
  <c r="D572" i="118" s="1"/>
  <c r="D802" i="118" s="1"/>
  <c r="D1032" i="118" s="1"/>
  <c r="D1262" i="118" s="1"/>
  <c r="D1492" i="118" s="1"/>
  <c r="D1722" i="118" s="1"/>
  <c r="B342" i="118"/>
  <c r="B572" i="118" s="1"/>
  <c r="B802" i="118" s="1"/>
  <c r="B1032" i="118" s="1"/>
  <c r="B1262" i="118" s="1"/>
  <c r="B1492" i="118" s="1"/>
  <c r="B1722" i="118" s="1"/>
  <c r="A342" i="118"/>
  <c r="A572" i="118" s="1"/>
  <c r="A802" i="118" s="1"/>
  <c r="A1032" i="118" s="1"/>
  <c r="A1262" i="118" s="1"/>
  <c r="A1492" i="118" s="1"/>
  <c r="A1722" i="118" s="1"/>
  <c r="M111" i="118"/>
  <c r="E341" i="118"/>
  <c r="E571" i="118" s="1"/>
  <c r="E801" i="118" s="1"/>
  <c r="E1031" i="118" s="1"/>
  <c r="E1261" i="118" s="1"/>
  <c r="E1491" i="118" s="1"/>
  <c r="E1721" i="118" s="1"/>
  <c r="D341" i="118"/>
  <c r="D571" i="118" s="1"/>
  <c r="D801" i="118" s="1"/>
  <c r="D1031" i="118" s="1"/>
  <c r="D1261" i="118" s="1"/>
  <c r="D1491" i="118" s="1"/>
  <c r="D1721" i="118" s="1"/>
  <c r="B341" i="118"/>
  <c r="B571" i="118" s="1"/>
  <c r="B801" i="118" s="1"/>
  <c r="B1031" i="118" s="1"/>
  <c r="B1261" i="118" s="1"/>
  <c r="B1491" i="118" s="1"/>
  <c r="B1721" i="118" s="1"/>
  <c r="A341" i="118"/>
  <c r="A571" i="118" s="1"/>
  <c r="A801" i="118" s="1"/>
  <c r="A1031" i="118" s="1"/>
  <c r="A1261" i="118" s="1"/>
  <c r="A1491" i="118" s="1"/>
  <c r="A1721" i="118" s="1"/>
  <c r="M110" i="118"/>
  <c r="E340" i="118"/>
  <c r="E570" i="118" s="1"/>
  <c r="E800" i="118" s="1"/>
  <c r="E1030" i="118" s="1"/>
  <c r="E1260" i="118" s="1"/>
  <c r="E1490" i="118" s="1"/>
  <c r="E1720" i="118" s="1"/>
  <c r="D340" i="118"/>
  <c r="D570" i="118" s="1"/>
  <c r="D800" i="118" s="1"/>
  <c r="D1030" i="118" s="1"/>
  <c r="D1260" i="118" s="1"/>
  <c r="D1490" i="118" s="1"/>
  <c r="D1720" i="118" s="1"/>
  <c r="B340" i="118"/>
  <c r="B570" i="118" s="1"/>
  <c r="B800" i="118" s="1"/>
  <c r="B1030" i="118" s="1"/>
  <c r="B1260" i="118" s="1"/>
  <c r="B1490" i="118" s="1"/>
  <c r="B1720" i="118" s="1"/>
  <c r="A340" i="118"/>
  <c r="A570" i="118" s="1"/>
  <c r="A800" i="118" s="1"/>
  <c r="A1030" i="118" s="1"/>
  <c r="A1260" i="118" s="1"/>
  <c r="A1490" i="118" s="1"/>
  <c r="A1720" i="118" s="1"/>
  <c r="M109" i="118"/>
  <c r="E339" i="118"/>
  <c r="E569" i="118" s="1"/>
  <c r="E799" i="118" s="1"/>
  <c r="E1029" i="118" s="1"/>
  <c r="E1259" i="118" s="1"/>
  <c r="E1489" i="118" s="1"/>
  <c r="E1719" i="118" s="1"/>
  <c r="D339" i="118"/>
  <c r="D569" i="118" s="1"/>
  <c r="D799" i="118" s="1"/>
  <c r="D1029" i="118" s="1"/>
  <c r="D1259" i="118" s="1"/>
  <c r="D1489" i="118" s="1"/>
  <c r="D1719" i="118" s="1"/>
  <c r="B339" i="118"/>
  <c r="B569" i="118" s="1"/>
  <c r="B799" i="118" s="1"/>
  <c r="B1029" i="118" s="1"/>
  <c r="B1259" i="118" s="1"/>
  <c r="B1489" i="118" s="1"/>
  <c r="B1719" i="118" s="1"/>
  <c r="A339" i="118"/>
  <c r="A569" i="118" s="1"/>
  <c r="A799" i="118" s="1"/>
  <c r="A1029" i="118" s="1"/>
  <c r="A1259" i="118" s="1"/>
  <c r="A1489" i="118" s="1"/>
  <c r="A1719" i="118" s="1"/>
  <c r="M108" i="118"/>
  <c r="E338" i="118"/>
  <c r="E568" i="118" s="1"/>
  <c r="E798" i="118" s="1"/>
  <c r="E1028" i="118" s="1"/>
  <c r="E1258" i="118" s="1"/>
  <c r="E1488" i="118" s="1"/>
  <c r="E1718" i="118" s="1"/>
  <c r="D338" i="118"/>
  <c r="D568" i="118" s="1"/>
  <c r="D798" i="118" s="1"/>
  <c r="D1028" i="118" s="1"/>
  <c r="D1258" i="118" s="1"/>
  <c r="D1488" i="118" s="1"/>
  <c r="D1718" i="118" s="1"/>
  <c r="B338" i="118"/>
  <c r="B568" i="118" s="1"/>
  <c r="B798" i="118" s="1"/>
  <c r="B1028" i="118" s="1"/>
  <c r="B1258" i="118" s="1"/>
  <c r="B1488" i="118" s="1"/>
  <c r="B1718" i="118" s="1"/>
  <c r="A338" i="118"/>
  <c r="A568" i="118" s="1"/>
  <c r="A798" i="118" s="1"/>
  <c r="A1028" i="118" s="1"/>
  <c r="A1258" i="118" s="1"/>
  <c r="A1488" i="118" s="1"/>
  <c r="A1718" i="118" s="1"/>
  <c r="M107" i="118"/>
  <c r="E337" i="118"/>
  <c r="E567" i="118" s="1"/>
  <c r="E797" i="118" s="1"/>
  <c r="E1027" i="118" s="1"/>
  <c r="E1257" i="118" s="1"/>
  <c r="E1487" i="118" s="1"/>
  <c r="E1717" i="118" s="1"/>
  <c r="D337" i="118"/>
  <c r="D567" i="118" s="1"/>
  <c r="D797" i="118" s="1"/>
  <c r="D1027" i="118" s="1"/>
  <c r="D1257" i="118" s="1"/>
  <c r="D1487" i="118" s="1"/>
  <c r="D1717" i="118" s="1"/>
  <c r="B337" i="118"/>
  <c r="B567" i="118" s="1"/>
  <c r="B797" i="118" s="1"/>
  <c r="B1027" i="118" s="1"/>
  <c r="B1257" i="118" s="1"/>
  <c r="B1487" i="118" s="1"/>
  <c r="B1717" i="118" s="1"/>
  <c r="A337" i="118"/>
  <c r="A567" i="118" s="1"/>
  <c r="A797" i="118" s="1"/>
  <c r="A1027" i="118" s="1"/>
  <c r="A1257" i="118" s="1"/>
  <c r="A1487" i="118" s="1"/>
  <c r="A1717" i="118" s="1"/>
  <c r="M106" i="118"/>
  <c r="E336" i="118"/>
  <c r="E566" i="118" s="1"/>
  <c r="E796" i="118" s="1"/>
  <c r="E1026" i="118" s="1"/>
  <c r="E1256" i="118" s="1"/>
  <c r="E1486" i="118" s="1"/>
  <c r="E1716" i="118" s="1"/>
  <c r="D336" i="118"/>
  <c r="D566" i="118" s="1"/>
  <c r="D796" i="118" s="1"/>
  <c r="D1026" i="118" s="1"/>
  <c r="D1256" i="118" s="1"/>
  <c r="D1486" i="118" s="1"/>
  <c r="D1716" i="118" s="1"/>
  <c r="B336" i="118"/>
  <c r="B566" i="118" s="1"/>
  <c r="B796" i="118" s="1"/>
  <c r="B1026" i="118" s="1"/>
  <c r="B1256" i="118" s="1"/>
  <c r="B1486" i="118" s="1"/>
  <c r="B1716" i="118" s="1"/>
  <c r="A336" i="118"/>
  <c r="A566" i="118" s="1"/>
  <c r="A796" i="118" s="1"/>
  <c r="A1026" i="118" s="1"/>
  <c r="A1256" i="118" s="1"/>
  <c r="A1486" i="118" s="1"/>
  <c r="A1716" i="118" s="1"/>
  <c r="M105" i="118"/>
  <c r="E335" i="118"/>
  <c r="E565" i="118" s="1"/>
  <c r="E795" i="118" s="1"/>
  <c r="E1025" i="118" s="1"/>
  <c r="E1255" i="118" s="1"/>
  <c r="E1485" i="118" s="1"/>
  <c r="E1715" i="118" s="1"/>
  <c r="D335" i="118"/>
  <c r="D565" i="118" s="1"/>
  <c r="D795" i="118" s="1"/>
  <c r="D1025" i="118" s="1"/>
  <c r="D1255" i="118" s="1"/>
  <c r="D1485" i="118" s="1"/>
  <c r="D1715" i="118" s="1"/>
  <c r="B335" i="118"/>
  <c r="B565" i="118" s="1"/>
  <c r="B795" i="118" s="1"/>
  <c r="B1025" i="118" s="1"/>
  <c r="B1255" i="118" s="1"/>
  <c r="B1485" i="118" s="1"/>
  <c r="B1715" i="118" s="1"/>
  <c r="A335" i="118"/>
  <c r="A565" i="118" s="1"/>
  <c r="A795" i="118" s="1"/>
  <c r="A1025" i="118" s="1"/>
  <c r="A1255" i="118" s="1"/>
  <c r="A1485" i="118" s="1"/>
  <c r="A1715" i="118" s="1"/>
  <c r="M104" i="118"/>
  <c r="E334" i="118"/>
  <c r="E564" i="118" s="1"/>
  <c r="E794" i="118" s="1"/>
  <c r="E1024" i="118" s="1"/>
  <c r="E1254" i="118" s="1"/>
  <c r="E1484" i="118" s="1"/>
  <c r="E1714" i="118" s="1"/>
  <c r="D334" i="118"/>
  <c r="D564" i="118" s="1"/>
  <c r="D794" i="118" s="1"/>
  <c r="D1024" i="118" s="1"/>
  <c r="D1254" i="118" s="1"/>
  <c r="D1484" i="118" s="1"/>
  <c r="D1714" i="118" s="1"/>
  <c r="B334" i="118"/>
  <c r="B564" i="118" s="1"/>
  <c r="B794" i="118" s="1"/>
  <c r="B1024" i="118" s="1"/>
  <c r="B1254" i="118" s="1"/>
  <c r="B1484" i="118" s="1"/>
  <c r="B1714" i="118" s="1"/>
  <c r="A334" i="118"/>
  <c r="A564" i="118" s="1"/>
  <c r="A794" i="118" s="1"/>
  <c r="A1024" i="118" s="1"/>
  <c r="A1254" i="118" s="1"/>
  <c r="A1484" i="118" s="1"/>
  <c r="A1714" i="118" s="1"/>
  <c r="M103" i="118"/>
  <c r="E333" i="118"/>
  <c r="E563" i="118" s="1"/>
  <c r="E793" i="118" s="1"/>
  <c r="E1023" i="118" s="1"/>
  <c r="E1253" i="118" s="1"/>
  <c r="E1483" i="118" s="1"/>
  <c r="E1713" i="118" s="1"/>
  <c r="D333" i="118"/>
  <c r="D563" i="118" s="1"/>
  <c r="D793" i="118" s="1"/>
  <c r="D1023" i="118" s="1"/>
  <c r="D1253" i="118" s="1"/>
  <c r="D1483" i="118" s="1"/>
  <c r="D1713" i="118" s="1"/>
  <c r="B333" i="118"/>
  <c r="B563" i="118" s="1"/>
  <c r="B793" i="118" s="1"/>
  <c r="B1023" i="118" s="1"/>
  <c r="B1253" i="118" s="1"/>
  <c r="B1483" i="118" s="1"/>
  <c r="B1713" i="118" s="1"/>
  <c r="A333" i="118"/>
  <c r="A563" i="118" s="1"/>
  <c r="A793" i="118" s="1"/>
  <c r="A1023" i="118" s="1"/>
  <c r="A1253" i="118" s="1"/>
  <c r="A1483" i="118" s="1"/>
  <c r="A1713" i="118" s="1"/>
  <c r="M102" i="118"/>
  <c r="E332" i="118"/>
  <c r="E562" i="118" s="1"/>
  <c r="E792" i="118" s="1"/>
  <c r="E1022" i="118" s="1"/>
  <c r="E1252" i="118" s="1"/>
  <c r="E1482" i="118" s="1"/>
  <c r="E1712" i="118" s="1"/>
  <c r="D332" i="118"/>
  <c r="D562" i="118" s="1"/>
  <c r="D792" i="118" s="1"/>
  <c r="D1022" i="118" s="1"/>
  <c r="D1252" i="118" s="1"/>
  <c r="D1482" i="118" s="1"/>
  <c r="D1712" i="118" s="1"/>
  <c r="C332" i="118"/>
  <c r="C562" i="118" s="1"/>
  <c r="C792" i="118" s="1"/>
  <c r="C1022" i="118" s="1"/>
  <c r="C1252" i="118" s="1"/>
  <c r="C1482" i="118" s="1"/>
  <c r="C1712" i="118" s="1"/>
  <c r="B332" i="118"/>
  <c r="B562" i="118" s="1"/>
  <c r="B792" i="118" s="1"/>
  <c r="B1022" i="118" s="1"/>
  <c r="B1252" i="118" s="1"/>
  <c r="B1482" i="118" s="1"/>
  <c r="B1712" i="118" s="1"/>
  <c r="A332" i="118"/>
  <c r="A562" i="118" s="1"/>
  <c r="A792" i="118" s="1"/>
  <c r="A1022" i="118" s="1"/>
  <c r="A1252" i="118" s="1"/>
  <c r="A1482" i="118" s="1"/>
  <c r="A1712" i="118" s="1"/>
  <c r="M101" i="118"/>
  <c r="E331" i="118"/>
  <c r="E561" i="118" s="1"/>
  <c r="E791" i="118" s="1"/>
  <c r="E1021" i="118" s="1"/>
  <c r="E1251" i="118" s="1"/>
  <c r="E1481" i="118" s="1"/>
  <c r="E1711" i="118" s="1"/>
  <c r="B331" i="118"/>
  <c r="B561" i="118" s="1"/>
  <c r="B791" i="118" s="1"/>
  <c r="B1021" i="118" s="1"/>
  <c r="B1251" i="118" s="1"/>
  <c r="B1481" i="118" s="1"/>
  <c r="B1711" i="118" s="1"/>
  <c r="A331" i="118"/>
  <c r="A561" i="118" s="1"/>
  <c r="A791" i="118" s="1"/>
  <c r="A1021" i="118" s="1"/>
  <c r="A1251" i="118" s="1"/>
  <c r="A1481" i="118" s="1"/>
  <c r="A1711" i="118" s="1"/>
  <c r="M100" i="118"/>
  <c r="E330" i="118"/>
  <c r="E560" i="118" s="1"/>
  <c r="E790" i="118" s="1"/>
  <c r="E1020" i="118" s="1"/>
  <c r="E1250" i="118" s="1"/>
  <c r="E1480" i="118" s="1"/>
  <c r="E1710" i="118" s="1"/>
  <c r="B330" i="118"/>
  <c r="B560" i="118" s="1"/>
  <c r="B790" i="118" s="1"/>
  <c r="B1020" i="118" s="1"/>
  <c r="B1250" i="118" s="1"/>
  <c r="B1480" i="118" s="1"/>
  <c r="B1710" i="118" s="1"/>
  <c r="A330" i="118"/>
  <c r="A560" i="118" s="1"/>
  <c r="A790" i="118" s="1"/>
  <c r="A1020" i="118" s="1"/>
  <c r="A1250" i="118" s="1"/>
  <c r="A1480" i="118" s="1"/>
  <c r="A1710" i="118" s="1"/>
  <c r="M99" i="118"/>
  <c r="E329" i="118"/>
  <c r="E559" i="118" s="1"/>
  <c r="E789" i="118" s="1"/>
  <c r="E1019" i="118" s="1"/>
  <c r="E1249" i="118" s="1"/>
  <c r="E1479" i="118" s="1"/>
  <c r="E1709" i="118" s="1"/>
  <c r="B329" i="118"/>
  <c r="B559" i="118" s="1"/>
  <c r="B789" i="118" s="1"/>
  <c r="B1019" i="118" s="1"/>
  <c r="B1249" i="118" s="1"/>
  <c r="B1479" i="118" s="1"/>
  <c r="B1709" i="118" s="1"/>
  <c r="A329" i="118"/>
  <c r="A559" i="118" s="1"/>
  <c r="A789" i="118" s="1"/>
  <c r="A1019" i="118" s="1"/>
  <c r="A1249" i="118" s="1"/>
  <c r="A1479" i="118" s="1"/>
  <c r="A1709" i="118" s="1"/>
  <c r="M98" i="118"/>
  <c r="E328" i="118"/>
  <c r="E558" i="118" s="1"/>
  <c r="E788" i="118" s="1"/>
  <c r="E1018" i="118" s="1"/>
  <c r="E1248" i="118" s="1"/>
  <c r="E1478" i="118" s="1"/>
  <c r="E1708" i="118" s="1"/>
  <c r="B328" i="118"/>
  <c r="B558" i="118" s="1"/>
  <c r="B788" i="118" s="1"/>
  <c r="B1018" i="118" s="1"/>
  <c r="B1248" i="118" s="1"/>
  <c r="B1478" i="118" s="1"/>
  <c r="B1708" i="118" s="1"/>
  <c r="A328" i="118"/>
  <c r="A558" i="118" s="1"/>
  <c r="A788" i="118" s="1"/>
  <c r="A1018" i="118" s="1"/>
  <c r="A1248" i="118" s="1"/>
  <c r="A1478" i="118" s="1"/>
  <c r="A1708" i="118" s="1"/>
  <c r="M97" i="118"/>
  <c r="E327" i="118"/>
  <c r="E557" i="118" s="1"/>
  <c r="E787" i="118" s="1"/>
  <c r="E1017" i="118" s="1"/>
  <c r="E1247" i="118" s="1"/>
  <c r="E1477" i="118" s="1"/>
  <c r="E1707" i="118" s="1"/>
  <c r="B327" i="118"/>
  <c r="B557" i="118" s="1"/>
  <c r="B787" i="118" s="1"/>
  <c r="B1017" i="118" s="1"/>
  <c r="B1247" i="118" s="1"/>
  <c r="B1477" i="118" s="1"/>
  <c r="B1707" i="118" s="1"/>
  <c r="A327" i="118"/>
  <c r="A557" i="118" s="1"/>
  <c r="A787" i="118" s="1"/>
  <c r="A1017" i="118" s="1"/>
  <c r="A1247" i="118" s="1"/>
  <c r="A1477" i="118" s="1"/>
  <c r="A1707" i="118" s="1"/>
  <c r="M96" i="118"/>
  <c r="E326" i="118"/>
  <c r="E556" i="118" s="1"/>
  <c r="E786" i="118" s="1"/>
  <c r="E1016" i="118" s="1"/>
  <c r="E1246" i="118" s="1"/>
  <c r="E1476" i="118" s="1"/>
  <c r="E1706" i="118" s="1"/>
  <c r="B326" i="118"/>
  <c r="B556" i="118" s="1"/>
  <c r="B786" i="118" s="1"/>
  <c r="B1016" i="118" s="1"/>
  <c r="B1246" i="118" s="1"/>
  <c r="B1476" i="118" s="1"/>
  <c r="B1706" i="118" s="1"/>
  <c r="A326" i="118"/>
  <c r="A556" i="118" s="1"/>
  <c r="A786" i="118" s="1"/>
  <c r="A1016" i="118" s="1"/>
  <c r="A1246" i="118" s="1"/>
  <c r="A1476" i="118" s="1"/>
  <c r="A1706" i="118" s="1"/>
  <c r="M95" i="118"/>
  <c r="E325" i="118"/>
  <c r="E555" i="118" s="1"/>
  <c r="E785" i="118" s="1"/>
  <c r="E1015" i="118" s="1"/>
  <c r="E1245" i="118" s="1"/>
  <c r="E1475" i="118" s="1"/>
  <c r="E1705" i="118" s="1"/>
  <c r="B325" i="118"/>
  <c r="B555" i="118" s="1"/>
  <c r="B785" i="118" s="1"/>
  <c r="B1015" i="118" s="1"/>
  <c r="B1245" i="118" s="1"/>
  <c r="B1475" i="118" s="1"/>
  <c r="B1705" i="118" s="1"/>
  <c r="A325" i="118"/>
  <c r="A555" i="118" s="1"/>
  <c r="A785" i="118" s="1"/>
  <c r="A1015" i="118" s="1"/>
  <c r="A1245" i="118" s="1"/>
  <c r="A1475" i="118" s="1"/>
  <c r="A1705" i="118" s="1"/>
  <c r="M94" i="118"/>
  <c r="E324" i="118"/>
  <c r="E554" i="118" s="1"/>
  <c r="E784" i="118" s="1"/>
  <c r="E1014" i="118" s="1"/>
  <c r="E1244" i="118" s="1"/>
  <c r="E1474" i="118" s="1"/>
  <c r="E1704" i="118" s="1"/>
  <c r="B324" i="118"/>
  <c r="B554" i="118" s="1"/>
  <c r="B784" i="118" s="1"/>
  <c r="B1014" i="118" s="1"/>
  <c r="B1244" i="118" s="1"/>
  <c r="B1474" i="118" s="1"/>
  <c r="B1704" i="118" s="1"/>
  <c r="A324" i="118"/>
  <c r="A554" i="118" s="1"/>
  <c r="A784" i="118" s="1"/>
  <c r="A1014" i="118" s="1"/>
  <c r="A1244" i="118" s="1"/>
  <c r="A1474" i="118" s="1"/>
  <c r="A1704" i="118" s="1"/>
  <c r="M93" i="118"/>
  <c r="E323" i="118"/>
  <c r="E553" i="118" s="1"/>
  <c r="E783" i="118" s="1"/>
  <c r="E1013" i="118" s="1"/>
  <c r="E1243" i="118" s="1"/>
  <c r="E1473" i="118" s="1"/>
  <c r="E1703" i="118" s="1"/>
  <c r="C323" i="118"/>
  <c r="C553" i="118" s="1"/>
  <c r="C783" i="118" s="1"/>
  <c r="C1013" i="118" s="1"/>
  <c r="C1243" i="118" s="1"/>
  <c r="C1473" i="118" s="1"/>
  <c r="C1703" i="118" s="1"/>
  <c r="B323" i="118"/>
  <c r="B553" i="118" s="1"/>
  <c r="B783" i="118" s="1"/>
  <c r="B1013" i="118" s="1"/>
  <c r="B1243" i="118" s="1"/>
  <c r="B1473" i="118" s="1"/>
  <c r="B1703" i="118" s="1"/>
  <c r="A323" i="118"/>
  <c r="A553" i="118" s="1"/>
  <c r="A783" i="118" s="1"/>
  <c r="A1013" i="118" s="1"/>
  <c r="A1243" i="118" s="1"/>
  <c r="A1473" i="118" s="1"/>
  <c r="A1703" i="118" s="1"/>
  <c r="M92" i="118"/>
  <c r="E322" i="118"/>
  <c r="E552" i="118" s="1"/>
  <c r="E782" i="118" s="1"/>
  <c r="E1012" i="118" s="1"/>
  <c r="E1242" i="118" s="1"/>
  <c r="E1472" i="118" s="1"/>
  <c r="E1702" i="118" s="1"/>
  <c r="D322" i="118"/>
  <c r="D552" i="118" s="1"/>
  <c r="D782" i="118" s="1"/>
  <c r="D1012" i="118" s="1"/>
  <c r="D1242" i="118" s="1"/>
  <c r="D1472" i="118" s="1"/>
  <c r="D1702" i="118" s="1"/>
  <c r="C322" i="118"/>
  <c r="C552" i="118" s="1"/>
  <c r="C782" i="118" s="1"/>
  <c r="C1012" i="118" s="1"/>
  <c r="C1242" i="118" s="1"/>
  <c r="C1472" i="118" s="1"/>
  <c r="C1702" i="118" s="1"/>
  <c r="B322" i="118"/>
  <c r="B552" i="118" s="1"/>
  <c r="B782" i="118" s="1"/>
  <c r="B1012" i="118" s="1"/>
  <c r="B1242" i="118" s="1"/>
  <c r="B1472" i="118" s="1"/>
  <c r="B1702" i="118" s="1"/>
  <c r="A322" i="118"/>
  <c r="A552" i="118" s="1"/>
  <c r="A782" i="118" s="1"/>
  <c r="A1012" i="118" s="1"/>
  <c r="A1242" i="118" s="1"/>
  <c r="A1472" i="118" s="1"/>
  <c r="A1702" i="118" s="1"/>
  <c r="M91" i="118"/>
  <c r="E321" i="118"/>
  <c r="E551" i="118" s="1"/>
  <c r="E781" i="118" s="1"/>
  <c r="E1011" i="118" s="1"/>
  <c r="E1241" i="118" s="1"/>
  <c r="E1471" i="118" s="1"/>
  <c r="E1701" i="118" s="1"/>
  <c r="D321" i="118"/>
  <c r="D551" i="118" s="1"/>
  <c r="D781" i="118" s="1"/>
  <c r="D1011" i="118" s="1"/>
  <c r="D1241" i="118" s="1"/>
  <c r="D1471" i="118" s="1"/>
  <c r="D1701" i="118" s="1"/>
  <c r="C321" i="118"/>
  <c r="C551" i="118" s="1"/>
  <c r="C781" i="118" s="1"/>
  <c r="C1011" i="118" s="1"/>
  <c r="C1241" i="118" s="1"/>
  <c r="C1471" i="118" s="1"/>
  <c r="C1701" i="118" s="1"/>
  <c r="B321" i="118"/>
  <c r="B551" i="118" s="1"/>
  <c r="B781" i="118" s="1"/>
  <c r="B1011" i="118" s="1"/>
  <c r="B1241" i="118" s="1"/>
  <c r="B1471" i="118" s="1"/>
  <c r="B1701" i="118" s="1"/>
  <c r="A321" i="118"/>
  <c r="A551" i="118" s="1"/>
  <c r="A781" i="118" s="1"/>
  <c r="A1011" i="118" s="1"/>
  <c r="A1241" i="118" s="1"/>
  <c r="A1471" i="118" s="1"/>
  <c r="A1701" i="118" s="1"/>
  <c r="M90" i="118"/>
  <c r="E320" i="118"/>
  <c r="E550" i="118" s="1"/>
  <c r="E780" i="118" s="1"/>
  <c r="E1010" i="118" s="1"/>
  <c r="E1240" i="118" s="1"/>
  <c r="E1470" i="118" s="1"/>
  <c r="E1700" i="118" s="1"/>
  <c r="B320" i="118"/>
  <c r="B550" i="118" s="1"/>
  <c r="B780" i="118" s="1"/>
  <c r="B1010" i="118" s="1"/>
  <c r="B1240" i="118" s="1"/>
  <c r="B1470" i="118" s="1"/>
  <c r="B1700" i="118" s="1"/>
  <c r="A320" i="118"/>
  <c r="A550" i="118" s="1"/>
  <c r="A780" i="118" s="1"/>
  <c r="A1010" i="118" s="1"/>
  <c r="A1240" i="118" s="1"/>
  <c r="A1470" i="118" s="1"/>
  <c r="A1700" i="118" s="1"/>
  <c r="M89" i="118"/>
  <c r="E319" i="118"/>
  <c r="E549" i="118" s="1"/>
  <c r="E779" i="118" s="1"/>
  <c r="E1009" i="118" s="1"/>
  <c r="E1239" i="118" s="1"/>
  <c r="E1469" i="118" s="1"/>
  <c r="E1699" i="118" s="1"/>
  <c r="B319" i="118"/>
  <c r="B549" i="118" s="1"/>
  <c r="B779" i="118" s="1"/>
  <c r="B1009" i="118" s="1"/>
  <c r="B1239" i="118" s="1"/>
  <c r="B1469" i="118" s="1"/>
  <c r="B1699" i="118" s="1"/>
  <c r="A319" i="118"/>
  <c r="A549" i="118" s="1"/>
  <c r="A779" i="118" s="1"/>
  <c r="A1009" i="118" s="1"/>
  <c r="A1239" i="118" s="1"/>
  <c r="A1469" i="118" s="1"/>
  <c r="A1699" i="118" s="1"/>
  <c r="M88" i="118"/>
  <c r="E318" i="118"/>
  <c r="E548" i="118" s="1"/>
  <c r="E778" i="118" s="1"/>
  <c r="E1008" i="118" s="1"/>
  <c r="E1238" i="118" s="1"/>
  <c r="E1468" i="118" s="1"/>
  <c r="E1698" i="118" s="1"/>
  <c r="B318" i="118"/>
  <c r="B548" i="118" s="1"/>
  <c r="B778" i="118" s="1"/>
  <c r="B1008" i="118" s="1"/>
  <c r="B1238" i="118" s="1"/>
  <c r="B1468" i="118" s="1"/>
  <c r="B1698" i="118" s="1"/>
  <c r="A318" i="118"/>
  <c r="A548" i="118" s="1"/>
  <c r="A778" i="118" s="1"/>
  <c r="A1008" i="118" s="1"/>
  <c r="A1238" i="118" s="1"/>
  <c r="A1468" i="118" s="1"/>
  <c r="A1698" i="118" s="1"/>
  <c r="M87" i="118"/>
  <c r="E317" i="118"/>
  <c r="E547" i="118" s="1"/>
  <c r="E777" i="118" s="1"/>
  <c r="E1007" i="118" s="1"/>
  <c r="E1237" i="118" s="1"/>
  <c r="E1467" i="118" s="1"/>
  <c r="E1697" i="118" s="1"/>
  <c r="B317" i="118"/>
  <c r="B547" i="118" s="1"/>
  <c r="B777" i="118" s="1"/>
  <c r="B1007" i="118" s="1"/>
  <c r="B1237" i="118" s="1"/>
  <c r="B1467" i="118" s="1"/>
  <c r="B1697" i="118" s="1"/>
  <c r="A317" i="118"/>
  <c r="A547" i="118" s="1"/>
  <c r="A777" i="118" s="1"/>
  <c r="A1007" i="118" s="1"/>
  <c r="A1237" i="118" s="1"/>
  <c r="A1467" i="118" s="1"/>
  <c r="A1697" i="118" s="1"/>
  <c r="M86" i="118"/>
  <c r="E316" i="118"/>
  <c r="E546" i="118" s="1"/>
  <c r="E776" i="118" s="1"/>
  <c r="E1006" i="118" s="1"/>
  <c r="E1236" i="118" s="1"/>
  <c r="E1466" i="118" s="1"/>
  <c r="E1696" i="118" s="1"/>
  <c r="B316" i="118"/>
  <c r="B546" i="118" s="1"/>
  <c r="B776" i="118" s="1"/>
  <c r="B1006" i="118" s="1"/>
  <c r="B1236" i="118" s="1"/>
  <c r="B1466" i="118" s="1"/>
  <c r="B1696" i="118" s="1"/>
  <c r="A316" i="118"/>
  <c r="A546" i="118" s="1"/>
  <c r="A776" i="118" s="1"/>
  <c r="A1006" i="118" s="1"/>
  <c r="A1236" i="118" s="1"/>
  <c r="A1466" i="118" s="1"/>
  <c r="A1696" i="118" s="1"/>
  <c r="M85" i="118"/>
  <c r="E315" i="118"/>
  <c r="E545" i="118" s="1"/>
  <c r="E775" i="118" s="1"/>
  <c r="E1005" i="118" s="1"/>
  <c r="E1235" i="118" s="1"/>
  <c r="E1465" i="118" s="1"/>
  <c r="E1695" i="118" s="1"/>
  <c r="D315" i="118"/>
  <c r="D545" i="118" s="1"/>
  <c r="D775" i="118" s="1"/>
  <c r="D1005" i="118" s="1"/>
  <c r="D1235" i="118" s="1"/>
  <c r="D1465" i="118" s="1"/>
  <c r="D1695" i="118" s="1"/>
  <c r="B315" i="118"/>
  <c r="B545" i="118" s="1"/>
  <c r="B775" i="118" s="1"/>
  <c r="B1005" i="118" s="1"/>
  <c r="B1235" i="118" s="1"/>
  <c r="B1465" i="118" s="1"/>
  <c r="B1695" i="118" s="1"/>
  <c r="A315" i="118"/>
  <c r="A545" i="118" s="1"/>
  <c r="A775" i="118" s="1"/>
  <c r="A1005" i="118" s="1"/>
  <c r="A1235" i="118" s="1"/>
  <c r="A1465" i="118" s="1"/>
  <c r="A1695" i="118" s="1"/>
  <c r="M84" i="118"/>
  <c r="E314" i="118"/>
  <c r="E544" i="118" s="1"/>
  <c r="E774" i="118" s="1"/>
  <c r="E1004" i="118" s="1"/>
  <c r="E1234" i="118" s="1"/>
  <c r="E1464" i="118" s="1"/>
  <c r="E1694" i="118" s="1"/>
  <c r="D314" i="118"/>
  <c r="D544" i="118" s="1"/>
  <c r="D774" i="118" s="1"/>
  <c r="D1004" i="118" s="1"/>
  <c r="D1234" i="118" s="1"/>
  <c r="D1464" i="118" s="1"/>
  <c r="D1694" i="118" s="1"/>
  <c r="C314" i="118"/>
  <c r="C544" i="118" s="1"/>
  <c r="C774" i="118" s="1"/>
  <c r="C1004" i="118" s="1"/>
  <c r="C1234" i="118" s="1"/>
  <c r="C1464" i="118" s="1"/>
  <c r="C1694" i="118" s="1"/>
  <c r="B314" i="118"/>
  <c r="B544" i="118" s="1"/>
  <c r="B774" i="118" s="1"/>
  <c r="B1004" i="118" s="1"/>
  <c r="B1234" i="118" s="1"/>
  <c r="B1464" i="118" s="1"/>
  <c r="B1694" i="118" s="1"/>
  <c r="A314" i="118"/>
  <c r="A544" i="118" s="1"/>
  <c r="A774" i="118" s="1"/>
  <c r="A1004" i="118" s="1"/>
  <c r="A1234" i="118" s="1"/>
  <c r="A1464" i="118" s="1"/>
  <c r="A1694" i="118" s="1"/>
  <c r="M83" i="118"/>
  <c r="E313" i="118"/>
  <c r="E543" i="118" s="1"/>
  <c r="E773" i="118" s="1"/>
  <c r="E1003" i="118" s="1"/>
  <c r="E1233" i="118" s="1"/>
  <c r="E1463" i="118" s="1"/>
  <c r="E1693" i="118" s="1"/>
  <c r="B313" i="118"/>
  <c r="B543" i="118" s="1"/>
  <c r="B773" i="118" s="1"/>
  <c r="B1003" i="118" s="1"/>
  <c r="B1233" i="118" s="1"/>
  <c r="B1463" i="118" s="1"/>
  <c r="B1693" i="118" s="1"/>
  <c r="A313" i="118"/>
  <c r="A543" i="118" s="1"/>
  <c r="A773" i="118" s="1"/>
  <c r="A1003" i="118" s="1"/>
  <c r="A1233" i="118" s="1"/>
  <c r="A1463" i="118" s="1"/>
  <c r="A1693" i="118" s="1"/>
  <c r="M82" i="118"/>
  <c r="O82" i="118" s="1"/>
  <c r="P82" i="118" s="1"/>
  <c r="E312" i="118"/>
  <c r="E542" i="118" s="1"/>
  <c r="E772" i="118" s="1"/>
  <c r="E1002" i="118" s="1"/>
  <c r="E1232" i="118" s="1"/>
  <c r="E1462" i="118" s="1"/>
  <c r="E1692" i="118" s="1"/>
  <c r="B312" i="118"/>
  <c r="B542" i="118" s="1"/>
  <c r="B772" i="118" s="1"/>
  <c r="B1002" i="118" s="1"/>
  <c r="B1232" i="118" s="1"/>
  <c r="B1462" i="118" s="1"/>
  <c r="B1692" i="118" s="1"/>
  <c r="A312" i="118"/>
  <c r="A542" i="118" s="1"/>
  <c r="A772" i="118" s="1"/>
  <c r="A1002" i="118" s="1"/>
  <c r="A1232" i="118" s="1"/>
  <c r="A1462" i="118" s="1"/>
  <c r="A1692" i="118" s="1"/>
  <c r="M81" i="118"/>
  <c r="D311" i="118"/>
  <c r="D541" i="118" s="1"/>
  <c r="D771" i="118" s="1"/>
  <c r="D1001" i="118" s="1"/>
  <c r="D1231" i="118" s="1"/>
  <c r="D1461" i="118" s="1"/>
  <c r="D1691" i="118" s="1"/>
  <c r="C311" i="118"/>
  <c r="C541" i="118" s="1"/>
  <c r="C771" i="118" s="1"/>
  <c r="C1001" i="118" s="1"/>
  <c r="C1231" i="118" s="1"/>
  <c r="C1461" i="118" s="1"/>
  <c r="C1691" i="118" s="1"/>
  <c r="B311" i="118"/>
  <c r="B541" i="118" s="1"/>
  <c r="B771" i="118" s="1"/>
  <c r="B1001" i="118" s="1"/>
  <c r="B1231" i="118" s="1"/>
  <c r="B1461" i="118" s="1"/>
  <c r="B1691" i="118" s="1"/>
  <c r="A311" i="118"/>
  <c r="A541" i="118" s="1"/>
  <c r="A771" i="118" s="1"/>
  <c r="A1001" i="118" s="1"/>
  <c r="A1231" i="118" s="1"/>
  <c r="A1461" i="118" s="1"/>
  <c r="A1691" i="118" s="1"/>
  <c r="M80" i="118"/>
  <c r="E310" i="118"/>
  <c r="E540" i="118" s="1"/>
  <c r="E770" i="118" s="1"/>
  <c r="E1000" i="118" s="1"/>
  <c r="E1230" i="118" s="1"/>
  <c r="E1460" i="118" s="1"/>
  <c r="E1690" i="118" s="1"/>
  <c r="B310" i="118"/>
  <c r="B540" i="118" s="1"/>
  <c r="B770" i="118" s="1"/>
  <c r="B1000" i="118" s="1"/>
  <c r="B1230" i="118" s="1"/>
  <c r="B1460" i="118" s="1"/>
  <c r="B1690" i="118" s="1"/>
  <c r="A310" i="118"/>
  <c r="A540" i="118" s="1"/>
  <c r="A770" i="118" s="1"/>
  <c r="A1000" i="118" s="1"/>
  <c r="A1230" i="118" s="1"/>
  <c r="A1460" i="118" s="1"/>
  <c r="A1690" i="118" s="1"/>
  <c r="M79" i="118"/>
  <c r="B309" i="118"/>
  <c r="B539" i="118" s="1"/>
  <c r="B769" i="118" s="1"/>
  <c r="B999" i="118" s="1"/>
  <c r="B1229" i="118" s="1"/>
  <c r="B1459" i="118" s="1"/>
  <c r="B1689" i="118" s="1"/>
  <c r="A309" i="118"/>
  <c r="A539" i="118" s="1"/>
  <c r="A769" i="118" s="1"/>
  <c r="A999" i="118" s="1"/>
  <c r="A1229" i="118" s="1"/>
  <c r="A1459" i="118" s="1"/>
  <c r="A1689" i="118" s="1"/>
  <c r="M78" i="118"/>
  <c r="O78" i="118" s="1"/>
  <c r="P78" i="118" s="1"/>
  <c r="D308" i="118"/>
  <c r="D538" i="118" s="1"/>
  <c r="D768" i="118" s="1"/>
  <c r="D998" i="118" s="1"/>
  <c r="D1228" i="118" s="1"/>
  <c r="D1458" i="118" s="1"/>
  <c r="D1688" i="118" s="1"/>
  <c r="C308" i="118"/>
  <c r="C538" i="118" s="1"/>
  <c r="C768" i="118" s="1"/>
  <c r="C998" i="118" s="1"/>
  <c r="C1228" i="118" s="1"/>
  <c r="C1458" i="118" s="1"/>
  <c r="C1688" i="118" s="1"/>
  <c r="B308" i="118"/>
  <c r="B538" i="118" s="1"/>
  <c r="B768" i="118" s="1"/>
  <c r="B998" i="118" s="1"/>
  <c r="B1228" i="118" s="1"/>
  <c r="B1458" i="118" s="1"/>
  <c r="B1688" i="118" s="1"/>
  <c r="A308" i="118"/>
  <c r="A538" i="118" s="1"/>
  <c r="A768" i="118" s="1"/>
  <c r="A998" i="118" s="1"/>
  <c r="A1228" i="118" s="1"/>
  <c r="A1458" i="118" s="1"/>
  <c r="A1688" i="118" s="1"/>
  <c r="M77" i="118"/>
  <c r="E307" i="118"/>
  <c r="E537" i="118" s="1"/>
  <c r="E767" i="118" s="1"/>
  <c r="E997" i="118" s="1"/>
  <c r="E1227" i="118" s="1"/>
  <c r="E1457" i="118" s="1"/>
  <c r="E1687" i="118" s="1"/>
  <c r="B307" i="118"/>
  <c r="B537" i="118" s="1"/>
  <c r="B767" i="118" s="1"/>
  <c r="B997" i="118" s="1"/>
  <c r="B1227" i="118" s="1"/>
  <c r="B1457" i="118" s="1"/>
  <c r="B1687" i="118" s="1"/>
  <c r="A307" i="118"/>
  <c r="A537" i="118" s="1"/>
  <c r="A767" i="118" s="1"/>
  <c r="A997" i="118" s="1"/>
  <c r="A1227" i="118" s="1"/>
  <c r="A1457" i="118" s="1"/>
  <c r="A1687" i="118" s="1"/>
  <c r="M76" i="118"/>
  <c r="E306" i="118"/>
  <c r="E536" i="118" s="1"/>
  <c r="E766" i="118" s="1"/>
  <c r="E996" i="118" s="1"/>
  <c r="E1226" i="118" s="1"/>
  <c r="E1456" i="118" s="1"/>
  <c r="E1686" i="118" s="1"/>
  <c r="B306" i="118"/>
  <c r="B536" i="118" s="1"/>
  <c r="B766" i="118" s="1"/>
  <c r="B996" i="118" s="1"/>
  <c r="B1226" i="118" s="1"/>
  <c r="B1456" i="118" s="1"/>
  <c r="B1686" i="118" s="1"/>
  <c r="A306" i="118"/>
  <c r="A536" i="118" s="1"/>
  <c r="A766" i="118" s="1"/>
  <c r="A996" i="118" s="1"/>
  <c r="A1226" i="118" s="1"/>
  <c r="A1456" i="118" s="1"/>
  <c r="A1686" i="118" s="1"/>
  <c r="M75" i="118"/>
  <c r="E305" i="118"/>
  <c r="E535" i="118" s="1"/>
  <c r="E765" i="118" s="1"/>
  <c r="E995" i="118" s="1"/>
  <c r="E1225" i="118" s="1"/>
  <c r="E1455" i="118" s="1"/>
  <c r="E1685" i="118" s="1"/>
  <c r="B305" i="118"/>
  <c r="B535" i="118" s="1"/>
  <c r="B765" i="118" s="1"/>
  <c r="B995" i="118" s="1"/>
  <c r="B1225" i="118" s="1"/>
  <c r="B1455" i="118" s="1"/>
  <c r="B1685" i="118" s="1"/>
  <c r="A305" i="118"/>
  <c r="A535" i="118" s="1"/>
  <c r="A765" i="118" s="1"/>
  <c r="A995" i="118" s="1"/>
  <c r="A1225" i="118" s="1"/>
  <c r="A1455" i="118" s="1"/>
  <c r="A1685" i="118" s="1"/>
  <c r="M74" i="118"/>
  <c r="O74" i="118" s="1"/>
  <c r="P74" i="118" s="1"/>
  <c r="E304" i="118"/>
  <c r="E534" i="118" s="1"/>
  <c r="E764" i="118" s="1"/>
  <c r="E994" i="118" s="1"/>
  <c r="E1224" i="118" s="1"/>
  <c r="E1454" i="118" s="1"/>
  <c r="E1684" i="118" s="1"/>
  <c r="B304" i="118"/>
  <c r="B534" i="118" s="1"/>
  <c r="B764" i="118" s="1"/>
  <c r="B994" i="118" s="1"/>
  <c r="B1224" i="118" s="1"/>
  <c r="B1454" i="118" s="1"/>
  <c r="B1684" i="118" s="1"/>
  <c r="A304" i="118"/>
  <c r="A534" i="118" s="1"/>
  <c r="A764" i="118" s="1"/>
  <c r="A994" i="118" s="1"/>
  <c r="A1224" i="118" s="1"/>
  <c r="A1454" i="118" s="1"/>
  <c r="A1684" i="118" s="1"/>
  <c r="M73" i="118"/>
  <c r="E303" i="118"/>
  <c r="E533" i="118" s="1"/>
  <c r="E763" i="118" s="1"/>
  <c r="E993" i="118" s="1"/>
  <c r="E1223" i="118" s="1"/>
  <c r="E1453" i="118" s="1"/>
  <c r="E1683" i="118" s="1"/>
  <c r="B303" i="118"/>
  <c r="B533" i="118" s="1"/>
  <c r="B763" i="118" s="1"/>
  <c r="B993" i="118" s="1"/>
  <c r="B1223" i="118" s="1"/>
  <c r="B1453" i="118" s="1"/>
  <c r="B1683" i="118" s="1"/>
  <c r="A303" i="118"/>
  <c r="A533" i="118" s="1"/>
  <c r="A763" i="118" s="1"/>
  <c r="A993" i="118" s="1"/>
  <c r="A1223" i="118" s="1"/>
  <c r="A1453" i="118" s="1"/>
  <c r="A1683" i="118" s="1"/>
  <c r="M72" i="118"/>
  <c r="D302" i="118"/>
  <c r="D532" i="118" s="1"/>
  <c r="D762" i="118" s="1"/>
  <c r="D992" i="118" s="1"/>
  <c r="D1222" i="118" s="1"/>
  <c r="D1452" i="118" s="1"/>
  <c r="D1682" i="118" s="1"/>
  <c r="C302" i="118"/>
  <c r="C532" i="118" s="1"/>
  <c r="C762" i="118" s="1"/>
  <c r="C992" i="118" s="1"/>
  <c r="C1222" i="118" s="1"/>
  <c r="C1452" i="118" s="1"/>
  <c r="C1682" i="118" s="1"/>
  <c r="B302" i="118"/>
  <c r="B532" i="118" s="1"/>
  <c r="B762" i="118" s="1"/>
  <c r="B992" i="118" s="1"/>
  <c r="B1222" i="118" s="1"/>
  <c r="B1452" i="118" s="1"/>
  <c r="B1682" i="118" s="1"/>
  <c r="A302" i="118"/>
  <c r="A532" i="118" s="1"/>
  <c r="A762" i="118" s="1"/>
  <c r="A992" i="118" s="1"/>
  <c r="A1222" i="118" s="1"/>
  <c r="A1452" i="118" s="1"/>
  <c r="A1682" i="118" s="1"/>
  <c r="M71" i="118"/>
  <c r="E301" i="118"/>
  <c r="E531" i="118" s="1"/>
  <c r="E761" i="118" s="1"/>
  <c r="E991" i="118" s="1"/>
  <c r="E1221" i="118" s="1"/>
  <c r="E1451" i="118" s="1"/>
  <c r="E1681" i="118" s="1"/>
  <c r="B301" i="118"/>
  <c r="B531" i="118" s="1"/>
  <c r="B761" i="118" s="1"/>
  <c r="B991" i="118" s="1"/>
  <c r="B1221" i="118" s="1"/>
  <c r="B1451" i="118" s="1"/>
  <c r="B1681" i="118" s="1"/>
  <c r="A301" i="118"/>
  <c r="A531" i="118" s="1"/>
  <c r="A761" i="118" s="1"/>
  <c r="A991" i="118" s="1"/>
  <c r="A1221" i="118" s="1"/>
  <c r="A1451" i="118" s="1"/>
  <c r="A1681" i="118" s="1"/>
  <c r="M70" i="118"/>
  <c r="O70" i="118" s="1"/>
  <c r="P70" i="118" s="1"/>
  <c r="E300" i="118"/>
  <c r="E530" i="118" s="1"/>
  <c r="E760" i="118" s="1"/>
  <c r="E990" i="118" s="1"/>
  <c r="E1220" i="118" s="1"/>
  <c r="E1450" i="118" s="1"/>
  <c r="E1680" i="118" s="1"/>
  <c r="B300" i="118"/>
  <c r="B530" i="118" s="1"/>
  <c r="B760" i="118" s="1"/>
  <c r="B990" i="118" s="1"/>
  <c r="B1220" i="118" s="1"/>
  <c r="B1450" i="118" s="1"/>
  <c r="B1680" i="118" s="1"/>
  <c r="A300" i="118"/>
  <c r="A530" i="118" s="1"/>
  <c r="A760" i="118" s="1"/>
  <c r="A990" i="118" s="1"/>
  <c r="A1220" i="118" s="1"/>
  <c r="A1450" i="118" s="1"/>
  <c r="A1680" i="118" s="1"/>
  <c r="M69" i="118"/>
  <c r="E299" i="118"/>
  <c r="E529" i="118" s="1"/>
  <c r="E759" i="118" s="1"/>
  <c r="E989" i="118" s="1"/>
  <c r="E1219" i="118" s="1"/>
  <c r="E1449" i="118" s="1"/>
  <c r="E1679" i="118" s="1"/>
  <c r="B299" i="118"/>
  <c r="B529" i="118" s="1"/>
  <c r="B759" i="118" s="1"/>
  <c r="B989" i="118" s="1"/>
  <c r="B1219" i="118" s="1"/>
  <c r="B1449" i="118" s="1"/>
  <c r="B1679" i="118" s="1"/>
  <c r="A299" i="118"/>
  <c r="A529" i="118" s="1"/>
  <c r="A759" i="118" s="1"/>
  <c r="A989" i="118" s="1"/>
  <c r="A1219" i="118" s="1"/>
  <c r="A1449" i="118" s="1"/>
  <c r="A1679" i="118" s="1"/>
  <c r="M68" i="118"/>
  <c r="E298" i="118"/>
  <c r="E528" i="118" s="1"/>
  <c r="E758" i="118" s="1"/>
  <c r="E988" i="118" s="1"/>
  <c r="E1218" i="118" s="1"/>
  <c r="E1448" i="118" s="1"/>
  <c r="E1678" i="118" s="1"/>
  <c r="B298" i="118"/>
  <c r="B528" i="118" s="1"/>
  <c r="B758" i="118" s="1"/>
  <c r="B988" i="118" s="1"/>
  <c r="B1218" i="118" s="1"/>
  <c r="B1448" i="118" s="1"/>
  <c r="B1678" i="118" s="1"/>
  <c r="A298" i="118"/>
  <c r="A528" i="118" s="1"/>
  <c r="A758" i="118" s="1"/>
  <c r="A988" i="118" s="1"/>
  <c r="A1218" i="118" s="1"/>
  <c r="A1448" i="118" s="1"/>
  <c r="A1678" i="118" s="1"/>
  <c r="M67" i="118"/>
  <c r="D297" i="118"/>
  <c r="D527" i="118" s="1"/>
  <c r="D757" i="118" s="1"/>
  <c r="D987" i="118" s="1"/>
  <c r="D1217" i="118" s="1"/>
  <c r="D1447" i="118" s="1"/>
  <c r="D1677" i="118" s="1"/>
  <c r="C297" i="118"/>
  <c r="C527" i="118" s="1"/>
  <c r="C757" i="118" s="1"/>
  <c r="C987" i="118" s="1"/>
  <c r="C1217" i="118" s="1"/>
  <c r="C1447" i="118" s="1"/>
  <c r="C1677" i="118" s="1"/>
  <c r="B297" i="118"/>
  <c r="B527" i="118" s="1"/>
  <c r="B757" i="118" s="1"/>
  <c r="B987" i="118" s="1"/>
  <c r="B1217" i="118" s="1"/>
  <c r="B1447" i="118" s="1"/>
  <c r="B1677" i="118" s="1"/>
  <c r="A297" i="118"/>
  <c r="A527" i="118" s="1"/>
  <c r="A757" i="118" s="1"/>
  <c r="A987" i="118" s="1"/>
  <c r="A1217" i="118" s="1"/>
  <c r="A1447" i="118" s="1"/>
  <c r="A1677" i="118" s="1"/>
  <c r="M66" i="118"/>
  <c r="E296" i="118"/>
  <c r="E526" i="118" s="1"/>
  <c r="E756" i="118" s="1"/>
  <c r="E986" i="118" s="1"/>
  <c r="E1216" i="118" s="1"/>
  <c r="E1446" i="118" s="1"/>
  <c r="E1676" i="118" s="1"/>
  <c r="B296" i="118"/>
  <c r="B526" i="118" s="1"/>
  <c r="B756" i="118" s="1"/>
  <c r="B986" i="118" s="1"/>
  <c r="B1216" i="118" s="1"/>
  <c r="B1446" i="118" s="1"/>
  <c r="B1676" i="118" s="1"/>
  <c r="A296" i="118"/>
  <c r="A526" i="118" s="1"/>
  <c r="A756" i="118" s="1"/>
  <c r="A986" i="118" s="1"/>
  <c r="A1216" i="118" s="1"/>
  <c r="A1446" i="118" s="1"/>
  <c r="A1676" i="118" s="1"/>
  <c r="M65" i="118"/>
  <c r="D295" i="118"/>
  <c r="D525" i="118" s="1"/>
  <c r="D755" i="118" s="1"/>
  <c r="D985" i="118" s="1"/>
  <c r="D1215" i="118" s="1"/>
  <c r="D1445" i="118" s="1"/>
  <c r="D1675" i="118" s="1"/>
  <c r="C295" i="118"/>
  <c r="C525" i="118" s="1"/>
  <c r="C755" i="118" s="1"/>
  <c r="C985" i="118" s="1"/>
  <c r="C1215" i="118" s="1"/>
  <c r="C1445" i="118" s="1"/>
  <c r="C1675" i="118" s="1"/>
  <c r="B295" i="118"/>
  <c r="B525" i="118" s="1"/>
  <c r="B755" i="118" s="1"/>
  <c r="B985" i="118" s="1"/>
  <c r="B1215" i="118" s="1"/>
  <c r="B1445" i="118" s="1"/>
  <c r="B1675" i="118" s="1"/>
  <c r="A295" i="118"/>
  <c r="A525" i="118" s="1"/>
  <c r="A755" i="118" s="1"/>
  <c r="A985" i="118" s="1"/>
  <c r="A1215" i="118" s="1"/>
  <c r="A1445" i="118" s="1"/>
  <c r="A1675" i="118" s="1"/>
  <c r="M64" i="118"/>
  <c r="E294" i="118"/>
  <c r="E524" i="118" s="1"/>
  <c r="E754" i="118" s="1"/>
  <c r="E984" i="118" s="1"/>
  <c r="E1214" i="118" s="1"/>
  <c r="E1444" i="118" s="1"/>
  <c r="E1674" i="118" s="1"/>
  <c r="B294" i="118"/>
  <c r="B524" i="118" s="1"/>
  <c r="B754" i="118" s="1"/>
  <c r="B984" i="118" s="1"/>
  <c r="B1214" i="118" s="1"/>
  <c r="B1444" i="118" s="1"/>
  <c r="B1674" i="118" s="1"/>
  <c r="A294" i="118"/>
  <c r="A524" i="118" s="1"/>
  <c r="A754" i="118" s="1"/>
  <c r="A984" i="118" s="1"/>
  <c r="A1214" i="118" s="1"/>
  <c r="A1444" i="118" s="1"/>
  <c r="A1674" i="118" s="1"/>
  <c r="M63" i="118"/>
  <c r="E293" i="118"/>
  <c r="E523" i="118" s="1"/>
  <c r="E753" i="118" s="1"/>
  <c r="E983" i="118" s="1"/>
  <c r="E1213" i="118" s="1"/>
  <c r="E1443" i="118" s="1"/>
  <c r="E1673" i="118" s="1"/>
  <c r="B293" i="118"/>
  <c r="B523" i="118" s="1"/>
  <c r="B753" i="118" s="1"/>
  <c r="B983" i="118" s="1"/>
  <c r="B1213" i="118" s="1"/>
  <c r="B1443" i="118" s="1"/>
  <c r="B1673" i="118" s="1"/>
  <c r="A293" i="118"/>
  <c r="A523" i="118" s="1"/>
  <c r="A753" i="118" s="1"/>
  <c r="A983" i="118" s="1"/>
  <c r="A1213" i="118" s="1"/>
  <c r="A1443" i="118" s="1"/>
  <c r="A1673" i="118" s="1"/>
  <c r="M62" i="118"/>
  <c r="E292" i="118"/>
  <c r="E522" i="118" s="1"/>
  <c r="E752" i="118" s="1"/>
  <c r="E982" i="118" s="1"/>
  <c r="E1212" i="118" s="1"/>
  <c r="E1442" i="118" s="1"/>
  <c r="E1672" i="118" s="1"/>
  <c r="B292" i="118"/>
  <c r="B522" i="118" s="1"/>
  <c r="B752" i="118" s="1"/>
  <c r="B982" i="118" s="1"/>
  <c r="B1212" i="118" s="1"/>
  <c r="B1442" i="118" s="1"/>
  <c r="B1672" i="118" s="1"/>
  <c r="A292" i="118"/>
  <c r="A522" i="118" s="1"/>
  <c r="A752" i="118" s="1"/>
  <c r="A982" i="118" s="1"/>
  <c r="A1212" i="118" s="1"/>
  <c r="A1442" i="118" s="1"/>
  <c r="A1672" i="118" s="1"/>
  <c r="M61" i="118"/>
  <c r="D291" i="118"/>
  <c r="D521" i="118" s="1"/>
  <c r="D751" i="118" s="1"/>
  <c r="D981" i="118" s="1"/>
  <c r="D1211" i="118" s="1"/>
  <c r="D1441" i="118" s="1"/>
  <c r="D1671" i="118" s="1"/>
  <c r="C291" i="118"/>
  <c r="C521" i="118" s="1"/>
  <c r="C751" i="118" s="1"/>
  <c r="C981" i="118" s="1"/>
  <c r="C1211" i="118" s="1"/>
  <c r="C1441" i="118" s="1"/>
  <c r="C1671" i="118" s="1"/>
  <c r="B291" i="118"/>
  <c r="B521" i="118" s="1"/>
  <c r="B751" i="118" s="1"/>
  <c r="B981" i="118" s="1"/>
  <c r="B1211" i="118" s="1"/>
  <c r="B1441" i="118" s="1"/>
  <c r="B1671" i="118" s="1"/>
  <c r="A291" i="118"/>
  <c r="A521" i="118" s="1"/>
  <c r="A751" i="118" s="1"/>
  <c r="A981" i="118" s="1"/>
  <c r="A1211" i="118" s="1"/>
  <c r="A1441" i="118" s="1"/>
  <c r="A1671" i="118" s="1"/>
  <c r="M60" i="118"/>
  <c r="E290" i="118"/>
  <c r="E520" i="118" s="1"/>
  <c r="E750" i="118" s="1"/>
  <c r="E980" i="118" s="1"/>
  <c r="E1210" i="118" s="1"/>
  <c r="E1440" i="118" s="1"/>
  <c r="E1670" i="118" s="1"/>
  <c r="B290" i="118"/>
  <c r="B520" i="118" s="1"/>
  <c r="B750" i="118" s="1"/>
  <c r="B980" i="118" s="1"/>
  <c r="B1210" i="118" s="1"/>
  <c r="B1440" i="118" s="1"/>
  <c r="B1670" i="118" s="1"/>
  <c r="A290" i="118"/>
  <c r="A520" i="118" s="1"/>
  <c r="A750" i="118" s="1"/>
  <c r="A980" i="118" s="1"/>
  <c r="A1210" i="118" s="1"/>
  <c r="A1440" i="118" s="1"/>
  <c r="A1670" i="118" s="1"/>
  <c r="M59" i="118"/>
  <c r="D289" i="118"/>
  <c r="D519" i="118" s="1"/>
  <c r="D749" i="118" s="1"/>
  <c r="D979" i="118" s="1"/>
  <c r="D1209" i="118" s="1"/>
  <c r="D1439" i="118" s="1"/>
  <c r="D1669" i="118" s="1"/>
  <c r="C289" i="118"/>
  <c r="C519" i="118" s="1"/>
  <c r="C749" i="118" s="1"/>
  <c r="C979" i="118" s="1"/>
  <c r="C1209" i="118" s="1"/>
  <c r="C1439" i="118" s="1"/>
  <c r="C1669" i="118" s="1"/>
  <c r="B289" i="118"/>
  <c r="B519" i="118" s="1"/>
  <c r="B749" i="118" s="1"/>
  <c r="B979" i="118" s="1"/>
  <c r="B1209" i="118" s="1"/>
  <c r="B1439" i="118" s="1"/>
  <c r="B1669" i="118" s="1"/>
  <c r="A289" i="118"/>
  <c r="A519" i="118" s="1"/>
  <c r="A749" i="118" s="1"/>
  <c r="A979" i="118" s="1"/>
  <c r="A1209" i="118" s="1"/>
  <c r="A1439" i="118" s="1"/>
  <c r="A1669" i="118" s="1"/>
  <c r="M58" i="118"/>
  <c r="E288" i="118"/>
  <c r="E518" i="118" s="1"/>
  <c r="E748" i="118" s="1"/>
  <c r="E978" i="118" s="1"/>
  <c r="E1208" i="118" s="1"/>
  <c r="E1438" i="118" s="1"/>
  <c r="E1668" i="118" s="1"/>
  <c r="B288" i="118"/>
  <c r="B518" i="118" s="1"/>
  <c r="B748" i="118" s="1"/>
  <c r="B978" i="118" s="1"/>
  <c r="B1208" i="118" s="1"/>
  <c r="B1438" i="118" s="1"/>
  <c r="B1668" i="118" s="1"/>
  <c r="A288" i="118"/>
  <c r="A518" i="118" s="1"/>
  <c r="A748" i="118" s="1"/>
  <c r="A978" i="118" s="1"/>
  <c r="A1208" i="118" s="1"/>
  <c r="A1438" i="118" s="1"/>
  <c r="A1668" i="118" s="1"/>
  <c r="M57" i="118"/>
  <c r="D287" i="118"/>
  <c r="D517" i="118" s="1"/>
  <c r="D747" i="118" s="1"/>
  <c r="D977" i="118" s="1"/>
  <c r="D1207" i="118" s="1"/>
  <c r="D1437" i="118" s="1"/>
  <c r="D1667" i="118" s="1"/>
  <c r="C287" i="118"/>
  <c r="C517" i="118" s="1"/>
  <c r="C747" i="118" s="1"/>
  <c r="C977" i="118" s="1"/>
  <c r="C1207" i="118" s="1"/>
  <c r="C1437" i="118" s="1"/>
  <c r="C1667" i="118" s="1"/>
  <c r="B287" i="118"/>
  <c r="B517" i="118" s="1"/>
  <c r="B747" i="118" s="1"/>
  <c r="B977" i="118" s="1"/>
  <c r="B1207" i="118" s="1"/>
  <c r="B1437" i="118" s="1"/>
  <c r="B1667" i="118" s="1"/>
  <c r="A287" i="118"/>
  <c r="A517" i="118" s="1"/>
  <c r="A747" i="118" s="1"/>
  <c r="A977" i="118" s="1"/>
  <c r="A1207" i="118" s="1"/>
  <c r="A1437" i="118" s="1"/>
  <c r="A1667" i="118" s="1"/>
  <c r="M56" i="118"/>
  <c r="E286" i="118"/>
  <c r="E516" i="118" s="1"/>
  <c r="E746" i="118" s="1"/>
  <c r="E976" i="118" s="1"/>
  <c r="E1206" i="118" s="1"/>
  <c r="E1436" i="118" s="1"/>
  <c r="E1666" i="118" s="1"/>
  <c r="B286" i="118"/>
  <c r="B516" i="118" s="1"/>
  <c r="B746" i="118" s="1"/>
  <c r="B976" i="118" s="1"/>
  <c r="B1206" i="118" s="1"/>
  <c r="B1436" i="118" s="1"/>
  <c r="B1666" i="118" s="1"/>
  <c r="A286" i="118"/>
  <c r="A516" i="118" s="1"/>
  <c r="A746" i="118" s="1"/>
  <c r="A976" i="118" s="1"/>
  <c r="A1206" i="118" s="1"/>
  <c r="A1436" i="118" s="1"/>
  <c r="A1666" i="118" s="1"/>
  <c r="M55" i="118"/>
  <c r="E285" i="118"/>
  <c r="E515" i="118" s="1"/>
  <c r="E745" i="118" s="1"/>
  <c r="E975" i="118" s="1"/>
  <c r="E1205" i="118" s="1"/>
  <c r="E1435" i="118" s="1"/>
  <c r="E1665" i="118" s="1"/>
  <c r="B285" i="118"/>
  <c r="B515" i="118" s="1"/>
  <c r="B745" i="118" s="1"/>
  <c r="B975" i="118" s="1"/>
  <c r="B1205" i="118" s="1"/>
  <c r="B1435" i="118" s="1"/>
  <c r="B1665" i="118" s="1"/>
  <c r="A285" i="118"/>
  <c r="A515" i="118" s="1"/>
  <c r="A745" i="118" s="1"/>
  <c r="A975" i="118" s="1"/>
  <c r="A1205" i="118" s="1"/>
  <c r="A1435" i="118" s="1"/>
  <c r="A1665" i="118" s="1"/>
  <c r="M54" i="118"/>
  <c r="E284" i="118"/>
  <c r="E514" i="118" s="1"/>
  <c r="E744" i="118" s="1"/>
  <c r="E974" i="118" s="1"/>
  <c r="E1204" i="118" s="1"/>
  <c r="E1434" i="118" s="1"/>
  <c r="E1664" i="118" s="1"/>
  <c r="B284" i="118"/>
  <c r="B514" i="118" s="1"/>
  <c r="B744" i="118" s="1"/>
  <c r="B974" i="118" s="1"/>
  <c r="B1204" i="118" s="1"/>
  <c r="B1434" i="118" s="1"/>
  <c r="B1664" i="118" s="1"/>
  <c r="A284" i="118"/>
  <c r="A514" i="118" s="1"/>
  <c r="A744" i="118" s="1"/>
  <c r="A974" i="118" s="1"/>
  <c r="A1204" i="118" s="1"/>
  <c r="A1434" i="118" s="1"/>
  <c r="A1664" i="118" s="1"/>
  <c r="M53" i="118"/>
  <c r="E283" i="118"/>
  <c r="E513" i="118" s="1"/>
  <c r="E743" i="118" s="1"/>
  <c r="E973" i="118" s="1"/>
  <c r="E1203" i="118" s="1"/>
  <c r="E1433" i="118" s="1"/>
  <c r="E1663" i="118" s="1"/>
  <c r="B283" i="118"/>
  <c r="B513" i="118" s="1"/>
  <c r="B743" i="118" s="1"/>
  <c r="B973" i="118" s="1"/>
  <c r="B1203" i="118" s="1"/>
  <c r="B1433" i="118" s="1"/>
  <c r="B1663" i="118" s="1"/>
  <c r="A283" i="118"/>
  <c r="A513" i="118" s="1"/>
  <c r="A743" i="118" s="1"/>
  <c r="A973" i="118" s="1"/>
  <c r="A1203" i="118" s="1"/>
  <c r="A1433" i="118" s="1"/>
  <c r="A1663" i="118" s="1"/>
  <c r="M52" i="118"/>
  <c r="E282" i="118"/>
  <c r="E512" i="118" s="1"/>
  <c r="E742" i="118" s="1"/>
  <c r="E972" i="118" s="1"/>
  <c r="E1202" i="118" s="1"/>
  <c r="E1432" i="118" s="1"/>
  <c r="E1662" i="118" s="1"/>
  <c r="B282" i="118"/>
  <c r="B512" i="118" s="1"/>
  <c r="B742" i="118" s="1"/>
  <c r="B972" i="118" s="1"/>
  <c r="B1202" i="118" s="1"/>
  <c r="B1432" i="118" s="1"/>
  <c r="B1662" i="118" s="1"/>
  <c r="A282" i="118"/>
  <c r="A512" i="118" s="1"/>
  <c r="A742" i="118" s="1"/>
  <c r="A972" i="118" s="1"/>
  <c r="A1202" i="118" s="1"/>
  <c r="A1432" i="118" s="1"/>
  <c r="A1662" i="118" s="1"/>
  <c r="M51" i="118"/>
  <c r="E281" i="118"/>
  <c r="E511" i="118" s="1"/>
  <c r="E741" i="118" s="1"/>
  <c r="E971" i="118" s="1"/>
  <c r="E1201" i="118" s="1"/>
  <c r="E1431" i="118" s="1"/>
  <c r="E1661" i="118" s="1"/>
  <c r="B281" i="118"/>
  <c r="B511" i="118" s="1"/>
  <c r="B741" i="118" s="1"/>
  <c r="B971" i="118" s="1"/>
  <c r="B1201" i="118" s="1"/>
  <c r="B1431" i="118" s="1"/>
  <c r="B1661" i="118" s="1"/>
  <c r="A281" i="118"/>
  <c r="A511" i="118" s="1"/>
  <c r="A741" i="118" s="1"/>
  <c r="A971" i="118" s="1"/>
  <c r="A1201" i="118" s="1"/>
  <c r="A1431" i="118" s="1"/>
  <c r="A1661" i="118" s="1"/>
  <c r="O50" i="118"/>
  <c r="M50" i="118"/>
  <c r="D280" i="118"/>
  <c r="D510" i="118" s="1"/>
  <c r="D740" i="118" s="1"/>
  <c r="D970" i="118" s="1"/>
  <c r="D1200" i="118" s="1"/>
  <c r="D1430" i="118" s="1"/>
  <c r="D1660" i="118" s="1"/>
  <c r="C280" i="118"/>
  <c r="C510" i="118" s="1"/>
  <c r="C740" i="118" s="1"/>
  <c r="C970" i="118" s="1"/>
  <c r="C1200" i="118" s="1"/>
  <c r="C1430" i="118" s="1"/>
  <c r="C1660" i="118" s="1"/>
  <c r="B280" i="118"/>
  <c r="B510" i="118" s="1"/>
  <c r="B740" i="118" s="1"/>
  <c r="B970" i="118" s="1"/>
  <c r="B1200" i="118" s="1"/>
  <c r="B1430" i="118" s="1"/>
  <c r="B1660" i="118" s="1"/>
  <c r="A280" i="118"/>
  <c r="A510" i="118" s="1"/>
  <c r="A740" i="118" s="1"/>
  <c r="A970" i="118" s="1"/>
  <c r="A1200" i="118" s="1"/>
  <c r="A1430" i="118" s="1"/>
  <c r="A1660" i="118" s="1"/>
  <c r="M49" i="118"/>
  <c r="E279" i="118"/>
  <c r="E509" i="118" s="1"/>
  <c r="E739" i="118" s="1"/>
  <c r="E969" i="118" s="1"/>
  <c r="E1199" i="118" s="1"/>
  <c r="E1429" i="118" s="1"/>
  <c r="E1659" i="118" s="1"/>
  <c r="B279" i="118"/>
  <c r="B509" i="118" s="1"/>
  <c r="B739" i="118" s="1"/>
  <c r="B969" i="118" s="1"/>
  <c r="B1199" i="118" s="1"/>
  <c r="B1429" i="118" s="1"/>
  <c r="B1659" i="118" s="1"/>
  <c r="A279" i="118"/>
  <c r="A509" i="118" s="1"/>
  <c r="A739" i="118" s="1"/>
  <c r="A969" i="118" s="1"/>
  <c r="A1199" i="118" s="1"/>
  <c r="A1429" i="118" s="1"/>
  <c r="A1659" i="118" s="1"/>
  <c r="M48" i="118"/>
  <c r="E278" i="118"/>
  <c r="E508" i="118" s="1"/>
  <c r="E738" i="118" s="1"/>
  <c r="E968" i="118" s="1"/>
  <c r="E1198" i="118" s="1"/>
  <c r="E1428" i="118" s="1"/>
  <c r="E1658" i="118" s="1"/>
  <c r="B278" i="118"/>
  <c r="B508" i="118" s="1"/>
  <c r="B738" i="118" s="1"/>
  <c r="B968" i="118" s="1"/>
  <c r="B1198" i="118" s="1"/>
  <c r="B1428" i="118" s="1"/>
  <c r="B1658" i="118" s="1"/>
  <c r="A278" i="118"/>
  <c r="A508" i="118" s="1"/>
  <c r="A738" i="118" s="1"/>
  <c r="A968" i="118" s="1"/>
  <c r="A1198" i="118" s="1"/>
  <c r="A1428" i="118" s="1"/>
  <c r="A1658" i="118" s="1"/>
  <c r="M47" i="118"/>
  <c r="E277" i="118"/>
  <c r="E507" i="118" s="1"/>
  <c r="E737" i="118" s="1"/>
  <c r="E967" i="118" s="1"/>
  <c r="E1197" i="118" s="1"/>
  <c r="E1427" i="118" s="1"/>
  <c r="E1657" i="118" s="1"/>
  <c r="B277" i="118"/>
  <c r="B507" i="118" s="1"/>
  <c r="B737" i="118" s="1"/>
  <c r="B967" i="118" s="1"/>
  <c r="B1197" i="118" s="1"/>
  <c r="B1427" i="118" s="1"/>
  <c r="B1657" i="118" s="1"/>
  <c r="A277" i="118"/>
  <c r="A507" i="118" s="1"/>
  <c r="A737" i="118" s="1"/>
  <c r="A967" i="118" s="1"/>
  <c r="A1197" i="118" s="1"/>
  <c r="A1427" i="118" s="1"/>
  <c r="A1657" i="118" s="1"/>
  <c r="M46" i="118"/>
  <c r="D276" i="118"/>
  <c r="D506" i="118" s="1"/>
  <c r="D736" i="118" s="1"/>
  <c r="D966" i="118" s="1"/>
  <c r="D1196" i="118" s="1"/>
  <c r="D1426" i="118" s="1"/>
  <c r="D1656" i="118" s="1"/>
  <c r="C276" i="118"/>
  <c r="C506" i="118" s="1"/>
  <c r="C736" i="118" s="1"/>
  <c r="C966" i="118" s="1"/>
  <c r="C1196" i="118" s="1"/>
  <c r="C1426" i="118" s="1"/>
  <c r="C1656" i="118" s="1"/>
  <c r="B276" i="118"/>
  <c r="B506" i="118" s="1"/>
  <c r="B736" i="118" s="1"/>
  <c r="B966" i="118" s="1"/>
  <c r="B1196" i="118" s="1"/>
  <c r="B1426" i="118" s="1"/>
  <c r="B1656" i="118" s="1"/>
  <c r="A276" i="118"/>
  <c r="A506" i="118" s="1"/>
  <c r="A736" i="118" s="1"/>
  <c r="A966" i="118" s="1"/>
  <c r="A1196" i="118" s="1"/>
  <c r="A1426" i="118" s="1"/>
  <c r="A1656" i="118" s="1"/>
  <c r="M45" i="118"/>
  <c r="E275" i="118"/>
  <c r="E505" i="118" s="1"/>
  <c r="E735" i="118" s="1"/>
  <c r="E965" i="118" s="1"/>
  <c r="E1195" i="118" s="1"/>
  <c r="E1425" i="118" s="1"/>
  <c r="E1655" i="118" s="1"/>
  <c r="B275" i="118"/>
  <c r="B505" i="118" s="1"/>
  <c r="B735" i="118" s="1"/>
  <c r="B965" i="118" s="1"/>
  <c r="B1195" i="118" s="1"/>
  <c r="B1425" i="118" s="1"/>
  <c r="B1655" i="118" s="1"/>
  <c r="A275" i="118"/>
  <c r="A505" i="118" s="1"/>
  <c r="A735" i="118" s="1"/>
  <c r="A965" i="118" s="1"/>
  <c r="A1195" i="118" s="1"/>
  <c r="A1425" i="118" s="1"/>
  <c r="A1655" i="118" s="1"/>
  <c r="M44" i="118"/>
  <c r="E274" i="118"/>
  <c r="E504" i="118" s="1"/>
  <c r="E734" i="118" s="1"/>
  <c r="E964" i="118" s="1"/>
  <c r="E1194" i="118" s="1"/>
  <c r="E1424" i="118" s="1"/>
  <c r="E1654" i="118" s="1"/>
  <c r="B274" i="118"/>
  <c r="B504" i="118" s="1"/>
  <c r="B734" i="118" s="1"/>
  <c r="B964" i="118" s="1"/>
  <c r="B1194" i="118" s="1"/>
  <c r="B1424" i="118" s="1"/>
  <c r="B1654" i="118" s="1"/>
  <c r="A274" i="118"/>
  <c r="A504" i="118" s="1"/>
  <c r="A734" i="118" s="1"/>
  <c r="A964" i="118" s="1"/>
  <c r="A1194" i="118" s="1"/>
  <c r="A1424" i="118" s="1"/>
  <c r="A1654" i="118" s="1"/>
  <c r="M43" i="118"/>
  <c r="O43" i="118" s="1"/>
  <c r="P43" i="118" s="1"/>
  <c r="D273" i="118"/>
  <c r="D503" i="118" s="1"/>
  <c r="D733" i="118" s="1"/>
  <c r="D963" i="118" s="1"/>
  <c r="D1193" i="118" s="1"/>
  <c r="D1423" i="118" s="1"/>
  <c r="D1653" i="118" s="1"/>
  <c r="C273" i="118"/>
  <c r="C503" i="118" s="1"/>
  <c r="C733" i="118" s="1"/>
  <c r="C963" i="118" s="1"/>
  <c r="C1193" i="118" s="1"/>
  <c r="C1423" i="118" s="1"/>
  <c r="C1653" i="118" s="1"/>
  <c r="B273" i="118"/>
  <c r="B503" i="118" s="1"/>
  <c r="B733" i="118" s="1"/>
  <c r="B963" i="118" s="1"/>
  <c r="B1193" i="118" s="1"/>
  <c r="B1423" i="118" s="1"/>
  <c r="B1653" i="118" s="1"/>
  <c r="A273" i="118"/>
  <c r="A503" i="118" s="1"/>
  <c r="A733" i="118" s="1"/>
  <c r="A963" i="118" s="1"/>
  <c r="A1193" i="118" s="1"/>
  <c r="A1423" i="118" s="1"/>
  <c r="A1653" i="118" s="1"/>
  <c r="O42" i="118"/>
  <c r="M42" i="118"/>
  <c r="E272" i="118"/>
  <c r="E502" i="118" s="1"/>
  <c r="E732" i="118" s="1"/>
  <c r="E962" i="118" s="1"/>
  <c r="E1192" i="118" s="1"/>
  <c r="E1422" i="118" s="1"/>
  <c r="E1652" i="118" s="1"/>
  <c r="B272" i="118"/>
  <c r="B502" i="118" s="1"/>
  <c r="B732" i="118" s="1"/>
  <c r="B962" i="118" s="1"/>
  <c r="B1192" i="118" s="1"/>
  <c r="B1422" i="118" s="1"/>
  <c r="B1652" i="118" s="1"/>
  <c r="A272" i="118"/>
  <c r="A502" i="118" s="1"/>
  <c r="A732" i="118" s="1"/>
  <c r="A962" i="118" s="1"/>
  <c r="A1192" i="118" s="1"/>
  <c r="A1422" i="118" s="1"/>
  <c r="A1652" i="118" s="1"/>
  <c r="M41" i="118"/>
  <c r="E271" i="118"/>
  <c r="E501" i="118" s="1"/>
  <c r="E731" i="118" s="1"/>
  <c r="E961" i="118" s="1"/>
  <c r="E1191" i="118" s="1"/>
  <c r="E1421" i="118" s="1"/>
  <c r="E1651" i="118" s="1"/>
  <c r="B271" i="118"/>
  <c r="B501" i="118" s="1"/>
  <c r="B731" i="118" s="1"/>
  <c r="B961" i="118" s="1"/>
  <c r="B1191" i="118" s="1"/>
  <c r="B1421" i="118" s="1"/>
  <c r="B1651" i="118" s="1"/>
  <c r="A271" i="118"/>
  <c r="A501" i="118" s="1"/>
  <c r="A731" i="118" s="1"/>
  <c r="A961" i="118" s="1"/>
  <c r="A1191" i="118" s="1"/>
  <c r="A1421" i="118" s="1"/>
  <c r="A1651" i="118" s="1"/>
  <c r="M40" i="118"/>
  <c r="D270" i="118"/>
  <c r="D500" i="118" s="1"/>
  <c r="D730" i="118" s="1"/>
  <c r="D960" i="118" s="1"/>
  <c r="D1190" i="118" s="1"/>
  <c r="D1420" i="118" s="1"/>
  <c r="D1650" i="118" s="1"/>
  <c r="C270" i="118"/>
  <c r="C500" i="118" s="1"/>
  <c r="C730" i="118" s="1"/>
  <c r="C960" i="118" s="1"/>
  <c r="C1190" i="118" s="1"/>
  <c r="C1420" i="118" s="1"/>
  <c r="C1650" i="118" s="1"/>
  <c r="B270" i="118"/>
  <c r="B500" i="118" s="1"/>
  <c r="B730" i="118" s="1"/>
  <c r="B960" i="118" s="1"/>
  <c r="B1190" i="118" s="1"/>
  <c r="B1420" i="118" s="1"/>
  <c r="B1650" i="118" s="1"/>
  <c r="A270" i="118"/>
  <c r="A500" i="118" s="1"/>
  <c r="A730" i="118" s="1"/>
  <c r="A960" i="118" s="1"/>
  <c r="A1190" i="118" s="1"/>
  <c r="A1420" i="118" s="1"/>
  <c r="A1650" i="118" s="1"/>
  <c r="M39" i="118"/>
  <c r="O39" i="118" s="1"/>
  <c r="P39" i="118" s="1"/>
  <c r="E269" i="118"/>
  <c r="E499" i="118" s="1"/>
  <c r="E729" i="118" s="1"/>
  <c r="E959" i="118" s="1"/>
  <c r="E1189" i="118" s="1"/>
  <c r="E1419" i="118" s="1"/>
  <c r="E1649" i="118" s="1"/>
  <c r="B269" i="118"/>
  <c r="B499" i="118" s="1"/>
  <c r="B729" i="118" s="1"/>
  <c r="B959" i="118" s="1"/>
  <c r="B1189" i="118" s="1"/>
  <c r="B1419" i="118" s="1"/>
  <c r="B1649" i="118" s="1"/>
  <c r="A269" i="118"/>
  <c r="A499" i="118" s="1"/>
  <c r="A729" i="118" s="1"/>
  <c r="A959" i="118" s="1"/>
  <c r="A1189" i="118" s="1"/>
  <c r="A1419" i="118" s="1"/>
  <c r="A1649" i="118" s="1"/>
  <c r="M38" i="118"/>
  <c r="E268" i="118"/>
  <c r="E498" i="118" s="1"/>
  <c r="E728" i="118" s="1"/>
  <c r="E958" i="118" s="1"/>
  <c r="E1188" i="118" s="1"/>
  <c r="E1418" i="118" s="1"/>
  <c r="E1648" i="118" s="1"/>
  <c r="B268" i="118"/>
  <c r="B498" i="118" s="1"/>
  <c r="B728" i="118" s="1"/>
  <c r="B958" i="118" s="1"/>
  <c r="B1188" i="118" s="1"/>
  <c r="B1418" i="118" s="1"/>
  <c r="B1648" i="118" s="1"/>
  <c r="A268" i="118"/>
  <c r="A498" i="118" s="1"/>
  <c r="A728" i="118" s="1"/>
  <c r="A958" i="118" s="1"/>
  <c r="A1188" i="118" s="1"/>
  <c r="A1418" i="118" s="1"/>
  <c r="A1648" i="118" s="1"/>
  <c r="M37" i="118"/>
  <c r="E267" i="118"/>
  <c r="E497" i="118" s="1"/>
  <c r="E727" i="118" s="1"/>
  <c r="E957" i="118" s="1"/>
  <c r="E1187" i="118" s="1"/>
  <c r="E1417" i="118" s="1"/>
  <c r="E1647" i="118" s="1"/>
  <c r="B267" i="118"/>
  <c r="B497" i="118" s="1"/>
  <c r="B727" i="118" s="1"/>
  <c r="B957" i="118" s="1"/>
  <c r="B1187" i="118" s="1"/>
  <c r="B1417" i="118" s="1"/>
  <c r="B1647" i="118" s="1"/>
  <c r="A267" i="118"/>
  <c r="A497" i="118" s="1"/>
  <c r="A727" i="118" s="1"/>
  <c r="A957" i="118" s="1"/>
  <c r="A1187" i="118" s="1"/>
  <c r="A1417" i="118" s="1"/>
  <c r="A1647" i="118" s="1"/>
  <c r="M36" i="118"/>
  <c r="E266" i="118"/>
  <c r="E496" i="118" s="1"/>
  <c r="E726" i="118" s="1"/>
  <c r="E956" i="118" s="1"/>
  <c r="E1186" i="118" s="1"/>
  <c r="E1416" i="118" s="1"/>
  <c r="E1646" i="118" s="1"/>
  <c r="B266" i="118"/>
  <c r="B496" i="118" s="1"/>
  <c r="B726" i="118" s="1"/>
  <c r="B956" i="118" s="1"/>
  <c r="B1186" i="118" s="1"/>
  <c r="B1416" i="118" s="1"/>
  <c r="B1646" i="118" s="1"/>
  <c r="A266" i="118"/>
  <c r="A496" i="118" s="1"/>
  <c r="A726" i="118" s="1"/>
  <c r="A956" i="118" s="1"/>
  <c r="A1186" i="118" s="1"/>
  <c r="A1416" i="118" s="1"/>
  <c r="A1646" i="118" s="1"/>
  <c r="M35" i="118"/>
  <c r="O35" i="118" s="1"/>
  <c r="P35" i="118" s="1"/>
  <c r="D265" i="118"/>
  <c r="D495" i="118" s="1"/>
  <c r="D725" i="118" s="1"/>
  <c r="D955" i="118" s="1"/>
  <c r="D1185" i="118" s="1"/>
  <c r="D1415" i="118" s="1"/>
  <c r="D1645" i="118" s="1"/>
  <c r="C265" i="118"/>
  <c r="C495" i="118" s="1"/>
  <c r="C725" i="118" s="1"/>
  <c r="C955" i="118" s="1"/>
  <c r="C1185" i="118" s="1"/>
  <c r="C1415" i="118" s="1"/>
  <c r="C1645" i="118" s="1"/>
  <c r="B265" i="118"/>
  <c r="B495" i="118" s="1"/>
  <c r="B725" i="118" s="1"/>
  <c r="B955" i="118" s="1"/>
  <c r="B1185" i="118" s="1"/>
  <c r="B1415" i="118" s="1"/>
  <c r="B1645" i="118" s="1"/>
  <c r="A265" i="118"/>
  <c r="A495" i="118" s="1"/>
  <c r="A725" i="118" s="1"/>
  <c r="A955" i="118" s="1"/>
  <c r="A1185" i="118" s="1"/>
  <c r="A1415" i="118" s="1"/>
  <c r="A1645" i="118" s="1"/>
  <c r="O34" i="118"/>
  <c r="M34" i="118"/>
  <c r="E264" i="118"/>
  <c r="E494" i="118" s="1"/>
  <c r="E724" i="118" s="1"/>
  <c r="E954" i="118" s="1"/>
  <c r="E1184" i="118" s="1"/>
  <c r="E1414" i="118" s="1"/>
  <c r="E1644" i="118" s="1"/>
  <c r="B264" i="118"/>
  <c r="B494" i="118" s="1"/>
  <c r="B724" i="118" s="1"/>
  <c r="B954" i="118" s="1"/>
  <c r="B1184" i="118" s="1"/>
  <c r="B1414" i="118" s="1"/>
  <c r="B1644" i="118" s="1"/>
  <c r="A264" i="118"/>
  <c r="A494" i="118" s="1"/>
  <c r="A724" i="118" s="1"/>
  <c r="A954" i="118" s="1"/>
  <c r="A1184" i="118" s="1"/>
  <c r="A1414" i="118" s="1"/>
  <c r="A1644" i="118" s="1"/>
  <c r="M33" i="118"/>
  <c r="E263" i="118"/>
  <c r="E493" i="118" s="1"/>
  <c r="E723" i="118" s="1"/>
  <c r="E953" i="118" s="1"/>
  <c r="E1183" i="118" s="1"/>
  <c r="E1413" i="118" s="1"/>
  <c r="E1643" i="118" s="1"/>
  <c r="B263" i="118"/>
  <c r="B493" i="118" s="1"/>
  <c r="B723" i="118" s="1"/>
  <c r="B953" i="118" s="1"/>
  <c r="B1183" i="118" s="1"/>
  <c r="B1413" i="118" s="1"/>
  <c r="B1643" i="118" s="1"/>
  <c r="A263" i="118"/>
  <c r="A493" i="118" s="1"/>
  <c r="A723" i="118" s="1"/>
  <c r="A953" i="118" s="1"/>
  <c r="A1183" i="118" s="1"/>
  <c r="A1413" i="118" s="1"/>
  <c r="A1643" i="118" s="1"/>
  <c r="M32" i="118"/>
  <c r="E262" i="118"/>
  <c r="E492" i="118" s="1"/>
  <c r="E722" i="118" s="1"/>
  <c r="E952" i="118" s="1"/>
  <c r="E1182" i="118" s="1"/>
  <c r="E1412" i="118" s="1"/>
  <c r="E1642" i="118" s="1"/>
  <c r="B262" i="118"/>
  <c r="B492" i="118" s="1"/>
  <c r="B722" i="118" s="1"/>
  <c r="B952" i="118" s="1"/>
  <c r="B1182" i="118" s="1"/>
  <c r="B1412" i="118" s="1"/>
  <c r="B1642" i="118" s="1"/>
  <c r="A262" i="118"/>
  <c r="A492" i="118" s="1"/>
  <c r="A722" i="118" s="1"/>
  <c r="A952" i="118" s="1"/>
  <c r="A1182" i="118" s="1"/>
  <c r="A1412" i="118" s="1"/>
  <c r="A1642" i="118" s="1"/>
  <c r="M31" i="118"/>
  <c r="O31" i="118" s="1"/>
  <c r="P31" i="118" s="1"/>
  <c r="E261" i="118"/>
  <c r="E491" i="118" s="1"/>
  <c r="E721" i="118" s="1"/>
  <c r="E951" i="118" s="1"/>
  <c r="E1181" i="118" s="1"/>
  <c r="E1411" i="118" s="1"/>
  <c r="E1641" i="118" s="1"/>
  <c r="B261" i="118"/>
  <c r="B491" i="118" s="1"/>
  <c r="B721" i="118" s="1"/>
  <c r="B951" i="118" s="1"/>
  <c r="B1181" i="118" s="1"/>
  <c r="B1411" i="118" s="1"/>
  <c r="B1641" i="118" s="1"/>
  <c r="A261" i="118"/>
  <c r="A491" i="118" s="1"/>
  <c r="A721" i="118" s="1"/>
  <c r="A951" i="118" s="1"/>
  <c r="A1181" i="118" s="1"/>
  <c r="A1411" i="118" s="1"/>
  <c r="A1641" i="118" s="1"/>
  <c r="M30" i="118"/>
  <c r="O30" i="118" s="1"/>
  <c r="D260" i="118"/>
  <c r="D490" i="118" s="1"/>
  <c r="D720" i="118" s="1"/>
  <c r="D950" i="118" s="1"/>
  <c r="D1180" i="118" s="1"/>
  <c r="D1410" i="118" s="1"/>
  <c r="D1640" i="118" s="1"/>
  <c r="C260" i="118"/>
  <c r="C490" i="118" s="1"/>
  <c r="C720" i="118" s="1"/>
  <c r="C950" i="118" s="1"/>
  <c r="C1180" i="118" s="1"/>
  <c r="C1410" i="118" s="1"/>
  <c r="C1640" i="118" s="1"/>
  <c r="B260" i="118"/>
  <c r="B490" i="118" s="1"/>
  <c r="B720" i="118" s="1"/>
  <c r="B950" i="118" s="1"/>
  <c r="B1180" i="118" s="1"/>
  <c r="B1410" i="118" s="1"/>
  <c r="B1640" i="118" s="1"/>
  <c r="A260" i="118"/>
  <c r="A490" i="118" s="1"/>
  <c r="A720" i="118" s="1"/>
  <c r="A950" i="118" s="1"/>
  <c r="A1180" i="118" s="1"/>
  <c r="A1410" i="118" s="1"/>
  <c r="A1640" i="118" s="1"/>
  <c r="M29" i="118"/>
  <c r="E259" i="118"/>
  <c r="E489" i="118" s="1"/>
  <c r="E719" i="118" s="1"/>
  <c r="E949" i="118" s="1"/>
  <c r="E1179" i="118" s="1"/>
  <c r="E1409" i="118" s="1"/>
  <c r="E1639" i="118" s="1"/>
  <c r="B259" i="118"/>
  <c r="B489" i="118" s="1"/>
  <c r="B719" i="118" s="1"/>
  <c r="B949" i="118" s="1"/>
  <c r="B1179" i="118" s="1"/>
  <c r="B1409" i="118" s="1"/>
  <c r="B1639" i="118" s="1"/>
  <c r="A259" i="118"/>
  <c r="A489" i="118" s="1"/>
  <c r="A719" i="118" s="1"/>
  <c r="A949" i="118" s="1"/>
  <c r="A1179" i="118" s="1"/>
  <c r="A1409" i="118" s="1"/>
  <c r="A1639" i="118" s="1"/>
  <c r="M28" i="118"/>
  <c r="E258" i="118"/>
  <c r="E488" i="118" s="1"/>
  <c r="E718" i="118" s="1"/>
  <c r="E948" i="118" s="1"/>
  <c r="E1178" i="118" s="1"/>
  <c r="E1408" i="118" s="1"/>
  <c r="E1638" i="118" s="1"/>
  <c r="B258" i="118"/>
  <c r="B488" i="118" s="1"/>
  <c r="B718" i="118" s="1"/>
  <c r="B948" i="118" s="1"/>
  <c r="B1178" i="118" s="1"/>
  <c r="B1408" i="118" s="1"/>
  <c r="B1638" i="118" s="1"/>
  <c r="A258" i="118"/>
  <c r="A488" i="118" s="1"/>
  <c r="A718" i="118" s="1"/>
  <c r="A948" i="118" s="1"/>
  <c r="A1178" i="118" s="1"/>
  <c r="A1408" i="118" s="1"/>
  <c r="A1638" i="118" s="1"/>
  <c r="M27" i="118"/>
  <c r="O27" i="118" s="1"/>
  <c r="P27" i="118" s="1"/>
  <c r="E257" i="118"/>
  <c r="E487" i="118" s="1"/>
  <c r="E717" i="118" s="1"/>
  <c r="E947" i="118" s="1"/>
  <c r="E1177" i="118" s="1"/>
  <c r="E1407" i="118" s="1"/>
  <c r="E1637" i="118" s="1"/>
  <c r="B257" i="118"/>
  <c r="B487" i="118" s="1"/>
  <c r="B717" i="118" s="1"/>
  <c r="B947" i="118" s="1"/>
  <c r="B1177" i="118" s="1"/>
  <c r="B1407" i="118" s="1"/>
  <c r="B1637" i="118" s="1"/>
  <c r="A257" i="118"/>
  <c r="A487" i="118" s="1"/>
  <c r="A717" i="118" s="1"/>
  <c r="A947" i="118" s="1"/>
  <c r="A1177" i="118" s="1"/>
  <c r="A1407" i="118" s="1"/>
  <c r="A1637" i="118" s="1"/>
  <c r="M26" i="118"/>
  <c r="E256" i="118"/>
  <c r="E486" i="118" s="1"/>
  <c r="E716" i="118" s="1"/>
  <c r="E946" i="118" s="1"/>
  <c r="E1176" i="118" s="1"/>
  <c r="E1406" i="118" s="1"/>
  <c r="E1636" i="118" s="1"/>
  <c r="B256" i="118"/>
  <c r="B486" i="118" s="1"/>
  <c r="B716" i="118" s="1"/>
  <c r="B946" i="118" s="1"/>
  <c r="B1176" i="118" s="1"/>
  <c r="B1406" i="118" s="1"/>
  <c r="B1636" i="118" s="1"/>
  <c r="A256" i="118"/>
  <c r="A486" i="118" s="1"/>
  <c r="A716" i="118" s="1"/>
  <c r="A946" i="118" s="1"/>
  <c r="A1176" i="118" s="1"/>
  <c r="A1406" i="118" s="1"/>
  <c r="A1636" i="118" s="1"/>
  <c r="M25" i="118"/>
  <c r="E255" i="118"/>
  <c r="E485" i="118" s="1"/>
  <c r="E715" i="118" s="1"/>
  <c r="E945" i="118" s="1"/>
  <c r="E1175" i="118" s="1"/>
  <c r="E1405" i="118" s="1"/>
  <c r="E1635" i="118" s="1"/>
  <c r="B255" i="118"/>
  <c r="B485" i="118" s="1"/>
  <c r="B715" i="118" s="1"/>
  <c r="B945" i="118" s="1"/>
  <c r="B1175" i="118" s="1"/>
  <c r="B1405" i="118" s="1"/>
  <c r="B1635" i="118" s="1"/>
  <c r="A255" i="118"/>
  <c r="A485" i="118" s="1"/>
  <c r="A715" i="118" s="1"/>
  <c r="A945" i="118" s="1"/>
  <c r="A1175" i="118" s="1"/>
  <c r="A1405" i="118" s="1"/>
  <c r="A1635" i="118" s="1"/>
  <c r="M24" i="118"/>
  <c r="E254" i="118"/>
  <c r="E484" i="118" s="1"/>
  <c r="E714" i="118" s="1"/>
  <c r="E944" i="118" s="1"/>
  <c r="E1174" i="118" s="1"/>
  <c r="E1404" i="118" s="1"/>
  <c r="E1634" i="118" s="1"/>
  <c r="B254" i="118"/>
  <c r="B484" i="118" s="1"/>
  <c r="B714" i="118" s="1"/>
  <c r="B944" i="118" s="1"/>
  <c r="B1174" i="118" s="1"/>
  <c r="B1404" i="118" s="1"/>
  <c r="B1634" i="118" s="1"/>
  <c r="A254" i="118"/>
  <c r="A484" i="118" s="1"/>
  <c r="A714" i="118" s="1"/>
  <c r="A944" i="118" s="1"/>
  <c r="A1174" i="118" s="1"/>
  <c r="A1404" i="118" s="1"/>
  <c r="A1634" i="118" s="1"/>
  <c r="M23" i="118"/>
  <c r="O23" i="118" s="1"/>
  <c r="P23" i="118" s="1"/>
  <c r="D253" i="118"/>
  <c r="D483" i="118" s="1"/>
  <c r="D713" i="118" s="1"/>
  <c r="D943" i="118" s="1"/>
  <c r="D1173" i="118" s="1"/>
  <c r="D1403" i="118" s="1"/>
  <c r="D1633" i="118" s="1"/>
  <c r="C253" i="118"/>
  <c r="C483" i="118" s="1"/>
  <c r="C713" i="118" s="1"/>
  <c r="C943" i="118" s="1"/>
  <c r="C1173" i="118" s="1"/>
  <c r="C1403" i="118" s="1"/>
  <c r="C1633" i="118" s="1"/>
  <c r="B253" i="118"/>
  <c r="B483" i="118" s="1"/>
  <c r="B713" i="118" s="1"/>
  <c r="B943" i="118" s="1"/>
  <c r="B1173" i="118" s="1"/>
  <c r="B1403" i="118" s="1"/>
  <c r="B1633" i="118" s="1"/>
  <c r="A253" i="118"/>
  <c r="A483" i="118" s="1"/>
  <c r="A713" i="118" s="1"/>
  <c r="A943" i="118" s="1"/>
  <c r="A1173" i="118" s="1"/>
  <c r="A1403" i="118" s="1"/>
  <c r="A1633" i="118" s="1"/>
  <c r="M22" i="118"/>
  <c r="E252" i="118"/>
  <c r="E482" i="118" s="1"/>
  <c r="E712" i="118" s="1"/>
  <c r="E942" i="118" s="1"/>
  <c r="E1172" i="118" s="1"/>
  <c r="E1402" i="118" s="1"/>
  <c r="E1632" i="118" s="1"/>
  <c r="B252" i="118"/>
  <c r="B482" i="118" s="1"/>
  <c r="B712" i="118" s="1"/>
  <c r="B942" i="118" s="1"/>
  <c r="B1172" i="118" s="1"/>
  <c r="B1402" i="118" s="1"/>
  <c r="B1632" i="118" s="1"/>
  <c r="A252" i="118"/>
  <c r="A482" i="118" s="1"/>
  <c r="A712" i="118" s="1"/>
  <c r="A942" i="118" s="1"/>
  <c r="A1172" i="118" s="1"/>
  <c r="A1402" i="118" s="1"/>
  <c r="A1632" i="118" s="1"/>
  <c r="M21" i="118"/>
  <c r="D251" i="118"/>
  <c r="D481" i="118" s="1"/>
  <c r="D711" i="118" s="1"/>
  <c r="D941" i="118" s="1"/>
  <c r="D1171" i="118" s="1"/>
  <c r="D1401" i="118" s="1"/>
  <c r="D1631" i="118" s="1"/>
  <c r="C251" i="118"/>
  <c r="C481" i="118" s="1"/>
  <c r="C711" i="118" s="1"/>
  <c r="C941" i="118" s="1"/>
  <c r="C1171" i="118" s="1"/>
  <c r="C1401" i="118" s="1"/>
  <c r="C1631" i="118" s="1"/>
  <c r="B251" i="118"/>
  <c r="B481" i="118" s="1"/>
  <c r="B711" i="118" s="1"/>
  <c r="B941" i="118" s="1"/>
  <c r="B1171" i="118" s="1"/>
  <c r="B1401" i="118" s="1"/>
  <c r="B1631" i="118" s="1"/>
  <c r="A251" i="118"/>
  <c r="A481" i="118" s="1"/>
  <c r="A711" i="118" s="1"/>
  <c r="A941" i="118" s="1"/>
  <c r="A1171" i="118" s="1"/>
  <c r="A1401" i="118" s="1"/>
  <c r="A1631" i="118" s="1"/>
  <c r="M20" i="118"/>
  <c r="E250" i="118"/>
  <c r="E480" i="118" s="1"/>
  <c r="E710" i="118" s="1"/>
  <c r="E940" i="118" s="1"/>
  <c r="E1170" i="118" s="1"/>
  <c r="E1400" i="118" s="1"/>
  <c r="E1630" i="118" s="1"/>
  <c r="B250" i="118"/>
  <c r="B480" i="118" s="1"/>
  <c r="B710" i="118" s="1"/>
  <c r="B940" i="118" s="1"/>
  <c r="B1170" i="118" s="1"/>
  <c r="B1400" i="118" s="1"/>
  <c r="B1630" i="118" s="1"/>
  <c r="A250" i="118"/>
  <c r="A480" i="118" s="1"/>
  <c r="A710" i="118" s="1"/>
  <c r="A940" i="118" s="1"/>
  <c r="A1170" i="118" s="1"/>
  <c r="A1400" i="118" s="1"/>
  <c r="A1630" i="118" s="1"/>
  <c r="M19" i="118"/>
  <c r="E249" i="118"/>
  <c r="E479" i="118" s="1"/>
  <c r="E709" i="118" s="1"/>
  <c r="E939" i="118" s="1"/>
  <c r="E1169" i="118" s="1"/>
  <c r="E1399" i="118" s="1"/>
  <c r="E1629" i="118" s="1"/>
  <c r="B249" i="118"/>
  <c r="B479" i="118" s="1"/>
  <c r="B709" i="118" s="1"/>
  <c r="B939" i="118" s="1"/>
  <c r="B1169" i="118" s="1"/>
  <c r="B1399" i="118" s="1"/>
  <c r="B1629" i="118" s="1"/>
  <c r="A249" i="118"/>
  <c r="A479" i="118" s="1"/>
  <c r="A709" i="118" s="1"/>
  <c r="A939" i="118" s="1"/>
  <c r="A1169" i="118" s="1"/>
  <c r="A1399" i="118" s="1"/>
  <c r="A1629" i="118" s="1"/>
  <c r="M18" i="118"/>
  <c r="E248" i="118"/>
  <c r="E478" i="118" s="1"/>
  <c r="E708" i="118" s="1"/>
  <c r="E938" i="118" s="1"/>
  <c r="E1168" i="118" s="1"/>
  <c r="E1398" i="118" s="1"/>
  <c r="E1628" i="118" s="1"/>
  <c r="B248" i="118"/>
  <c r="B478" i="118" s="1"/>
  <c r="B708" i="118" s="1"/>
  <c r="B938" i="118" s="1"/>
  <c r="B1168" i="118" s="1"/>
  <c r="B1398" i="118" s="1"/>
  <c r="B1628" i="118" s="1"/>
  <c r="A248" i="118"/>
  <c r="A478" i="118" s="1"/>
  <c r="A708" i="118" s="1"/>
  <c r="A938" i="118" s="1"/>
  <c r="A1168" i="118" s="1"/>
  <c r="A1398" i="118" s="1"/>
  <c r="A1628" i="118" s="1"/>
  <c r="M17" i="118"/>
  <c r="E247" i="118"/>
  <c r="E477" i="118" s="1"/>
  <c r="E707" i="118" s="1"/>
  <c r="E937" i="118" s="1"/>
  <c r="E1167" i="118" s="1"/>
  <c r="E1397" i="118" s="1"/>
  <c r="E1627" i="118" s="1"/>
  <c r="B247" i="118"/>
  <c r="B477" i="118" s="1"/>
  <c r="B707" i="118" s="1"/>
  <c r="B937" i="118" s="1"/>
  <c r="B1167" i="118" s="1"/>
  <c r="B1397" i="118" s="1"/>
  <c r="B1627" i="118" s="1"/>
  <c r="A247" i="118"/>
  <c r="A477" i="118" s="1"/>
  <c r="A707" i="118" s="1"/>
  <c r="A937" i="118" s="1"/>
  <c r="A1167" i="118" s="1"/>
  <c r="A1397" i="118" s="1"/>
  <c r="A1627" i="118" s="1"/>
  <c r="M16" i="118"/>
  <c r="E246" i="118"/>
  <c r="E476" i="118" s="1"/>
  <c r="E706" i="118" s="1"/>
  <c r="E936" i="118" s="1"/>
  <c r="E1166" i="118" s="1"/>
  <c r="E1396" i="118" s="1"/>
  <c r="E1626" i="118" s="1"/>
  <c r="B246" i="118"/>
  <c r="B476" i="118" s="1"/>
  <c r="B706" i="118" s="1"/>
  <c r="B936" i="118" s="1"/>
  <c r="B1166" i="118" s="1"/>
  <c r="B1396" i="118" s="1"/>
  <c r="B1626" i="118" s="1"/>
  <c r="A246" i="118"/>
  <c r="A476" i="118" s="1"/>
  <c r="A706" i="118" s="1"/>
  <c r="A936" i="118" s="1"/>
  <c r="A1166" i="118" s="1"/>
  <c r="A1396" i="118" s="1"/>
  <c r="A1626" i="118" s="1"/>
  <c r="M15" i="118"/>
  <c r="E245" i="118"/>
  <c r="E475" i="118" s="1"/>
  <c r="E705" i="118" s="1"/>
  <c r="E935" i="118" s="1"/>
  <c r="E1165" i="118" s="1"/>
  <c r="E1395" i="118" s="1"/>
  <c r="E1625" i="118" s="1"/>
  <c r="B245" i="118"/>
  <c r="B475" i="118" s="1"/>
  <c r="B705" i="118" s="1"/>
  <c r="B935" i="118" s="1"/>
  <c r="B1165" i="118" s="1"/>
  <c r="B1395" i="118" s="1"/>
  <c r="B1625" i="118" s="1"/>
  <c r="A245" i="118"/>
  <c r="A475" i="118" s="1"/>
  <c r="A705" i="118" s="1"/>
  <c r="A935" i="118" s="1"/>
  <c r="A1165" i="118" s="1"/>
  <c r="A1395" i="118" s="1"/>
  <c r="A1625" i="118" s="1"/>
  <c r="M14" i="118"/>
  <c r="O14" i="118" s="1"/>
  <c r="E244" i="118"/>
  <c r="E474" i="118" s="1"/>
  <c r="E704" i="118" s="1"/>
  <c r="E934" i="118" s="1"/>
  <c r="E1164" i="118" s="1"/>
  <c r="E1394" i="118" s="1"/>
  <c r="E1624" i="118" s="1"/>
  <c r="B244" i="118"/>
  <c r="B474" i="118" s="1"/>
  <c r="B704" i="118" s="1"/>
  <c r="B934" i="118" s="1"/>
  <c r="B1164" i="118" s="1"/>
  <c r="B1394" i="118" s="1"/>
  <c r="B1624" i="118" s="1"/>
  <c r="A244" i="118"/>
  <c r="A474" i="118" s="1"/>
  <c r="A704" i="118" s="1"/>
  <c r="A934" i="118" s="1"/>
  <c r="A1164" i="118" s="1"/>
  <c r="A1394" i="118" s="1"/>
  <c r="A1624" i="118" s="1"/>
  <c r="M13" i="118"/>
  <c r="D243" i="118"/>
  <c r="D473" i="118" s="1"/>
  <c r="D703" i="118" s="1"/>
  <c r="D933" i="118" s="1"/>
  <c r="D1163" i="118" s="1"/>
  <c r="D1393" i="118" s="1"/>
  <c r="D1623" i="118" s="1"/>
  <c r="C243" i="118"/>
  <c r="C473" i="118" s="1"/>
  <c r="C703" i="118" s="1"/>
  <c r="C933" i="118" s="1"/>
  <c r="C1163" i="118" s="1"/>
  <c r="C1393" i="118" s="1"/>
  <c r="C1623" i="118" s="1"/>
  <c r="B243" i="118"/>
  <c r="B473" i="118" s="1"/>
  <c r="B703" i="118" s="1"/>
  <c r="B933" i="118" s="1"/>
  <c r="B1163" i="118" s="1"/>
  <c r="B1393" i="118" s="1"/>
  <c r="B1623" i="118" s="1"/>
  <c r="A243" i="118"/>
  <c r="A473" i="118" s="1"/>
  <c r="A703" i="118" s="1"/>
  <c r="A933" i="118" s="1"/>
  <c r="A1163" i="118" s="1"/>
  <c r="A1393" i="118" s="1"/>
  <c r="A1623" i="118" s="1"/>
  <c r="M12" i="118"/>
  <c r="E242" i="118"/>
  <c r="E472" i="118" s="1"/>
  <c r="E702" i="118" s="1"/>
  <c r="E932" i="118" s="1"/>
  <c r="E1162" i="118" s="1"/>
  <c r="E1392" i="118" s="1"/>
  <c r="E1622" i="118" s="1"/>
  <c r="B242" i="118"/>
  <c r="B472" i="118" s="1"/>
  <c r="B702" i="118" s="1"/>
  <c r="B932" i="118" s="1"/>
  <c r="B1162" i="118" s="1"/>
  <c r="B1392" i="118" s="1"/>
  <c r="B1622" i="118" s="1"/>
  <c r="A242" i="118"/>
  <c r="A472" i="118" s="1"/>
  <c r="A702" i="118" s="1"/>
  <c r="A932" i="118" s="1"/>
  <c r="A1162" i="118" s="1"/>
  <c r="A1392" i="118" s="1"/>
  <c r="A1622" i="118" s="1"/>
  <c r="M11" i="118"/>
  <c r="E241" i="118"/>
  <c r="E471" i="118" s="1"/>
  <c r="E701" i="118" s="1"/>
  <c r="E931" i="118" s="1"/>
  <c r="E1161" i="118" s="1"/>
  <c r="E1391" i="118" s="1"/>
  <c r="E1621" i="118" s="1"/>
  <c r="B241" i="118"/>
  <c r="B471" i="118" s="1"/>
  <c r="B701" i="118" s="1"/>
  <c r="B931" i="118" s="1"/>
  <c r="B1161" i="118" s="1"/>
  <c r="B1391" i="118" s="1"/>
  <c r="B1621" i="118" s="1"/>
  <c r="A241" i="118"/>
  <c r="A471" i="118" s="1"/>
  <c r="A701" i="118" s="1"/>
  <c r="A931" i="118" s="1"/>
  <c r="A1161" i="118" s="1"/>
  <c r="A1391" i="118" s="1"/>
  <c r="A1621" i="118" s="1"/>
  <c r="M10" i="118"/>
  <c r="O10" i="118" s="1"/>
  <c r="D240" i="118"/>
  <c r="D470" i="118" s="1"/>
  <c r="D700" i="118" s="1"/>
  <c r="D930" i="118" s="1"/>
  <c r="D1160" i="118" s="1"/>
  <c r="D1390" i="118" s="1"/>
  <c r="D1620" i="118" s="1"/>
  <c r="C240" i="118"/>
  <c r="C470" i="118" s="1"/>
  <c r="C700" i="118" s="1"/>
  <c r="C930" i="118" s="1"/>
  <c r="C1160" i="118" s="1"/>
  <c r="C1390" i="118" s="1"/>
  <c r="C1620" i="118" s="1"/>
  <c r="B240" i="118"/>
  <c r="B470" i="118" s="1"/>
  <c r="B700" i="118" s="1"/>
  <c r="B930" i="118" s="1"/>
  <c r="B1160" i="118" s="1"/>
  <c r="B1390" i="118" s="1"/>
  <c r="B1620" i="118" s="1"/>
  <c r="A240" i="118"/>
  <c r="A470" i="118" s="1"/>
  <c r="A700" i="118" s="1"/>
  <c r="A930" i="118" s="1"/>
  <c r="A1160" i="118" s="1"/>
  <c r="A1390" i="118" s="1"/>
  <c r="A1620" i="118" s="1"/>
  <c r="B239" i="118"/>
  <c r="B469" i="118" s="1"/>
  <c r="B699" i="118" s="1"/>
  <c r="B929" i="118" s="1"/>
  <c r="B1159" i="118" s="1"/>
  <c r="B1389" i="118" s="1"/>
  <c r="B1619" i="118" s="1"/>
  <c r="F33" i="117" l="1"/>
  <c r="K32" i="117"/>
  <c r="K63" i="117"/>
  <c r="F64" i="117"/>
  <c r="K64" i="117" s="1"/>
  <c r="Q235" i="117"/>
  <c r="BA235" i="117"/>
  <c r="AW235" i="117"/>
  <c r="T11" i="117"/>
  <c r="F25" i="117"/>
  <c r="F52" i="117"/>
  <c r="F74" i="117"/>
  <c r="AP235" i="117"/>
  <c r="F16" i="117"/>
  <c r="K31" i="117"/>
  <c r="F37" i="117"/>
  <c r="K82" i="117"/>
  <c r="F69" i="117"/>
  <c r="P235" i="117"/>
  <c r="Q31" i="117"/>
  <c r="T31" i="117" s="1"/>
  <c r="T235" i="117" s="1"/>
  <c r="F45" i="117"/>
  <c r="K45" i="117" s="1"/>
  <c r="T37" i="117"/>
  <c r="F49" i="117"/>
  <c r="K49" i="117" s="1"/>
  <c r="K90" i="117"/>
  <c r="K93" i="117" s="1"/>
  <c r="K94" i="117" s="1"/>
  <c r="K95" i="117" s="1"/>
  <c r="K96" i="117" s="1"/>
  <c r="K97" i="117" s="1"/>
  <c r="K98" i="117" s="1"/>
  <c r="K99" i="117" s="1"/>
  <c r="K100" i="117" s="1"/>
  <c r="K101" i="117" s="1"/>
  <c r="AS14" i="117"/>
  <c r="AS235" i="117" s="1"/>
  <c r="O26" i="118"/>
  <c r="P26" i="118" s="1"/>
  <c r="O38" i="118"/>
  <c r="P38" i="118" s="1"/>
  <c r="P40" i="118"/>
  <c r="O40" i="118"/>
  <c r="O48" i="118"/>
  <c r="P48" i="118" s="1"/>
  <c r="O32" i="118"/>
  <c r="P32" i="118" s="1"/>
  <c r="O503" i="118"/>
  <c r="P503" i="118" s="1"/>
  <c r="P36" i="118"/>
  <c r="O36" i="118"/>
  <c r="O491" i="118"/>
  <c r="P491" i="118"/>
  <c r="O932" i="118"/>
  <c r="P932" i="118" s="1"/>
  <c r="O715" i="118"/>
  <c r="P715" i="118"/>
  <c r="O940" i="118"/>
  <c r="P940" i="118" s="1"/>
  <c r="P18" i="118"/>
  <c r="O18" i="118"/>
  <c r="O22" i="118"/>
  <c r="P22" i="118" s="1"/>
  <c r="P62" i="118"/>
  <c r="P540" i="118"/>
  <c r="O540" i="118"/>
  <c r="P14" i="118"/>
  <c r="O731" i="118"/>
  <c r="P731" i="118" s="1"/>
  <c r="O62" i="118"/>
  <c r="O772" i="118"/>
  <c r="P772" i="118" s="1"/>
  <c r="P30" i="118"/>
  <c r="O705" i="118"/>
  <c r="P705" i="118" s="1"/>
  <c r="P44" i="118"/>
  <c r="O44" i="118"/>
  <c r="O52" i="118"/>
  <c r="P52" i="118" s="1"/>
  <c r="O525" i="118"/>
  <c r="P525" i="118" s="1"/>
  <c r="O981" i="118"/>
  <c r="P981" i="118"/>
  <c r="P46" i="118"/>
  <c r="O46" i="118"/>
  <c r="P34" i="118"/>
  <c r="O471" i="118"/>
  <c r="P471" i="118" s="1"/>
  <c r="O499" i="118"/>
  <c r="P499" i="118" s="1"/>
  <c r="P479" i="118"/>
  <c r="P725" i="118"/>
  <c r="P256" i="118"/>
  <c r="O768" i="118"/>
  <c r="P768" i="118" s="1"/>
  <c r="P42" i="118"/>
  <c r="P50" i="118"/>
  <c r="O483" i="118"/>
  <c r="P483" i="118" s="1"/>
  <c r="O487" i="118"/>
  <c r="P487" i="118" s="1"/>
  <c r="O533" i="118"/>
  <c r="P533" i="118"/>
  <c r="P542" i="118"/>
  <c r="P1401" i="118"/>
  <c r="O1401" i="118"/>
  <c r="P709" i="118"/>
  <c r="P1643" i="118"/>
  <c r="O1643" i="118"/>
  <c r="O1678" i="118"/>
  <c r="P1678" i="118" s="1"/>
  <c r="O1685" i="118"/>
  <c r="P1685" i="118"/>
  <c r="P1647" i="118"/>
  <c r="P299" i="118"/>
  <c r="P933" i="118"/>
  <c r="O1647" i="118"/>
  <c r="O299" i="118"/>
  <c r="P544" i="118"/>
  <c r="P1224" i="118"/>
  <c r="O1224" i="118"/>
  <c r="P1393" i="118"/>
  <c r="O1393" i="118"/>
  <c r="O1622" i="118"/>
  <c r="P1622" i="118"/>
  <c r="P1200" i="118"/>
  <c r="P1630" i="118"/>
  <c r="O960" i="118"/>
  <c r="P960" i="118" s="1"/>
  <c r="P985" i="118"/>
  <c r="O13" i="118"/>
  <c r="P13" i="118" s="1"/>
  <c r="O17" i="118"/>
  <c r="P17" i="118" s="1"/>
  <c r="O21" i="118"/>
  <c r="P21" i="118" s="1"/>
  <c r="O45" i="118"/>
  <c r="P45" i="118" s="1"/>
  <c r="O57" i="118"/>
  <c r="P57" i="118" s="1"/>
  <c r="O81" i="118"/>
  <c r="P81" i="118" s="1"/>
  <c r="O25" i="118"/>
  <c r="P25" i="118" s="1"/>
  <c r="O29" i="118"/>
  <c r="P29" i="118" s="1"/>
  <c r="O67" i="118"/>
  <c r="P67" i="118" s="1"/>
  <c r="O71" i="118"/>
  <c r="P71" i="118" s="1"/>
  <c r="O75" i="118"/>
  <c r="P75" i="118" s="1"/>
  <c r="O59" i="118"/>
  <c r="P59" i="118" s="1"/>
  <c r="O11" i="118"/>
  <c r="P11" i="118" s="1"/>
  <c r="O15" i="118"/>
  <c r="P15" i="118" s="1"/>
  <c r="O19" i="118"/>
  <c r="P19" i="118" s="1"/>
  <c r="O33" i="118"/>
  <c r="P33" i="118" s="1"/>
  <c r="P41" i="118"/>
  <c r="O41" i="118"/>
  <c r="O49" i="118"/>
  <c r="P49" i="118" s="1"/>
  <c r="P55" i="118"/>
  <c r="O55" i="118"/>
  <c r="O79" i="118"/>
  <c r="P79" i="118" s="1"/>
  <c r="O69" i="118"/>
  <c r="P69" i="118" s="1"/>
  <c r="O73" i="118"/>
  <c r="P73" i="118" s="1"/>
  <c r="O77" i="118"/>
  <c r="P77" i="118" s="1"/>
  <c r="O83" i="118"/>
  <c r="P83" i="118" s="1"/>
  <c r="O53" i="118"/>
  <c r="P53" i="118" s="1"/>
  <c r="O61" i="118"/>
  <c r="P61" i="118" s="1"/>
  <c r="O65" i="118"/>
  <c r="P65" i="118" s="1"/>
  <c r="M235" i="118"/>
  <c r="O255" i="118"/>
  <c r="P255" i="118" s="1"/>
  <c r="O278" i="118"/>
  <c r="P278" i="118" s="1"/>
  <c r="P280" i="118"/>
  <c r="O308" i="118"/>
  <c r="P308" i="118" s="1"/>
  <c r="O247" i="118"/>
  <c r="P247" i="118" s="1"/>
  <c r="O274" i="118"/>
  <c r="P274" i="118" s="1"/>
  <c r="O287" i="118"/>
  <c r="P287" i="118" s="1"/>
  <c r="P290" i="118"/>
  <c r="O290" i="118"/>
  <c r="P243" i="118"/>
  <c r="O243" i="118"/>
  <c r="O270" i="118"/>
  <c r="P270" i="118" s="1"/>
  <c r="P272" i="118"/>
  <c r="O283" i="118"/>
  <c r="P283" i="118" s="1"/>
  <c r="O294" i="118"/>
  <c r="P294" i="118" s="1"/>
  <c r="O306" i="118"/>
  <c r="P306" i="118" s="1"/>
  <c r="P10" i="118"/>
  <c r="O262" i="118"/>
  <c r="P262" i="118" s="1"/>
  <c r="P266" i="118"/>
  <c r="O266" i="118"/>
  <c r="P268" i="118"/>
  <c r="O279" i="118"/>
  <c r="P279" i="118" s="1"/>
  <c r="O291" i="118"/>
  <c r="P291" i="118" s="1"/>
  <c r="O258" i="118"/>
  <c r="P258" i="118" s="1"/>
  <c r="P260" i="118"/>
  <c r="P264" i="118"/>
  <c r="O275" i="118"/>
  <c r="P275" i="118" s="1"/>
  <c r="O288" i="118"/>
  <c r="P288" i="118" s="1"/>
  <c r="O295" i="118"/>
  <c r="P295" i="118" s="1"/>
  <c r="O298" i="118"/>
  <c r="P298" i="118" s="1"/>
  <c r="O250" i="118"/>
  <c r="P250" i="118" s="1"/>
  <c r="P254" i="118"/>
  <c r="O254" i="118"/>
  <c r="P271" i="118"/>
  <c r="O271" i="118"/>
  <c r="O292" i="118"/>
  <c r="P292" i="118"/>
  <c r="O304" i="118"/>
  <c r="P304" i="118" s="1"/>
  <c r="P310" i="118"/>
  <c r="O310" i="118"/>
  <c r="I235" i="118"/>
  <c r="O12" i="118"/>
  <c r="P12" i="118" s="1"/>
  <c r="O20" i="118"/>
  <c r="P20" i="118" s="1"/>
  <c r="O24" i="118"/>
  <c r="P24" i="118" s="1"/>
  <c r="O28" i="118"/>
  <c r="P28" i="118" s="1"/>
  <c r="O56" i="118"/>
  <c r="P56" i="118" s="1"/>
  <c r="O60" i="118"/>
  <c r="P60" i="118" s="1"/>
  <c r="O64" i="118"/>
  <c r="P64" i="118" s="1"/>
  <c r="O68" i="118"/>
  <c r="P68" i="118" s="1"/>
  <c r="O72" i="118"/>
  <c r="P72" i="118" s="1"/>
  <c r="O76" i="118"/>
  <c r="P76" i="118" s="1"/>
  <c r="O80" i="118"/>
  <c r="P80" i="118" s="1"/>
  <c r="O84" i="118"/>
  <c r="P84" i="118" s="1"/>
  <c r="P246" i="118"/>
  <c r="O246" i="118"/>
  <c r="P248" i="118"/>
  <c r="P252" i="118"/>
  <c r="O313" i="118"/>
  <c r="P313" i="118" s="1"/>
  <c r="O16" i="118"/>
  <c r="P16" i="118" s="1"/>
  <c r="J235" i="118"/>
  <c r="O242" i="118"/>
  <c r="P242" i="118" s="1"/>
  <c r="O259" i="118"/>
  <c r="P259" i="118" s="1"/>
  <c r="O302" i="118"/>
  <c r="P302" i="118" s="1"/>
  <c r="O477" i="118"/>
  <c r="P477" i="118" s="1"/>
  <c r="O493" i="118"/>
  <c r="P493" i="118" s="1"/>
  <c r="O510" i="118"/>
  <c r="P510" i="118" s="1"/>
  <c r="O251" i="118"/>
  <c r="P251" i="118" s="1"/>
  <c r="O263" i="118"/>
  <c r="P263" i="118" s="1"/>
  <c r="P314" i="118"/>
  <c r="O521" i="118"/>
  <c r="P521" i="118" s="1"/>
  <c r="O481" i="118"/>
  <c r="P481" i="118" s="1"/>
  <c r="O497" i="118"/>
  <c r="P497" i="118" s="1"/>
  <c r="O506" i="118"/>
  <c r="P506" i="118" s="1"/>
  <c r="P519" i="118"/>
  <c r="O519" i="118"/>
  <c r="O523" i="118"/>
  <c r="P523" i="118" s="1"/>
  <c r="O531" i="118"/>
  <c r="P531" i="118" s="1"/>
  <c r="I465" i="118"/>
  <c r="O511" i="118"/>
  <c r="P511" i="118" s="1"/>
  <c r="O515" i="118"/>
  <c r="P515" i="118" s="1"/>
  <c r="O527" i="118"/>
  <c r="P527" i="118" s="1"/>
  <c r="J465" i="118"/>
  <c r="O485" i="118"/>
  <c r="P485" i="118" s="1"/>
  <c r="O501" i="118"/>
  <c r="P501" i="118" s="1"/>
  <c r="O507" i="118"/>
  <c r="P507" i="118" s="1"/>
  <c r="O509" i="118"/>
  <c r="P509" i="118" s="1"/>
  <c r="M465" i="118"/>
  <c r="O241" i="118"/>
  <c r="P241" i="118" s="1"/>
  <c r="O245" i="118"/>
  <c r="P245" i="118" s="1"/>
  <c r="O249" i="118"/>
  <c r="P249" i="118" s="1"/>
  <c r="O253" i="118"/>
  <c r="P253" i="118" s="1"/>
  <c r="O257" i="118"/>
  <c r="P257" i="118" s="1"/>
  <c r="O261" i="118"/>
  <c r="P261" i="118" s="1"/>
  <c r="O265" i="118"/>
  <c r="P265" i="118" s="1"/>
  <c r="O273" i="118"/>
  <c r="P273" i="118" s="1"/>
  <c r="O277" i="118"/>
  <c r="P277" i="118" s="1"/>
  <c r="O281" i="118"/>
  <c r="P281" i="118" s="1"/>
  <c r="O285" i="118"/>
  <c r="P285" i="118" s="1"/>
  <c r="O289" i="118"/>
  <c r="P289" i="118" s="1"/>
  <c r="O293" i="118"/>
  <c r="P293" i="118" s="1"/>
  <c r="O297" i="118"/>
  <c r="P297" i="118" s="1"/>
  <c r="O301" i="118"/>
  <c r="P301" i="118" s="1"/>
  <c r="O305" i="118"/>
  <c r="P305" i="118" s="1"/>
  <c r="O309" i="118"/>
  <c r="P309" i="118" s="1"/>
  <c r="O312" i="118"/>
  <c r="P312" i="118" s="1"/>
  <c r="O743" i="118"/>
  <c r="P743" i="118" s="1"/>
  <c r="O473" i="118"/>
  <c r="P473" i="118" s="1"/>
  <c r="P489" i="118"/>
  <c r="O489" i="118"/>
  <c r="O505" i="118"/>
  <c r="P505" i="118" s="1"/>
  <c r="O240" i="118"/>
  <c r="P240" i="118" s="1"/>
  <c r="O470" i="118"/>
  <c r="P470" i="118" s="1"/>
  <c r="O474" i="118"/>
  <c r="P474" i="118" s="1"/>
  <c r="O478" i="118"/>
  <c r="P478" i="118" s="1"/>
  <c r="O482" i="118"/>
  <c r="P482" i="118" s="1"/>
  <c r="O486" i="118"/>
  <c r="P486" i="118" s="1"/>
  <c r="O490" i="118"/>
  <c r="P490" i="118" s="1"/>
  <c r="O494" i="118"/>
  <c r="P494" i="118" s="1"/>
  <c r="O498" i="118"/>
  <c r="P498" i="118" s="1"/>
  <c r="O502" i="118"/>
  <c r="P502" i="118" s="1"/>
  <c r="O508" i="118"/>
  <c r="P508" i="118" s="1"/>
  <c r="P518" i="118"/>
  <c r="P526" i="118"/>
  <c r="P538" i="118"/>
  <c r="O716" i="118"/>
  <c r="P716" i="118" s="1"/>
  <c r="O704" i="118"/>
  <c r="P704" i="118" s="1"/>
  <c r="O727" i="118"/>
  <c r="P727" i="118"/>
  <c r="O700" i="118"/>
  <c r="P700" i="118" s="1"/>
  <c r="O719" i="118"/>
  <c r="P719" i="118" s="1"/>
  <c r="P721" i="118"/>
  <c r="O721" i="118"/>
  <c r="O739" i="118"/>
  <c r="P739" i="118" s="1"/>
  <c r="O993" i="118"/>
  <c r="P993" i="118" s="1"/>
  <c r="O957" i="118"/>
  <c r="P957" i="118" s="1"/>
  <c r="I695" i="118"/>
  <c r="O472" i="118"/>
  <c r="P472" i="118" s="1"/>
  <c r="O476" i="118"/>
  <c r="P476" i="118" s="1"/>
  <c r="O480" i="118"/>
  <c r="P480" i="118" s="1"/>
  <c r="O484" i="118"/>
  <c r="P484" i="118" s="1"/>
  <c r="O488" i="118"/>
  <c r="P488" i="118" s="1"/>
  <c r="O492" i="118"/>
  <c r="P492" i="118" s="1"/>
  <c r="O496" i="118"/>
  <c r="P496" i="118" s="1"/>
  <c r="O500" i="118"/>
  <c r="P500" i="118" s="1"/>
  <c r="O504" i="118"/>
  <c r="P504" i="118" s="1"/>
  <c r="P514" i="118"/>
  <c r="O516" i="118"/>
  <c r="P516" i="118" s="1"/>
  <c r="P522" i="118"/>
  <c r="O524" i="118"/>
  <c r="P524" i="118" s="1"/>
  <c r="O530" i="118"/>
  <c r="P530" i="118" s="1"/>
  <c r="P532" i="118"/>
  <c r="O537" i="118"/>
  <c r="P537" i="118" s="1"/>
  <c r="P713" i="118"/>
  <c r="O713" i="118"/>
  <c r="O747" i="118"/>
  <c r="P747" i="118" s="1"/>
  <c r="J695" i="118"/>
  <c r="O711" i="118"/>
  <c r="P711" i="118" s="1"/>
  <c r="O735" i="118"/>
  <c r="P735" i="118" s="1"/>
  <c r="M695" i="118"/>
  <c r="P512" i="118"/>
  <c r="P520" i="118"/>
  <c r="P528" i="118"/>
  <c r="P541" i="118"/>
  <c r="O541" i="118"/>
  <c r="P706" i="118"/>
  <c r="P722" i="118"/>
  <c r="P755" i="118"/>
  <c r="O755" i="118"/>
  <c r="O757" i="118"/>
  <c r="P757" i="118" s="1"/>
  <c r="P712" i="118"/>
  <c r="P728" i="118"/>
  <c r="O730" i="118"/>
  <c r="P730" i="118" s="1"/>
  <c r="P732" i="118"/>
  <c r="P736" i="118"/>
  <c r="P738" i="118"/>
  <c r="O738" i="118"/>
  <c r="P740" i="118"/>
  <c r="O742" i="118"/>
  <c r="P742" i="118" s="1"/>
  <c r="P744" i="118"/>
  <c r="O746" i="118"/>
  <c r="P746" i="118" s="1"/>
  <c r="P748" i="118"/>
  <c r="P750" i="118"/>
  <c r="O750" i="118"/>
  <c r="P751" i="118"/>
  <c r="O751" i="118"/>
  <c r="O753" i="118"/>
  <c r="P753" i="118" s="1"/>
  <c r="P759" i="118"/>
  <c r="O759" i="118"/>
  <c r="P761" i="118"/>
  <c r="O761" i="118"/>
  <c r="O765" i="118"/>
  <c r="P765" i="118" s="1"/>
  <c r="P707" i="118"/>
  <c r="P723" i="118"/>
  <c r="P724" i="118"/>
  <c r="O769" i="118"/>
  <c r="P769" i="118" s="1"/>
  <c r="O701" i="118"/>
  <c r="P701" i="118" s="1"/>
  <c r="P714" i="118"/>
  <c r="O718" i="118"/>
  <c r="P718" i="118" s="1"/>
  <c r="O754" i="118"/>
  <c r="P754" i="118" s="1"/>
  <c r="P756" i="118"/>
  <c r="O771" i="118"/>
  <c r="P771" i="118" s="1"/>
  <c r="O773" i="118"/>
  <c r="P773" i="118" s="1"/>
  <c r="O959" i="118"/>
  <c r="P959" i="118" s="1"/>
  <c r="O539" i="118"/>
  <c r="P539" i="118" s="1"/>
  <c r="O543" i="118"/>
  <c r="P543" i="118" s="1"/>
  <c r="O708" i="118"/>
  <c r="P708" i="118" s="1"/>
  <c r="P720" i="118"/>
  <c r="O724" i="118"/>
  <c r="P752" i="118"/>
  <c r="P760" i="118"/>
  <c r="P710" i="118"/>
  <c r="P726" i="118"/>
  <c r="P764" i="118"/>
  <c r="P931" i="118"/>
  <c r="O931" i="118"/>
  <c r="O963" i="118"/>
  <c r="P963" i="118" s="1"/>
  <c r="O967" i="118"/>
  <c r="P967" i="118" s="1"/>
  <c r="O971" i="118"/>
  <c r="P971" i="118" s="1"/>
  <c r="O975" i="118"/>
  <c r="P975" i="118" s="1"/>
  <c r="P979" i="118"/>
  <c r="O979" i="118"/>
  <c r="O983" i="118"/>
  <c r="P983" i="118" s="1"/>
  <c r="P987" i="118"/>
  <c r="O999" i="118"/>
  <c r="P999" i="118" s="1"/>
  <c r="O1221" i="118"/>
  <c r="P1221" i="118" s="1"/>
  <c r="O935" i="118"/>
  <c r="P935" i="118" s="1"/>
  <c r="P946" i="118"/>
  <c r="P961" i="118"/>
  <c r="P965" i="118"/>
  <c r="P969" i="118"/>
  <c r="P973" i="118"/>
  <c r="O991" i="118"/>
  <c r="P991" i="118" s="1"/>
  <c r="O939" i="118"/>
  <c r="P939" i="118" s="1"/>
  <c r="O1002" i="118"/>
  <c r="P1002" i="118" s="1"/>
  <c r="P937" i="118"/>
  <c r="O943" i="118"/>
  <c r="P943" i="118" s="1"/>
  <c r="O1000" i="118"/>
  <c r="P1000" i="118" s="1"/>
  <c r="P947" i="118"/>
  <c r="O947" i="118"/>
  <c r="P972" i="118"/>
  <c r="O992" i="118"/>
  <c r="P992" i="118" s="1"/>
  <c r="P945" i="118"/>
  <c r="O951" i="118"/>
  <c r="P951" i="118" s="1"/>
  <c r="P966" i="118"/>
  <c r="O998" i="118"/>
  <c r="P998" i="118" s="1"/>
  <c r="O955" i="118"/>
  <c r="P955" i="118" s="1"/>
  <c r="P1001" i="118"/>
  <c r="O968" i="118"/>
  <c r="P968" i="118" s="1"/>
  <c r="O972" i="118"/>
  <c r="O980" i="118"/>
  <c r="P980" i="118" s="1"/>
  <c r="O986" i="118"/>
  <c r="P986" i="118" s="1"/>
  <c r="O995" i="118"/>
  <c r="P995" i="118" s="1"/>
  <c r="O1003" i="118"/>
  <c r="P1003" i="118" s="1"/>
  <c r="O930" i="118"/>
  <c r="P930" i="118" s="1"/>
  <c r="O934" i="118"/>
  <c r="P934" i="118" s="1"/>
  <c r="O938" i="118"/>
  <c r="P938" i="118" s="1"/>
  <c r="O942" i="118"/>
  <c r="P942" i="118" s="1"/>
  <c r="O946" i="118"/>
  <c r="O950" i="118"/>
  <c r="P950" i="118" s="1"/>
  <c r="O954" i="118"/>
  <c r="P954" i="118" s="1"/>
  <c r="O958" i="118"/>
  <c r="P958" i="118" s="1"/>
  <c r="O962" i="118"/>
  <c r="P962" i="118" s="1"/>
  <c r="O966" i="118"/>
  <c r="O970" i="118"/>
  <c r="P970" i="118" s="1"/>
  <c r="O974" i="118"/>
  <c r="P974" i="118" s="1"/>
  <c r="O978" i="118"/>
  <c r="P978" i="118" s="1"/>
  <c r="O982" i="118"/>
  <c r="P982" i="118" s="1"/>
  <c r="O988" i="118"/>
  <c r="P988" i="118" s="1"/>
  <c r="O997" i="118"/>
  <c r="P997" i="118" s="1"/>
  <c r="O990" i="118"/>
  <c r="P990" i="118" s="1"/>
  <c r="O1001" i="118"/>
  <c r="P1004" i="118"/>
  <c r="P996" i="118"/>
  <c r="P1210" i="118"/>
  <c r="O1210" i="118"/>
  <c r="P1217" i="118"/>
  <c r="O1217" i="118"/>
  <c r="P1215" i="118"/>
  <c r="O1162" i="118"/>
  <c r="P1162" i="118" s="1"/>
  <c r="P1166" i="118"/>
  <c r="O1166" i="118"/>
  <c r="P1170" i="118"/>
  <c r="O1170" i="118"/>
  <c r="O1174" i="118"/>
  <c r="P1174" i="118" s="1"/>
  <c r="O1178" i="118"/>
  <c r="P1178" i="118" s="1"/>
  <c r="P1182" i="118"/>
  <c r="O1182" i="118"/>
  <c r="P1186" i="118"/>
  <c r="O1186" i="118"/>
  <c r="O1190" i="118"/>
  <c r="P1190" i="118" s="1"/>
  <c r="O1198" i="118"/>
  <c r="P1198" i="118" s="1"/>
  <c r="P1202" i="118"/>
  <c r="O1202" i="118"/>
  <c r="P1213" i="118"/>
  <c r="O1213" i="118"/>
  <c r="O1231" i="118"/>
  <c r="P1231" i="118" s="1"/>
  <c r="P1164" i="118"/>
  <c r="P1168" i="118"/>
  <c r="P1172" i="118"/>
  <c r="P1176" i="118"/>
  <c r="P1180" i="118"/>
  <c r="P1184" i="118"/>
  <c r="P1188" i="118"/>
  <c r="P1192" i="118"/>
  <c r="P1196" i="118"/>
  <c r="O1209" i="118"/>
  <c r="P1209" i="118" s="1"/>
  <c r="O1399" i="118"/>
  <c r="P1399" i="118" s="1"/>
  <c r="P1207" i="118"/>
  <c r="O1218" i="118"/>
  <c r="P1218" i="118" s="1"/>
  <c r="O1199" i="118"/>
  <c r="P1199" i="118" s="1"/>
  <c r="O1205" i="118"/>
  <c r="P1205" i="118" s="1"/>
  <c r="O1163" i="118"/>
  <c r="P1163" i="118" s="1"/>
  <c r="O1167" i="118"/>
  <c r="P1167" i="118" s="1"/>
  <c r="O1171" i="118"/>
  <c r="P1171" i="118" s="1"/>
  <c r="O1175" i="118"/>
  <c r="P1175" i="118" s="1"/>
  <c r="O1179" i="118"/>
  <c r="P1179" i="118" s="1"/>
  <c r="O1183" i="118"/>
  <c r="P1183" i="118" s="1"/>
  <c r="O1187" i="118"/>
  <c r="P1187" i="118" s="1"/>
  <c r="O1225" i="118"/>
  <c r="P1225" i="118" s="1"/>
  <c r="P1228" i="118"/>
  <c r="O1230" i="118"/>
  <c r="P1230" i="118" s="1"/>
  <c r="O1233" i="118"/>
  <c r="P1233" i="118" s="1"/>
  <c r="O1203" i="118"/>
  <c r="P1203" i="118" s="1"/>
  <c r="O1208" i="118"/>
  <c r="P1208" i="118" s="1"/>
  <c r="O1211" i="118"/>
  <c r="P1211" i="118" s="1"/>
  <c r="P1214" i="118"/>
  <c r="O1216" i="118"/>
  <c r="P1216" i="118" s="1"/>
  <c r="O1219" i="118"/>
  <c r="P1219" i="118" s="1"/>
  <c r="O1227" i="118"/>
  <c r="P1227" i="118" s="1"/>
  <c r="M1160" i="118"/>
  <c r="O1161" i="118"/>
  <c r="P1161" i="118" s="1"/>
  <c r="O1165" i="118"/>
  <c r="P1165" i="118" s="1"/>
  <c r="O1169" i="118"/>
  <c r="P1169" i="118" s="1"/>
  <c r="O1173" i="118"/>
  <c r="P1173" i="118" s="1"/>
  <c r="O1177" i="118"/>
  <c r="P1177" i="118" s="1"/>
  <c r="O1181" i="118"/>
  <c r="P1181" i="118" s="1"/>
  <c r="O1185" i="118"/>
  <c r="P1185" i="118" s="1"/>
  <c r="O1189" i="118"/>
  <c r="P1189" i="118" s="1"/>
  <c r="O1193" i="118"/>
  <c r="P1193" i="118" s="1"/>
  <c r="O1197" i="118"/>
  <c r="P1197" i="118" s="1"/>
  <c r="O1201" i="118"/>
  <c r="P1201" i="118" s="1"/>
  <c r="P1204" i="118"/>
  <c r="O1206" i="118"/>
  <c r="P1206" i="118" s="1"/>
  <c r="P1212" i="118"/>
  <c r="O1214" i="118"/>
  <c r="P1220" i="118"/>
  <c r="O1222" i="118"/>
  <c r="P1222" i="118" s="1"/>
  <c r="P1223" i="118"/>
  <c r="O1226" i="118"/>
  <c r="P1226" i="118" s="1"/>
  <c r="O1229" i="118"/>
  <c r="P1229" i="118" s="1"/>
  <c r="P1232" i="118"/>
  <c r="O1223" i="118"/>
  <c r="O1403" i="118"/>
  <c r="P1403" i="118" s="1"/>
  <c r="O1407" i="118"/>
  <c r="P1407" i="118" s="1"/>
  <c r="O1411" i="118"/>
  <c r="P1411" i="118" s="1"/>
  <c r="O1415" i="118"/>
  <c r="P1415" i="118" s="1"/>
  <c r="O1421" i="118"/>
  <c r="P1421" i="118" s="1"/>
  <c r="P1423" i="118"/>
  <c r="P1417" i="118"/>
  <c r="O1234" i="118"/>
  <c r="P1234" i="118" s="1"/>
  <c r="P1394" i="118"/>
  <c r="O1394" i="118"/>
  <c r="O1417" i="118"/>
  <c r="O1398" i="118"/>
  <c r="P1398" i="118" s="1"/>
  <c r="O1412" i="118"/>
  <c r="P1412" i="118" s="1"/>
  <c r="O1391" i="118"/>
  <c r="P1391" i="118" s="1"/>
  <c r="O1402" i="118"/>
  <c r="P1402" i="118" s="1"/>
  <c r="O1414" i="118"/>
  <c r="P1414" i="118" s="1"/>
  <c r="O1418" i="118"/>
  <c r="P1418" i="118" s="1"/>
  <c r="O1395" i="118"/>
  <c r="P1395" i="118" s="1"/>
  <c r="O1406" i="118"/>
  <c r="P1406" i="118" s="1"/>
  <c r="O1410" i="118"/>
  <c r="P1410" i="118" s="1"/>
  <c r="O1420" i="118"/>
  <c r="P1420" i="118" s="1"/>
  <c r="P1428" i="118"/>
  <c r="P1432" i="118"/>
  <c r="P1436" i="118"/>
  <c r="P1440" i="118"/>
  <c r="P1444" i="118"/>
  <c r="P1448" i="118"/>
  <c r="P1452" i="118"/>
  <c r="P1456" i="118"/>
  <c r="P1460" i="118"/>
  <c r="P1464" i="118"/>
  <c r="M1390" i="118"/>
  <c r="O1425" i="118"/>
  <c r="P1425" i="118" s="1"/>
  <c r="P1427" i="118"/>
  <c r="O1427" i="118"/>
  <c r="P1429" i="118"/>
  <c r="O1429" i="118"/>
  <c r="P1431" i="118"/>
  <c r="O1431" i="118"/>
  <c r="O1433" i="118"/>
  <c r="P1433" i="118" s="1"/>
  <c r="P1435" i="118"/>
  <c r="O1435" i="118"/>
  <c r="P1437" i="118"/>
  <c r="O1437" i="118"/>
  <c r="P1439" i="118"/>
  <c r="O1439" i="118"/>
  <c r="O1441" i="118"/>
  <c r="P1441" i="118" s="1"/>
  <c r="P1443" i="118"/>
  <c r="O1443" i="118"/>
  <c r="P1445" i="118"/>
  <c r="O1445" i="118"/>
  <c r="P1447" i="118"/>
  <c r="O1447" i="118"/>
  <c r="O1449" i="118"/>
  <c r="P1449" i="118" s="1"/>
  <c r="P1451" i="118"/>
  <c r="O1451" i="118"/>
  <c r="P1453" i="118"/>
  <c r="O1453" i="118"/>
  <c r="P1455" i="118"/>
  <c r="O1455" i="118"/>
  <c r="O1457" i="118"/>
  <c r="P1457" i="118" s="1"/>
  <c r="P1459" i="118"/>
  <c r="O1459" i="118"/>
  <c r="P1461" i="118"/>
  <c r="O1461" i="118"/>
  <c r="P1463" i="118"/>
  <c r="O1463" i="118"/>
  <c r="O1422" i="118"/>
  <c r="P1422" i="118" s="1"/>
  <c r="P1424" i="118"/>
  <c r="P1637" i="118"/>
  <c r="O1637" i="118"/>
  <c r="P1628" i="118"/>
  <c r="O1628" i="118"/>
  <c r="O1426" i="118"/>
  <c r="P1426" i="118" s="1"/>
  <c r="O1430" i="118"/>
  <c r="P1430" i="118" s="1"/>
  <c r="O1434" i="118"/>
  <c r="P1434" i="118" s="1"/>
  <c r="O1438" i="118"/>
  <c r="P1438" i="118" s="1"/>
  <c r="O1442" i="118"/>
  <c r="P1442" i="118" s="1"/>
  <c r="O1446" i="118"/>
  <c r="P1446" i="118" s="1"/>
  <c r="O1450" i="118"/>
  <c r="P1450" i="118" s="1"/>
  <c r="O1454" i="118"/>
  <c r="P1454" i="118" s="1"/>
  <c r="O1458" i="118"/>
  <c r="P1458" i="118" s="1"/>
  <c r="O1462" i="118"/>
  <c r="P1462" i="118" s="1"/>
  <c r="O1626" i="118"/>
  <c r="P1626" i="118" s="1"/>
  <c r="O1624" i="118"/>
  <c r="P1624" i="118" s="1"/>
  <c r="O1644" i="118"/>
  <c r="P1644" i="118" s="1"/>
  <c r="M1620" i="118"/>
  <c r="O1633" i="118"/>
  <c r="P1633" i="118" s="1"/>
  <c r="O1635" i="118"/>
  <c r="P1635" i="118" s="1"/>
  <c r="O1629" i="118"/>
  <c r="P1629" i="118" s="1"/>
  <c r="O1640" i="118"/>
  <c r="P1640" i="118"/>
  <c r="O1642" i="118"/>
  <c r="P1642" i="118" s="1"/>
  <c r="O1666" i="118"/>
  <c r="P1666" i="118" s="1"/>
  <c r="P1625" i="118"/>
  <c r="O1625" i="118"/>
  <c r="O1645" i="118"/>
  <c r="P1645" i="118" s="1"/>
  <c r="P1621" i="118"/>
  <c r="O1621" i="118"/>
  <c r="O1636" i="118"/>
  <c r="P1636" i="118" s="1"/>
  <c r="P1638" i="118"/>
  <c r="O1664" i="118"/>
  <c r="P1664" i="118" s="1"/>
  <c r="O1684" i="118"/>
  <c r="P1684" i="118" s="1"/>
  <c r="O1632" i="118"/>
  <c r="P1632" i="118" s="1"/>
  <c r="P1634" i="118"/>
  <c r="O1648" i="118"/>
  <c r="P1648" i="118" s="1"/>
  <c r="O1650" i="118"/>
  <c r="P1650" i="118" s="1"/>
  <c r="O1652" i="118"/>
  <c r="P1652" i="118" s="1"/>
  <c r="O1654" i="118"/>
  <c r="P1654" i="118" s="1"/>
  <c r="O1656" i="118"/>
  <c r="P1656" i="118" s="1"/>
  <c r="O1658" i="118"/>
  <c r="P1658" i="118" s="1"/>
  <c r="O1660" i="118"/>
  <c r="P1660" i="118" s="1"/>
  <c r="O1662" i="118"/>
  <c r="P1662" i="118" s="1"/>
  <c r="P1675" i="118"/>
  <c r="O1679" i="118"/>
  <c r="P1679" i="118" s="1"/>
  <c r="O1687" i="118"/>
  <c r="P1687" i="118" s="1"/>
  <c r="O1692" i="118"/>
  <c r="P1692" i="118" s="1"/>
  <c r="O1671" i="118"/>
  <c r="P1671" i="118" s="1"/>
  <c r="O1639" i="118"/>
  <c r="P1639" i="118" s="1"/>
  <c r="P1663" i="118"/>
  <c r="P1665" i="118"/>
  <c r="O1667" i="118"/>
  <c r="P1667" i="118" s="1"/>
  <c r="O1623" i="118"/>
  <c r="P1623" i="118" s="1"/>
  <c r="O1627" i="118"/>
  <c r="P1627" i="118" s="1"/>
  <c r="O1631" i="118"/>
  <c r="P1631" i="118" s="1"/>
  <c r="P1646" i="118"/>
  <c r="P1651" i="118"/>
  <c r="O1663" i="118"/>
  <c r="O1676" i="118"/>
  <c r="P1676" i="118" s="1"/>
  <c r="O1672" i="118"/>
  <c r="P1672" i="118" s="1"/>
  <c r="O1674" i="118"/>
  <c r="P1674" i="118" s="1"/>
  <c r="O1641" i="118"/>
  <c r="P1641" i="118" s="1"/>
  <c r="O1668" i="118"/>
  <c r="P1668" i="118" s="1"/>
  <c r="O1670" i="118"/>
  <c r="P1670" i="118" s="1"/>
  <c r="O1681" i="118"/>
  <c r="P1681" i="118" s="1"/>
  <c r="P1693" i="118"/>
  <c r="O1683" i="118"/>
  <c r="P1683" i="118" s="1"/>
  <c r="O1691" i="118"/>
  <c r="P1691" i="118" s="1"/>
  <c r="O1649" i="118"/>
  <c r="P1649" i="118" s="1"/>
  <c r="O1653" i="118"/>
  <c r="P1653" i="118" s="1"/>
  <c r="O1657" i="118"/>
  <c r="P1657" i="118" s="1"/>
  <c r="O1661" i="118"/>
  <c r="P1661" i="118" s="1"/>
  <c r="O1665" i="118"/>
  <c r="O1669" i="118"/>
  <c r="P1669" i="118" s="1"/>
  <c r="O1673" i="118"/>
  <c r="P1673" i="118" s="1"/>
  <c r="O1677" i="118"/>
  <c r="P1677" i="118" s="1"/>
  <c r="O1688" i="118"/>
  <c r="P1688" i="118" s="1"/>
  <c r="P1689" i="118"/>
  <c r="P1680" i="118"/>
  <c r="K16" i="117" l="1"/>
  <c r="F17" i="117"/>
  <c r="F75" i="117"/>
  <c r="K74" i="117"/>
  <c r="F53" i="117"/>
  <c r="K52" i="117"/>
  <c r="K69" i="117"/>
  <c r="F70" i="117"/>
  <c r="K25" i="117"/>
  <c r="F26" i="117"/>
  <c r="F34" i="117"/>
  <c r="K34" i="117" s="1"/>
  <c r="K33" i="117"/>
  <c r="F38" i="117"/>
  <c r="K37" i="117"/>
  <c r="O1390" i="118"/>
  <c r="P1390" i="118" s="1"/>
  <c r="O1160" i="118"/>
  <c r="P1160" i="118" s="1"/>
  <c r="P1620" i="118"/>
  <c r="O1620" i="118"/>
  <c r="F71" i="117" l="1"/>
  <c r="K71" i="117" s="1"/>
  <c r="K70" i="117"/>
  <c r="K38" i="117"/>
  <c r="F39" i="117"/>
  <c r="K39" i="117" s="1"/>
  <c r="F54" i="117"/>
  <c r="K53" i="117"/>
  <c r="K75" i="117"/>
  <c r="F76" i="117"/>
  <c r="K26" i="117"/>
  <c r="F27" i="117"/>
  <c r="K17" i="117"/>
  <c r="F18" i="117"/>
  <c r="K76" i="117" l="1"/>
  <c r="F77" i="117"/>
  <c r="K77" i="117" s="1"/>
  <c r="K27" i="117"/>
  <c r="F28" i="117"/>
  <c r="K54" i="117"/>
  <c r="F55" i="117"/>
  <c r="K18" i="117"/>
  <c r="F19" i="117"/>
  <c r="F3" i="76"/>
  <c r="F2" i="76"/>
  <c r="B8" i="76"/>
  <c r="B9" i="76" s="1"/>
  <c r="K19" i="117" l="1"/>
  <c r="F20" i="117"/>
  <c r="K20" i="117" s="1"/>
  <c r="K55" i="117"/>
  <c r="F56" i="117"/>
  <c r="K56" i="117" s="1"/>
  <c r="F29" i="117"/>
  <c r="K29" i="117" s="1"/>
  <c r="K28" i="117"/>
  <c r="F54" i="67" l="1"/>
  <c r="G54" i="67"/>
  <c r="H54" i="67"/>
  <c r="F55" i="67"/>
  <c r="G55" i="67"/>
  <c r="H55" i="67"/>
  <c r="F56" i="67"/>
  <c r="G56" i="67"/>
  <c r="H56" i="67"/>
  <c r="F61" i="67"/>
  <c r="G61" i="67"/>
  <c r="H61" i="67"/>
  <c r="F62" i="67"/>
  <c r="G62" i="67"/>
  <c r="H62" i="67"/>
  <c r="F67" i="67"/>
  <c r="G67" i="67"/>
  <c r="H67" i="67"/>
  <c r="F68" i="67"/>
  <c r="G68" i="67"/>
  <c r="H68" i="67"/>
  <c r="F73" i="67"/>
  <c r="G73" i="67"/>
  <c r="H73" i="67"/>
  <c r="F74" i="67"/>
  <c r="G74" i="67"/>
  <c r="H74" i="67"/>
  <c r="F78" i="67"/>
  <c r="H77" i="67"/>
  <c r="F76" i="67"/>
  <c r="F75" i="67"/>
  <c r="G72" i="67"/>
  <c r="F71" i="67"/>
  <c r="F70" i="67"/>
  <c r="F69" i="67"/>
  <c r="G66" i="67"/>
  <c r="G65" i="67"/>
  <c r="G64" i="67"/>
  <c r="F63" i="67"/>
  <c r="F60" i="67"/>
  <c r="F59" i="67"/>
  <c r="F58" i="67"/>
  <c r="F57" i="67"/>
  <c r="H53" i="67"/>
  <c r="F52" i="67"/>
  <c r="F51" i="67"/>
  <c r="H50" i="67"/>
  <c r="G77" i="67" l="1"/>
  <c r="F77" i="67"/>
  <c r="H60" i="67"/>
  <c r="G50" i="67"/>
  <c r="H63" i="67"/>
  <c r="G63" i="67"/>
  <c r="H76" i="67"/>
  <c r="H58" i="67"/>
  <c r="G76" i="67"/>
  <c r="H71" i="67"/>
  <c r="G60" i="67"/>
  <c r="F72" i="67"/>
  <c r="G58" i="67"/>
  <c r="G71" i="67"/>
  <c r="H65" i="67"/>
  <c r="H52" i="67"/>
  <c r="G69" i="67"/>
  <c r="F65" i="67"/>
  <c r="G52" i="67"/>
  <c r="F50" i="67"/>
  <c r="F64" i="67"/>
  <c r="H51" i="67"/>
  <c r="H66" i="67"/>
  <c r="G53" i="67"/>
  <c r="F53" i="67"/>
  <c r="H57" i="67"/>
  <c r="H78" i="67"/>
  <c r="H70" i="67"/>
  <c r="G57" i="67"/>
  <c r="F66" i="67"/>
  <c r="G78" i="67"/>
  <c r="H75" i="67"/>
  <c r="G70" i="67"/>
  <c r="H59" i="67"/>
  <c r="G75" i="67"/>
  <c r="H72" i="67"/>
  <c r="H64" i="67"/>
  <c r="G59" i="67"/>
  <c r="G51" i="67"/>
  <c r="H69" i="67"/>
  <c r="M10" i="93"/>
  <c r="G79" i="67" l="1"/>
  <c r="F79" i="67"/>
  <c r="H79" i="67"/>
  <c r="R10" i="93"/>
  <c r="Q10" i="93"/>
  <c r="S10" i="93"/>
  <c r="E10" i="93"/>
  <c r="H10" i="93"/>
  <c r="P10" i="93"/>
  <c r="O10" i="93" l="1"/>
  <c r="E26" i="59" l="1"/>
  <c r="I26" i="59"/>
  <c r="M26" i="59"/>
  <c r="E27" i="59"/>
  <c r="I27" i="59"/>
  <c r="M27" i="59"/>
  <c r="N26" i="59"/>
  <c r="N27" i="59"/>
  <c r="N38" i="81"/>
  <c r="F26" i="59"/>
  <c r="F27" i="59"/>
  <c r="G34" i="81"/>
  <c r="E25" i="59"/>
  <c r="J26" i="59"/>
  <c r="K36" i="81"/>
  <c r="J25" i="59"/>
  <c r="E23" i="59"/>
  <c r="Q25" i="81"/>
  <c r="Q20" i="59" s="1"/>
  <c r="J20" i="59"/>
  <c r="E25" i="81"/>
  <c r="E20" i="59" s="1"/>
  <c r="P15" i="81"/>
  <c r="P12" i="59" s="1"/>
  <c r="J12" i="59"/>
  <c r="I12" i="59"/>
  <c r="E12" i="59"/>
  <c r="G15" i="81"/>
  <c r="G12" i="59" s="1"/>
  <c r="M12" i="59" l="1"/>
  <c r="O34" i="81"/>
  <c r="O37" i="81" s="1"/>
  <c r="P34" i="81"/>
  <c r="P37" i="81" s="1"/>
  <c r="J27" i="59"/>
  <c r="F25" i="59"/>
  <c r="F20" i="59"/>
  <c r="Q34" i="81"/>
  <c r="Q37" i="81" s="1"/>
  <c r="Q15" i="81"/>
  <c r="Q12" i="59" s="1"/>
  <c r="M25" i="81"/>
  <c r="N12" i="59"/>
  <c r="F12" i="59"/>
  <c r="K34" i="81"/>
  <c r="G25" i="81"/>
  <c r="G20" i="59" s="1"/>
  <c r="N25" i="59"/>
  <c r="I25" i="81"/>
  <c r="I20" i="59" s="1"/>
  <c r="K25" i="81"/>
  <c r="K20" i="59" s="1"/>
  <c r="L20" i="59" s="1"/>
  <c r="K15" i="81"/>
  <c r="K12" i="59" s="1"/>
  <c r="L12" i="59" s="1"/>
  <c r="N20" i="59"/>
  <c r="R20" i="59" s="1"/>
  <c r="O25" i="81"/>
  <c r="O20" i="59" s="1"/>
  <c r="M23" i="59"/>
  <c r="O15" i="81"/>
  <c r="O12" i="59" s="1"/>
  <c r="P25" i="81"/>
  <c r="P20" i="59" s="1"/>
  <c r="N37" i="81"/>
  <c r="N28" i="59" s="1"/>
  <c r="H12" i="59" l="1"/>
  <c r="M20" i="59"/>
  <c r="H20" i="59"/>
  <c r="M31" i="72"/>
  <c r="L31" i="72"/>
  <c r="J29" i="72" l="1"/>
  <c r="N29" i="72" s="1"/>
  <c r="O92" i="59" l="1"/>
  <c r="O91" i="59"/>
  <c r="O90" i="59"/>
  <c r="O89" i="59"/>
  <c r="P105" i="59"/>
  <c r="L24" i="60"/>
  <c r="N43" i="59"/>
  <c r="Q23" i="59"/>
  <c r="K38" i="60"/>
  <c r="K37" i="60"/>
  <c r="K36" i="60"/>
  <c r="K35" i="60"/>
  <c r="K34" i="60"/>
  <c r="K33" i="60"/>
  <c r="K32" i="60"/>
  <c r="K31" i="60"/>
  <c r="K30" i="60"/>
  <c r="K29" i="60"/>
  <c r="P90" i="59" l="1"/>
  <c r="P91" i="59"/>
  <c r="P92" i="59"/>
  <c r="P89" i="59"/>
  <c r="O105" i="59"/>
  <c r="Q69" i="59"/>
  <c r="Q42" i="59"/>
  <c r="Q99" i="59"/>
  <c r="Q56" i="59"/>
  <c r="Q55" i="59"/>
  <c r="Q95" i="59"/>
  <c r="L54" i="60"/>
  <c r="N54" i="60" s="1"/>
  <c r="K54" i="60" s="1"/>
  <c r="Q94" i="59"/>
  <c r="Q65" i="59"/>
  <c r="N122" i="60"/>
  <c r="K122" i="60" s="1"/>
  <c r="N123" i="60"/>
  <c r="K123" i="60" s="1"/>
  <c r="N116" i="60"/>
  <c r="K116" i="60" s="1"/>
  <c r="N124" i="60"/>
  <c r="K124" i="60" s="1"/>
  <c r="L40" i="60"/>
  <c r="N40" i="60" s="1"/>
  <c r="K40" i="60" s="1"/>
  <c r="N117" i="60"/>
  <c r="K117" i="60" s="1"/>
  <c r="Q63" i="59"/>
  <c r="N118" i="60"/>
  <c r="K118" i="60" s="1"/>
  <c r="N119" i="60"/>
  <c r="K119" i="60" s="1"/>
  <c r="L97" i="60"/>
  <c r="N97" i="60" s="1"/>
  <c r="K97" i="60" s="1"/>
  <c r="N120" i="60"/>
  <c r="K120" i="60" s="1"/>
  <c r="L112" i="60"/>
  <c r="N112" i="60" s="1"/>
  <c r="K112" i="60" s="1"/>
  <c r="L125" i="60"/>
  <c r="L138" i="60"/>
  <c r="N121" i="60"/>
  <c r="K121" i="60" s="1"/>
  <c r="Q50" i="59"/>
  <c r="N134" i="60"/>
  <c r="K134" i="60" s="1"/>
  <c r="N115" i="60"/>
  <c r="K115" i="60" s="1"/>
  <c r="L23" i="60"/>
  <c r="L26" i="60" s="1"/>
  <c r="Q59" i="59"/>
  <c r="Q101" i="59"/>
  <c r="N133" i="60"/>
  <c r="K133" i="60" s="1"/>
  <c r="Q49" i="59"/>
  <c r="N135" i="60"/>
  <c r="K135" i="60" s="1"/>
  <c r="N128" i="60"/>
  <c r="N136" i="60"/>
  <c r="K136" i="60" s="1"/>
  <c r="Q102" i="59"/>
  <c r="N130" i="60"/>
  <c r="K130" i="60" s="1"/>
  <c r="Q53" i="59"/>
  <c r="Q58" i="59"/>
  <c r="N129" i="60"/>
  <c r="K129" i="60" s="1"/>
  <c r="N131" i="60"/>
  <c r="K131" i="60" s="1"/>
  <c r="Q66" i="59"/>
  <c r="N137" i="60"/>
  <c r="K137" i="60" s="1"/>
  <c r="N132" i="60"/>
  <c r="K132" i="60" s="1"/>
  <c r="Q48" i="59"/>
  <c r="Q64" i="59"/>
  <c r="Q100" i="59"/>
  <c r="Q96" i="59"/>
  <c r="Q54" i="59"/>
  <c r="Q60" i="59"/>
  <c r="Q68" i="59" l="1"/>
  <c r="N26" i="60"/>
  <c r="K26" i="60" s="1"/>
  <c r="N125" i="60"/>
  <c r="K128" i="60"/>
  <c r="K138" i="60" s="1"/>
  <c r="N138" i="60"/>
  <c r="K125" i="60"/>
  <c r="I19" i="65"/>
  <c r="H19" i="65"/>
  <c r="G19" i="65"/>
  <c r="F19" i="65"/>
  <c r="E19" i="65"/>
  <c r="R174" i="59"/>
  <c r="R175" i="59" s="1"/>
  <c r="O174" i="59"/>
  <c r="O175" i="59" s="1"/>
  <c r="L174" i="59"/>
  <c r="L175" i="59" s="1"/>
  <c r="I174" i="59"/>
  <c r="I175" i="59" s="1"/>
  <c r="F174" i="59"/>
  <c r="F175" i="59" s="1"/>
  <c r="Q174" i="59"/>
  <c r="Q175" i="59" s="1"/>
  <c r="N174" i="59"/>
  <c r="N175" i="59" s="1"/>
  <c r="K174" i="59"/>
  <c r="K175" i="59" s="1"/>
  <c r="H174" i="59"/>
  <c r="H175" i="59" s="1"/>
  <c r="E174" i="59"/>
  <c r="E175" i="59" s="1"/>
  <c r="B192" i="59"/>
  <c r="B193" i="59" s="1"/>
  <c r="B194" i="59" s="1"/>
  <c r="B195" i="59" s="1"/>
  <c r="B196" i="59" s="1"/>
  <c r="B183" i="59"/>
  <c r="B184" i="59" s="1"/>
  <c r="B185" i="59" s="1"/>
  <c r="B186" i="59" s="1"/>
  <c r="B187" i="59" s="1"/>
  <c r="B169" i="59"/>
  <c r="B170" i="59" s="1"/>
  <c r="B171" i="59" s="1"/>
  <c r="B172" i="59" s="1"/>
  <c r="B173" i="59" s="1"/>
  <c r="B174" i="59" s="1"/>
  <c r="B175" i="59" s="1"/>
  <c r="B176" i="59" s="1"/>
  <c r="B177" i="59" s="1"/>
  <c r="B178" i="59" s="1"/>
  <c r="E186" i="59" l="1"/>
  <c r="Q186" i="59"/>
  <c r="O186" i="59"/>
  <c r="H186" i="59"/>
  <c r="F186" i="59"/>
  <c r="R186" i="59"/>
  <c r="N186" i="59"/>
  <c r="L186" i="59"/>
  <c r="K186" i="59"/>
  <c r="I186" i="59"/>
  <c r="E177" i="59"/>
  <c r="H177" i="59"/>
  <c r="F177" i="59"/>
  <c r="K177" i="59"/>
  <c r="N177" i="59"/>
  <c r="Q177" i="59"/>
  <c r="I177" i="59"/>
  <c r="O177" i="59"/>
  <c r="R177" i="59"/>
  <c r="L177" i="59"/>
  <c r="D18" i="55" l="1"/>
  <c r="K18" i="55"/>
  <c r="M17" i="65" l="1"/>
  <c r="M13" i="58" s="1"/>
  <c r="I17" i="65"/>
  <c r="I13" i="58" s="1"/>
  <c r="E17" i="65"/>
  <c r="I55" i="66"/>
  <c r="H55" i="66"/>
  <c r="G55" i="66"/>
  <c r="F55" i="66"/>
  <c r="E55" i="66"/>
  <c r="I54" i="66"/>
  <c r="H54" i="66"/>
  <c r="G54" i="66"/>
  <c r="F54" i="66"/>
  <c r="E54" i="66"/>
  <c r="I52" i="66"/>
  <c r="H52" i="66"/>
  <c r="G52" i="66"/>
  <c r="F52" i="66"/>
  <c r="E52" i="66"/>
  <c r="E46" i="66"/>
  <c r="H46" i="66" s="1"/>
  <c r="H53" i="66" s="1"/>
  <c r="Q10" i="66" s="1"/>
  <c r="W12" i="66"/>
  <c r="P15" i="65"/>
  <c r="O15" i="65"/>
  <c r="K15" i="65"/>
  <c r="L15" i="65" s="1"/>
  <c r="G15" i="65"/>
  <c r="H15" i="65" s="1"/>
  <c r="Q16" i="65"/>
  <c r="R16" i="65" s="1"/>
  <c r="L16" i="65"/>
  <c r="H16" i="65"/>
  <c r="E12" i="78"/>
  <c r="D12" i="78"/>
  <c r="B12" i="58"/>
  <c r="B13" i="58" s="1"/>
  <c r="B14" i="58" s="1"/>
  <c r="B15" i="58" s="1"/>
  <c r="B16" i="58" s="1"/>
  <c r="B17" i="58" s="1"/>
  <c r="B18" i="58" s="1"/>
  <c r="B19" i="58" s="1"/>
  <c r="B20" i="58" s="1"/>
  <c r="B21" i="58" s="1"/>
  <c r="B22" i="58" s="1"/>
  <c r="B23" i="58" s="1"/>
  <c r="B24" i="58" s="1"/>
  <c r="B25" i="58" s="1"/>
  <c r="B26" i="58" s="1"/>
  <c r="B27" i="58" s="1"/>
  <c r="E13" i="78" l="1"/>
  <c r="D13" i="78" s="1"/>
  <c r="I46" i="66"/>
  <c r="I53" i="66" s="1"/>
  <c r="S10" i="66" s="1"/>
  <c r="E53" i="66"/>
  <c r="K10" i="66" s="1"/>
  <c r="F46" i="66"/>
  <c r="F53" i="66" s="1"/>
  <c r="M10" i="66" s="1"/>
  <c r="G46" i="66"/>
  <c r="G53" i="66" s="1"/>
  <c r="O10" i="66" s="1"/>
  <c r="E51" i="66"/>
  <c r="I51" i="66"/>
  <c r="H51" i="66"/>
  <c r="R10" i="66" s="1"/>
  <c r="F51" i="66"/>
  <c r="G51" i="66"/>
  <c r="W14" i="66"/>
  <c r="W13" i="66"/>
  <c r="W15" i="66"/>
  <c r="W16" i="66"/>
  <c r="Q15" i="65"/>
  <c r="B72" i="60"/>
  <c r="B73" i="60" s="1"/>
  <c r="B74" i="60" s="1"/>
  <c r="B75" i="60" s="1"/>
  <c r="B76" i="60" s="1"/>
  <c r="B77" i="60" s="1"/>
  <c r="B78" i="60" s="1"/>
  <c r="B79" i="60" s="1"/>
  <c r="B80" i="60" s="1"/>
  <c r="B81" i="60" s="1"/>
  <c r="B58" i="60"/>
  <c r="B59" i="60" s="1"/>
  <c r="B60" i="60" s="1"/>
  <c r="B61" i="60" s="1"/>
  <c r="B62" i="60" s="1"/>
  <c r="B63" i="60" s="1"/>
  <c r="B64" i="60" s="1"/>
  <c r="B65" i="60" s="1"/>
  <c r="B66" i="60" s="1"/>
  <c r="B67" i="60" s="1"/>
  <c r="P4" i="104"/>
  <c r="T10" i="66" l="1"/>
  <c r="S11" i="65"/>
  <c r="S10" i="65" s="1"/>
  <c r="N10" i="66"/>
  <c r="L10" i="66"/>
  <c r="W11" i="65"/>
  <c r="W10" i="65" s="1"/>
  <c r="V11" i="65"/>
  <c r="V10" i="65" s="1"/>
  <c r="U11" i="65"/>
  <c r="U10" i="65" s="1"/>
  <c r="P10" i="66"/>
  <c r="T11" i="65"/>
  <c r="T10" i="65" s="1"/>
  <c r="P10" i="65"/>
  <c r="O10" i="65"/>
  <c r="W17" i="66"/>
  <c r="R15" i="65"/>
  <c r="I23" i="59" l="1"/>
  <c r="Q10" i="65"/>
  <c r="H18" i="55" l="1"/>
  <c r="Q38" i="91" l="1"/>
  <c r="Q35" i="91"/>
  <c r="V111" i="115"/>
  <c r="Q111" i="115"/>
  <c r="L111" i="115"/>
  <c r="G111" i="115"/>
  <c r="V110" i="115"/>
  <c r="Q110" i="115"/>
  <c r="L110" i="115"/>
  <c r="G110" i="115"/>
  <c r="V109" i="115"/>
  <c r="Q109" i="115"/>
  <c r="L109" i="115"/>
  <c r="G109" i="115"/>
  <c r="V108" i="115"/>
  <c r="Q108" i="115"/>
  <c r="L108" i="115"/>
  <c r="G108" i="115"/>
  <c r="V107" i="115"/>
  <c r="Q107" i="115"/>
  <c r="L107" i="115"/>
  <c r="G107" i="115"/>
  <c r="V106" i="115"/>
  <c r="Q106" i="115"/>
  <c r="L106" i="115"/>
  <c r="G106" i="115"/>
  <c r="V105" i="115"/>
  <c r="Q105" i="115"/>
  <c r="L105" i="115"/>
  <c r="G105" i="115"/>
  <c r="V104" i="115"/>
  <c r="Q104" i="115"/>
  <c r="L104" i="115"/>
  <c r="G104" i="115"/>
  <c r="V103" i="115"/>
  <c r="Q103" i="115"/>
  <c r="L103" i="115"/>
  <c r="G103" i="115"/>
  <c r="V102" i="115"/>
  <c r="Q102" i="115"/>
  <c r="L102" i="115"/>
  <c r="G102" i="115"/>
  <c r="V101" i="115"/>
  <c r="Q101" i="115"/>
  <c r="L101" i="115"/>
  <c r="G101" i="115"/>
  <c r="V100" i="115"/>
  <c r="Q100" i="115"/>
  <c r="L100" i="115"/>
  <c r="G100" i="115"/>
  <c r="V99" i="115"/>
  <c r="Q99" i="115"/>
  <c r="L99" i="115"/>
  <c r="G99" i="115"/>
  <c r="V98" i="115"/>
  <c r="Q98" i="115"/>
  <c r="L98" i="115"/>
  <c r="G98" i="115"/>
  <c r="V97" i="115"/>
  <c r="Q97" i="115"/>
  <c r="L97" i="115"/>
  <c r="G97" i="115"/>
  <c r="V96" i="115"/>
  <c r="Q96" i="115"/>
  <c r="L96" i="115"/>
  <c r="G96" i="115"/>
  <c r="V95" i="115"/>
  <c r="Q95" i="115"/>
  <c r="L95" i="115"/>
  <c r="G95" i="115"/>
  <c r="V84" i="115"/>
  <c r="Q84" i="115"/>
  <c r="L84" i="115"/>
  <c r="G84" i="115"/>
  <c r="V83" i="115"/>
  <c r="Q83" i="115"/>
  <c r="L83" i="115"/>
  <c r="G83" i="115"/>
  <c r="V82" i="115"/>
  <c r="Q82" i="115"/>
  <c r="L82" i="115"/>
  <c r="G82" i="115"/>
  <c r="V81" i="115"/>
  <c r="Q81" i="115"/>
  <c r="L81" i="115"/>
  <c r="G81" i="115"/>
  <c r="V80" i="115"/>
  <c r="Q80" i="115"/>
  <c r="L80" i="115"/>
  <c r="G80" i="115"/>
  <c r="V79" i="115"/>
  <c r="Q79" i="115"/>
  <c r="L79" i="115"/>
  <c r="G79" i="115"/>
  <c r="V78" i="115"/>
  <c r="Q78" i="115"/>
  <c r="L78" i="115"/>
  <c r="G78" i="115"/>
  <c r="V77" i="115"/>
  <c r="Q77" i="115"/>
  <c r="L77" i="115"/>
  <c r="G77" i="115"/>
  <c r="V76" i="115"/>
  <c r="Q76" i="115"/>
  <c r="L76" i="115"/>
  <c r="G76" i="115"/>
  <c r="V75" i="115"/>
  <c r="Q75" i="115"/>
  <c r="L75" i="115"/>
  <c r="G75" i="115"/>
  <c r="V74" i="115"/>
  <c r="Q74" i="115"/>
  <c r="L74" i="115"/>
  <c r="G74" i="115"/>
  <c r="V73" i="115"/>
  <c r="Q73" i="115"/>
  <c r="L73" i="115"/>
  <c r="G73" i="115"/>
  <c r="V72" i="115"/>
  <c r="Q72" i="115"/>
  <c r="L72" i="115"/>
  <c r="G72" i="115"/>
  <c r="V71" i="115"/>
  <c r="Q71" i="115"/>
  <c r="L71" i="115"/>
  <c r="G71" i="115"/>
  <c r="V70" i="115"/>
  <c r="Q70" i="115"/>
  <c r="L70" i="115"/>
  <c r="G70" i="115"/>
  <c r="V69" i="115"/>
  <c r="Q69" i="115"/>
  <c r="L69" i="115"/>
  <c r="G69" i="115"/>
  <c r="V68" i="115"/>
  <c r="Q68" i="115"/>
  <c r="L68" i="115"/>
  <c r="G68" i="115"/>
  <c r="V56" i="115"/>
  <c r="Q56" i="115"/>
  <c r="L56" i="115"/>
  <c r="G56" i="115"/>
  <c r="G164" i="115" s="1"/>
  <c r="V55" i="115"/>
  <c r="Q55" i="115"/>
  <c r="L55" i="115"/>
  <c r="G55" i="115"/>
  <c r="V54" i="115"/>
  <c r="Q54" i="115"/>
  <c r="L54" i="115"/>
  <c r="G54" i="115"/>
  <c r="G162" i="115" s="1"/>
  <c r="V53" i="115"/>
  <c r="Q53" i="115"/>
  <c r="L53" i="115"/>
  <c r="G53" i="115"/>
  <c r="V52" i="115"/>
  <c r="Q52" i="115"/>
  <c r="L52" i="115"/>
  <c r="G52" i="115"/>
  <c r="G160" i="115" s="1"/>
  <c r="V51" i="115"/>
  <c r="Q51" i="115"/>
  <c r="L51" i="115"/>
  <c r="G51" i="115"/>
  <c r="V50" i="115"/>
  <c r="Q50" i="115"/>
  <c r="L50" i="115"/>
  <c r="G50" i="115"/>
  <c r="G158" i="115" s="1"/>
  <c r="V49" i="115"/>
  <c r="Q49" i="115"/>
  <c r="L49" i="115"/>
  <c r="G49" i="115"/>
  <c r="V48" i="115"/>
  <c r="Q48" i="115"/>
  <c r="L48" i="115"/>
  <c r="G48" i="115"/>
  <c r="G156" i="115" s="1"/>
  <c r="V47" i="115"/>
  <c r="Q47" i="115"/>
  <c r="L47" i="115"/>
  <c r="G47" i="115"/>
  <c r="V46" i="115"/>
  <c r="Q46" i="115"/>
  <c r="L46" i="115"/>
  <c r="G46" i="115"/>
  <c r="G154" i="115" s="1"/>
  <c r="V45" i="115"/>
  <c r="Q45" i="115"/>
  <c r="L45" i="115"/>
  <c r="G45" i="115"/>
  <c r="V44" i="115"/>
  <c r="Q44" i="115"/>
  <c r="L44" i="115"/>
  <c r="G44" i="115"/>
  <c r="G152" i="115" s="1"/>
  <c r="V43" i="115"/>
  <c r="Q43" i="115"/>
  <c r="L43" i="115"/>
  <c r="G43" i="115"/>
  <c r="V42" i="115"/>
  <c r="Q42" i="115"/>
  <c r="L42" i="115"/>
  <c r="G42" i="115"/>
  <c r="G150" i="115" s="1"/>
  <c r="V41" i="115"/>
  <c r="Q41" i="115"/>
  <c r="L41" i="115"/>
  <c r="G41" i="115"/>
  <c r="V40" i="115"/>
  <c r="Q40" i="115"/>
  <c r="L40" i="115"/>
  <c r="G40" i="115"/>
  <c r="G148" i="115" s="1"/>
  <c r="V30" i="115"/>
  <c r="Q30" i="115"/>
  <c r="P30" i="115"/>
  <c r="O30" i="115"/>
  <c r="L30" i="115"/>
  <c r="G30" i="115"/>
  <c r="V29" i="115"/>
  <c r="V137" i="115" s="1"/>
  <c r="Q29" i="115"/>
  <c r="P29" i="115"/>
  <c r="O29" i="115"/>
  <c r="L29" i="115"/>
  <c r="L137" i="115" s="1"/>
  <c r="G29" i="115"/>
  <c r="V28" i="115"/>
  <c r="Q28" i="115"/>
  <c r="P28" i="115"/>
  <c r="O28" i="115"/>
  <c r="L28" i="115"/>
  <c r="G28" i="115"/>
  <c r="V27" i="115"/>
  <c r="Q27" i="115"/>
  <c r="Q135" i="115" s="1"/>
  <c r="P27" i="115"/>
  <c r="O27" i="115"/>
  <c r="L27" i="115"/>
  <c r="L135" i="115" s="1"/>
  <c r="G27" i="115"/>
  <c r="V26" i="115"/>
  <c r="V134" i="115" s="1"/>
  <c r="Q26" i="115"/>
  <c r="P26" i="115"/>
  <c r="O26" i="115"/>
  <c r="L26" i="115"/>
  <c r="G26" i="115"/>
  <c r="V25" i="115"/>
  <c r="Q25" i="115"/>
  <c r="Q133" i="115" s="1"/>
  <c r="P25" i="115"/>
  <c r="O25" i="115"/>
  <c r="L25" i="115"/>
  <c r="G25" i="115"/>
  <c r="V24" i="115"/>
  <c r="Q24" i="115"/>
  <c r="P24" i="115"/>
  <c r="O24" i="115"/>
  <c r="L24" i="115"/>
  <c r="G24" i="115"/>
  <c r="V23" i="115"/>
  <c r="Q23" i="115"/>
  <c r="P23" i="115"/>
  <c r="O23" i="115"/>
  <c r="L23" i="115"/>
  <c r="G23" i="115"/>
  <c r="G131" i="115" s="1"/>
  <c r="V22" i="115"/>
  <c r="Q22" i="115"/>
  <c r="P22" i="115"/>
  <c r="O22" i="115"/>
  <c r="L22" i="115"/>
  <c r="G22" i="115"/>
  <c r="V21" i="115"/>
  <c r="Q21" i="115"/>
  <c r="P21" i="115"/>
  <c r="O21" i="115"/>
  <c r="L21" i="115"/>
  <c r="L129" i="115" s="1"/>
  <c r="G21" i="115"/>
  <c r="V20" i="115"/>
  <c r="Q20" i="115"/>
  <c r="P20" i="115"/>
  <c r="O20" i="115"/>
  <c r="L20" i="115"/>
  <c r="G20" i="115"/>
  <c r="V19" i="115"/>
  <c r="Q19" i="115"/>
  <c r="Q127" i="115" s="1"/>
  <c r="P19" i="115"/>
  <c r="O19" i="115"/>
  <c r="L19" i="115"/>
  <c r="L127" i="115" s="1"/>
  <c r="G19" i="115"/>
  <c r="G127" i="115" s="1"/>
  <c r="V18" i="115"/>
  <c r="V126" i="115" s="1"/>
  <c r="Q18" i="115"/>
  <c r="P18" i="115"/>
  <c r="O18" i="115"/>
  <c r="L18" i="115"/>
  <c r="G18" i="115"/>
  <c r="V17" i="115"/>
  <c r="Q17" i="115"/>
  <c r="P17" i="115"/>
  <c r="O17" i="115"/>
  <c r="L17" i="115"/>
  <c r="G17" i="115"/>
  <c r="V16" i="115"/>
  <c r="Q16" i="115"/>
  <c r="P16" i="115"/>
  <c r="O16" i="115"/>
  <c r="L16" i="115"/>
  <c r="G16" i="115"/>
  <c r="V15" i="115"/>
  <c r="Q15" i="115"/>
  <c r="P15" i="115"/>
  <c r="O15" i="115"/>
  <c r="L15" i="115"/>
  <c r="L123" i="115" s="1"/>
  <c r="G15" i="115"/>
  <c r="V14" i="115"/>
  <c r="Q14" i="115"/>
  <c r="P14" i="115"/>
  <c r="O14" i="115"/>
  <c r="L14" i="115"/>
  <c r="G14" i="115"/>
  <c r="K5" i="115"/>
  <c r="K4" i="115"/>
  <c r="V165" i="115"/>
  <c r="U165" i="115"/>
  <c r="T165" i="115"/>
  <c r="Q165" i="115"/>
  <c r="P165" i="115"/>
  <c r="O165" i="115"/>
  <c r="L165" i="115"/>
  <c r="K165" i="115"/>
  <c r="J165" i="115"/>
  <c r="B149" i="115"/>
  <c r="B150" i="115" s="1"/>
  <c r="B151" i="115" s="1"/>
  <c r="B152" i="115" s="1"/>
  <c r="B153" i="115" s="1"/>
  <c r="B154" i="115" s="1"/>
  <c r="B155" i="115" s="1"/>
  <c r="B156" i="115" s="1"/>
  <c r="B157" i="115" s="1"/>
  <c r="B158" i="115" s="1"/>
  <c r="B159" i="115" s="1"/>
  <c r="B160" i="115" s="1"/>
  <c r="B161" i="115" s="1"/>
  <c r="B162" i="115" s="1"/>
  <c r="B163" i="115" s="1"/>
  <c r="B164" i="115" s="1"/>
  <c r="B123" i="115"/>
  <c r="B124" i="115" s="1"/>
  <c r="B125" i="115" s="1"/>
  <c r="B126" i="115" s="1"/>
  <c r="B127" i="115" s="1"/>
  <c r="B128" i="115" s="1"/>
  <c r="B129" i="115" s="1"/>
  <c r="B130" i="115" s="1"/>
  <c r="B131" i="115" s="1"/>
  <c r="B132" i="115" s="1"/>
  <c r="B133" i="115" s="1"/>
  <c r="B134" i="115" s="1"/>
  <c r="B135" i="115" s="1"/>
  <c r="B136" i="115" s="1"/>
  <c r="B137" i="115" s="1"/>
  <c r="B138" i="115" s="1"/>
  <c r="B96" i="115"/>
  <c r="B97" i="115" s="1"/>
  <c r="B98" i="115" s="1"/>
  <c r="B99" i="115" s="1"/>
  <c r="B100" i="115" s="1"/>
  <c r="B101" i="115" s="1"/>
  <c r="B102" i="115" s="1"/>
  <c r="B103" i="115" s="1"/>
  <c r="B104" i="115" s="1"/>
  <c r="B105" i="115" s="1"/>
  <c r="B106" i="115" s="1"/>
  <c r="B107" i="115" s="1"/>
  <c r="B108" i="115" s="1"/>
  <c r="B109" i="115" s="1"/>
  <c r="B110" i="115" s="1"/>
  <c r="B111" i="115" s="1"/>
  <c r="B69" i="115"/>
  <c r="B70" i="115" s="1"/>
  <c r="B71" i="115" s="1"/>
  <c r="B72" i="115" s="1"/>
  <c r="B73" i="115" s="1"/>
  <c r="B74" i="115" s="1"/>
  <c r="B75" i="115" s="1"/>
  <c r="B76" i="115" s="1"/>
  <c r="B77" i="115" s="1"/>
  <c r="B78" i="115" s="1"/>
  <c r="B79" i="115" s="1"/>
  <c r="B80" i="115" s="1"/>
  <c r="B81" i="115" s="1"/>
  <c r="B82" i="115" s="1"/>
  <c r="B83" i="115" s="1"/>
  <c r="B84" i="115" s="1"/>
  <c r="B41" i="115"/>
  <c r="B42" i="115" s="1"/>
  <c r="B43" i="115" s="1"/>
  <c r="B44" i="115" s="1"/>
  <c r="B45" i="115" s="1"/>
  <c r="B46" i="115" s="1"/>
  <c r="B47" i="115" s="1"/>
  <c r="B48" i="115" s="1"/>
  <c r="B49" i="115" s="1"/>
  <c r="B50" i="115" s="1"/>
  <c r="B51" i="115" s="1"/>
  <c r="B52" i="115" s="1"/>
  <c r="B53" i="115" s="1"/>
  <c r="B54" i="115" s="1"/>
  <c r="B55" i="115" s="1"/>
  <c r="B56" i="115" s="1"/>
  <c r="Q131" i="115"/>
  <c r="B15" i="115"/>
  <c r="B16" i="115" s="1"/>
  <c r="B17" i="115" s="1"/>
  <c r="B18" i="115" s="1"/>
  <c r="B19" i="115" s="1"/>
  <c r="B20" i="115" s="1"/>
  <c r="B21" i="115" s="1"/>
  <c r="B22" i="115" s="1"/>
  <c r="B23" i="115" s="1"/>
  <c r="B24" i="115" s="1"/>
  <c r="B25" i="115" s="1"/>
  <c r="B26" i="115" s="1"/>
  <c r="B27" i="115" s="1"/>
  <c r="B28" i="115" s="1"/>
  <c r="B29" i="115" s="1"/>
  <c r="B30" i="115"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V133" i="115" l="1"/>
  <c r="V125" i="115"/>
  <c r="L85" i="115"/>
  <c r="G126" i="115"/>
  <c r="G134" i="115"/>
  <c r="G130" i="115"/>
  <c r="G138" i="115"/>
  <c r="G129" i="115"/>
  <c r="G137" i="115"/>
  <c r="G133" i="115"/>
  <c r="L125" i="115"/>
  <c r="L133" i="115"/>
  <c r="Q136" i="115"/>
  <c r="L122" i="115"/>
  <c r="G132" i="115"/>
  <c r="G122" i="115"/>
  <c r="G136" i="115"/>
  <c r="Q126" i="115"/>
  <c r="V128" i="115"/>
  <c r="Q134" i="115"/>
  <c r="G159" i="115"/>
  <c r="L124" i="115"/>
  <c r="L128" i="115"/>
  <c r="L134" i="115"/>
  <c r="L136" i="115"/>
  <c r="L138" i="115"/>
  <c r="Q132" i="115"/>
  <c r="V112" i="115"/>
  <c r="V124" i="115"/>
  <c r="Q130" i="115"/>
  <c r="Q124" i="115"/>
  <c r="Q128" i="115"/>
  <c r="V138" i="115"/>
  <c r="G128" i="115"/>
  <c r="G149" i="115"/>
  <c r="G151" i="115"/>
  <c r="G153" i="115"/>
  <c r="G155" i="115"/>
  <c r="G157" i="115"/>
  <c r="G161" i="115"/>
  <c r="G163" i="115"/>
  <c r="L57" i="115"/>
  <c r="Q129" i="115"/>
  <c r="V123" i="115"/>
  <c r="V127" i="115"/>
  <c r="V131" i="115"/>
  <c r="V135" i="115"/>
  <c r="G85" i="115"/>
  <c r="Q137" i="115"/>
  <c r="Q122" i="115"/>
  <c r="Q31" i="115"/>
  <c r="Q123" i="115"/>
  <c r="L126" i="115"/>
  <c r="L130" i="115"/>
  <c r="V130" i="115"/>
  <c r="L132" i="115"/>
  <c r="Q138" i="115"/>
  <c r="Q112" i="115"/>
  <c r="G123" i="115"/>
  <c r="G124" i="115"/>
  <c r="L131" i="115"/>
  <c r="V132" i="115"/>
  <c r="V136" i="115"/>
  <c r="L31" i="115"/>
  <c r="V85" i="115"/>
  <c r="Q85" i="115"/>
  <c r="V57" i="115"/>
  <c r="V129" i="115"/>
  <c r="G125" i="115"/>
  <c r="Q125" i="115"/>
  <c r="G135" i="115"/>
  <c r="V122" i="115"/>
  <c r="V31" i="115"/>
  <c r="P31" i="115"/>
  <c r="Q57" i="115"/>
  <c r="G112" i="115"/>
  <c r="G31" i="115"/>
  <c r="O31" i="115"/>
  <c r="G57" i="115"/>
  <c r="L112" i="115"/>
  <c r="C2" i="114"/>
  <c r="C2" i="113"/>
  <c r="G2" i="112"/>
  <c r="G2" i="111"/>
  <c r="G2" i="110"/>
  <c r="H3" i="109"/>
  <c r="H2" i="108"/>
  <c r="C2" i="107"/>
  <c r="E2" i="106"/>
  <c r="G165" i="115" l="1"/>
  <c r="L139" i="115"/>
  <c r="G139" i="115"/>
  <c r="V139" i="115"/>
  <c r="Q139" i="115"/>
  <c r="A2" i="105"/>
  <c r="P5" i="104" l="1"/>
  <c r="AA87" i="104"/>
  <c r="V87" i="104"/>
  <c r="Q87" i="104"/>
  <c r="L87" i="104"/>
  <c r="G87" i="104"/>
  <c r="D86" i="104"/>
  <c r="B71" i="104"/>
  <c r="B72" i="104" s="1"/>
  <c r="B73" i="104" s="1"/>
  <c r="B74" i="104" s="1"/>
  <c r="B75" i="104" s="1"/>
  <c r="B76" i="104" s="1"/>
  <c r="B77" i="104" s="1"/>
  <c r="B78" i="104" s="1"/>
  <c r="B79" i="104" s="1"/>
  <c r="B80" i="104" s="1"/>
  <c r="B81" i="104" s="1"/>
  <c r="B82" i="104" s="1"/>
  <c r="B83" i="104" s="1"/>
  <c r="B84" i="104" s="1"/>
  <c r="B85" i="104" s="1"/>
  <c r="B86" i="104" s="1"/>
  <c r="V61" i="104"/>
  <c r="Q61" i="104"/>
  <c r="L61" i="104"/>
  <c r="G61" i="104"/>
  <c r="F60" i="104"/>
  <c r="F58" i="104"/>
  <c r="F57" i="104"/>
  <c r="F56" i="104"/>
  <c r="F55" i="104"/>
  <c r="F54" i="104"/>
  <c r="F53" i="104"/>
  <c r="F52" i="104"/>
  <c r="F51" i="104"/>
  <c r="F50" i="104"/>
  <c r="F49" i="104"/>
  <c r="F48" i="104"/>
  <c r="F47" i="104"/>
  <c r="F46" i="104"/>
  <c r="F45" i="104"/>
  <c r="B45" i="104"/>
  <c r="B46" i="104" s="1"/>
  <c r="B47" i="104" s="1"/>
  <c r="B48" i="104" s="1"/>
  <c r="B49" i="104" s="1"/>
  <c r="B50" i="104" s="1"/>
  <c r="B51" i="104" s="1"/>
  <c r="B52" i="104" s="1"/>
  <c r="B53" i="104" s="1"/>
  <c r="B54" i="104" s="1"/>
  <c r="B55" i="104" s="1"/>
  <c r="B56" i="104" s="1"/>
  <c r="B57" i="104" s="1"/>
  <c r="B58" i="104" s="1"/>
  <c r="B59" i="104" s="1"/>
  <c r="B60" i="104" s="1"/>
  <c r="F44" i="104"/>
  <c r="AA33" i="104"/>
  <c r="V33" i="104"/>
  <c r="Q33" i="104"/>
  <c r="L33" i="104"/>
  <c r="B17" i="104"/>
  <c r="B18" i="104" s="1"/>
  <c r="B19" i="104" s="1"/>
  <c r="B20" i="104" s="1"/>
  <c r="B21" i="104" s="1"/>
  <c r="B22" i="104" s="1"/>
  <c r="B23" i="104" s="1"/>
  <c r="B24" i="104" s="1"/>
  <c r="B25" i="104" s="1"/>
  <c r="B26" i="104" s="1"/>
  <c r="B27" i="104" s="1"/>
  <c r="B28" i="104" s="1"/>
  <c r="B29" i="104" s="1"/>
  <c r="B30" i="104" s="1"/>
  <c r="B31" i="104" s="1"/>
  <c r="B32" i="104" s="1"/>
  <c r="B64" i="55"/>
  <c r="B65" i="55" s="1"/>
  <c r="B55" i="55"/>
  <c r="B56" i="55" s="1"/>
  <c r="B57" i="55" s="1"/>
  <c r="B58" i="55" s="1"/>
  <c r="K30" i="115" l="1"/>
  <c r="J30" i="115"/>
  <c r="K29" i="115"/>
  <c r="J29" i="115"/>
  <c r="K28" i="115"/>
  <c r="J28" i="115"/>
  <c r="K27" i="115"/>
  <c r="J27" i="115"/>
  <c r="K26" i="115"/>
  <c r="J26" i="115"/>
  <c r="K25" i="115"/>
  <c r="J25" i="115"/>
  <c r="K24" i="115"/>
  <c r="J24" i="115"/>
  <c r="K23" i="115"/>
  <c r="J23" i="115"/>
  <c r="K22" i="115"/>
  <c r="J22" i="115"/>
  <c r="K21" i="115"/>
  <c r="J21" i="115"/>
  <c r="K20" i="115"/>
  <c r="J20" i="115"/>
  <c r="K19" i="115"/>
  <c r="J19" i="115"/>
  <c r="K18" i="115"/>
  <c r="J18" i="115"/>
  <c r="K17" i="115"/>
  <c r="J17" i="115"/>
  <c r="K16" i="115"/>
  <c r="J16" i="115"/>
  <c r="K15" i="115"/>
  <c r="J15" i="115"/>
  <c r="K14" i="115"/>
  <c r="J14" i="115"/>
  <c r="K31" i="115" l="1"/>
  <c r="J31" i="115"/>
  <c r="E79" i="67"/>
  <c r="D79" i="67" l="1"/>
  <c r="I17" i="55"/>
  <c r="I20" i="61"/>
  <c r="G20" i="61"/>
  <c r="M35" i="59"/>
  <c r="M34" i="59"/>
  <c r="M41" i="59"/>
  <c r="M39" i="59"/>
  <c r="N39" i="59" s="1"/>
  <c r="I39" i="59"/>
  <c r="J39" i="59" s="1"/>
  <c r="N41" i="59" l="1"/>
  <c r="V18" i="54"/>
  <c r="U18" i="54"/>
  <c r="M38" i="81"/>
  <c r="M25" i="59"/>
  <c r="M37" i="81"/>
  <c r="I37" i="81"/>
  <c r="I25" i="59"/>
  <c r="I22" i="59"/>
  <c r="I41" i="59"/>
  <c r="J56" i="81"/>
  <c r="J41" i="59" l="1"/>
  <c r="I48" i="81"/>
  <c r="I28" i="59"/>
  <c r="I42" i="81"/>
  <c r="I45" i="81" s="1"/>
  <c r="M28" i="59"/>
  <c r="M48" i="81"/>
  <c r="M42" i="81"/>
  <c r="M45" i="81" s="1"/>
  <c r="M33" i="59"/>
  <c r="M36" i="59" s="1"/>
  <c r="M37" i="59" s="1"/>
  <c r="Q16" i="91" l="1"/>
  <c r="E20" i="61"/>
  <c r="F30" i="115" l="1"/>
  <c r="E30" i="115"/>
  <c r="F29" i="115"/>
  <c r="E29" i="115"/>
  <c r="F28" i="115"/>
  <c r="E28" i="115"/>
  <c r="F27" i="115"/>
  <c r="E27" i="115"/>
  <c r="F26" i="115"/>
  <c r="E26" i="115"/>
  <c r="F25" i="115"/>
  <c r="E25" i="115"/>
  <c r="F24" i="115"/>
  <c r="E24" i="115"/>
  <c r="F23" i="115"/>
  <c r="E23" i="115"/>
  <c r="F22" i="115"/>
  <c r="E22" i="115"/>
  <c r="F21" i="115"/>
  <c r="E21" i="115"/>
  <c r="F20" i="115"/>
  <c r="E20" i="115"/>
  <c r="F19" i="115"/>
  <c r="E19" i="115"/>
  <c r="F18" i="115"/>
  <c r="E18" i="115"/>
  <c r="F17" i="115"/>
  <c r="E17" i="115"/>
  <c r="F16" i="115"/>
  <c r="E16" i="115"/>
  <c r="F15" i="115"/>
  <c r="E15" i="115"/>
  <c r="F14" i="115"/>
  <c r="E14" i="115"/>
  <c r="F31" i="81"/>
  <c r="Q11" i="91" l="1"/>
  <c r="Q8" i="91"/>
  <c r="E31" i="115"/>
  <c r="F31" i="115"/>
  <c r="E27" i="91"/>
  <c r="E224" i="54"/>
  <c r="E184" i="54"/>
  <c r="E154" i="54"/>
  <c r="E107" i="54"/>
  <c r="E87" i="54"/>
  <c r="E194" i="54" l="1"/>
  <c r="N3" i="58" l="1"/>
  <c r="Q19" i="91" l="1"/>
  <c r="F11" i="59" l="1"/>
  <c r="E11" i="59" s="1"/>
  <c r="F41" i="59" l="1"/>
  <c r="E64" i="59"/>
  <c r="E63" i="59"/>
  <c r="F39" i="59"/>
  <c r="E33" i="59"/>
  <c r="F43" i="59" l="1"/>
  <c r="E24" i="60" s="1"/>
  <c r="F19" i="59" l="1"/>
  <c r="F18" i="59"/>
  <c r="F16" i="59"/>
  <c r="F15" i="59"/>
  <c r="E31" i="70" l="1"/>
  <c r="E12" i="93" s="1"/>
  <c r="E14" i="93" l="1"/>
  <c r="E315" i="54"/>
  <c r="E37" i="81"/>
  <c r="E17" i="54" l="1"/>
  <c r="E15" i="93"/>
  <c r="E28" i="59"/>
  <c r="E42" i="81"/>
  <c r="E45" i="81" s="1"/>
  <c r="B375" i="98"/>
  <c r="B387" i="98" s="1"/>
  <c r="B337" i="98"/>
  <c r="B349" i="98" s="1"/>
  <c r="B299" i="98"/>
  <c r="B311" i="98" s="1"/>
  <c r="J38" i="81"/>
  <c r="J39" i="81"/>
  <c r="J40" i="8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Q28" i="91"/>
  <c r="Q26" i="91"/>
  <c r="Q25" i="91"/>
  <c r="Q24" i="91"/>
  <c r="J18" i="55"/>
  <c r="G18" i="55"/>
  <c r="M26" i="58"/>
  <c r="I26" i="58"/>
  <c r="L11" i="72" l="1"/>
  <c r="J41" i="81"/>
  <c r="L40" i="81"/>
  <c r="J37" i="81"/>
  <c r="J28" i="59" s="1"/>
  <c r="K35" i="81"/>
  <c r="I18" i="55"/>
  <c r="K37" i="81" l="1"/>
  <c r="E26" i="58"/>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Q29" i="91"/>
  <c r="E11" i="72" s="1"/>
  <c r="Q17" i="91"/>
  <c r="B14" i="91"/>
  <c r="B15" i="91" s="1"/>
  <c r="B16" i="91" s="1"/>
  <c r="B17" i="91" s="1"/>
  <c r="B18" i="91" s="1"/>
  <c r="B19" i="91" s="1"/>
  <c r="B20" i="91" s="1"/>
  <c r="B21" i="91" s="1"/>
  <c r="B22" i="91" s="1"/>
  <c r="B23" i="91" s="1"/>
  <c r="B24" i="91" s="1"/>
  <c r="B25" i="91" s="1"/>
  <c r="B26" i="91" s="1"/>
  <c r="B27" i="91" s="1"/>
  <c r="B28" i="91" s="1"/>
  <c r="B30" i="91" s="1"/>
  <c r="B31" i="91" s="1"/>
  <c r="B9" i="91"/>
  <c r="B10" i="91" s="1"/>
  <c r="B11" i="91" s="1"/>
  <c r="B12" i="91" s="1"/>
  <c r="J12" i="61"/>
  <c r="F12" i="61"/>
  <c r="J15" i="61"/>
  <c r="J16" i="61"/>
  <c r="J13" i="61"/>
  <c r="H15" i="61"/>
  <c r="H16" i="61"/>
  <c r="H12" i="61"/>
  <c r="H13" i="61"/>
  <c r="F16" i="61"/>
  <c r="F15" i="61"/>
  <c r="F13" i="61"/>
  <c r="I10" i="61"/>
  <c r="G10" i="61"/>
  <c r="H10" i="61"/>
  <c r="F10" i="61"/>
  <c r="E10" i="61"/>
  <c r="B33" i="61"/>
  <c r="B34" i="61" s="1"/>
  <c r="B35" i="61" s="1"/>
  <c r="F56" i="81"/>
  <c r="F40" i="81"/>
  <c r="F39" i="81"/>
  <c r="K46" i="100"/>
  <c r="P112" i="59"/>
  <c r="P111" i="59"/>
  <c r="P110" i="59"/>
  <c r="P109" i="59"/>
  <c r="P106" i="59"/>
  <c r="P104" i="59"/>
  <c r="O112" i="59"/>
  <c r="O111" i="59"/>
  <c r="O110" i="59"/>
  <c r="O109" i="59"/>
  <c r="O106" i="59"/>
  <c r="O104" i="59"/>
  <c r="P86" i="59"/>
  <c r="P85" i="59"/>
  <c r="P84" i="59"/>
  <c r="O86" i="59"/>
  <c r="O85" i="59"/>
  <c r="O84" i="59"/>
  <c r="P70" i="59"/>
  <c r="O70" i="59"/>
  <c r="N66" i="59"/>
  <c r="N65" i="59"/>
  <c r="P35" i="59"/>
  <c r="P34" i="59"/>
  <c r="P33" i="59"/>
  <c r="O35" i="59"/>
  <c r="O34" i="59"/>
  <c r="O33" i="59"/>
  <c r="I35" i="59"/>
  <c r="I34" i="59"/>
  <c r="I33" i="59"/>
  <c r="E35" i="59"/>
  <c r="E34" i="59"/>
  <c r="J38" i="59"/>
  <c r="H31" i="59"/>
  <c r="Q31" i="59"/>
  <c r="L31" i="59"/>
  <c r="P32" i="59"/>
  <c r="O32" i="59"/>
  <c r="B27" i="59"/>
  <c r="B28" i="59" s="1"/>
  <c r="H111" i="60"/>
  <c r="H110" i="60"/>
  <c r="H96" i="60"/>
  <c r="H95" i="60"/>
  <c r="H94" i="60"/>
  <c r="E111" i="60"/>
  <c r="E110" i="60"/>
  <c r="E96" i="60"/>
  <c r="E95" i="60"/>
  <c r="H40" i="81" l="1"/>
  <c r="Q33" i="59"/>
  <c r="I36" i="59"/>
  <c r="I37" i="59" s="1"/>
  <c r="Q34" i="59"/>
  <c r="Q35" i="59"/>
  <c r="P36" i="59"/>
  <c r="P37" i="59" s="1"/>
  <c r="O113" i="59"/>
  <c r="E36" i="59"/>
  <c r="E37" i="59" s="1"/>
  <c r="H39" i="81"/>
  <c r="L46" i="73"/>
  <c r="F38" i="81"/>
  <c r="O36" i="59"/>
  <c r="P113" i="59"/>
  <c r="G37" i="81"/>
  <c r="F37" i="81"/>
  <c r="F28" i="59" s="1"/>
  <c r="R31" i="59"/>
  <c r="F41" i="81" l="1"/>
  <c r="Q36" i="59"/>
  <c r="O37" i="59"/>
  <c r="Q37" i="59" s="1"/>
  <c r="W65" i="59" l="1"/>
  <c r="W111" i="59" s="1"/>
  <c r="V65" i="59"/>
  <c r="V111" i="59" s="1"/>
  <c r="U65" i="59"/>
  <c r="U111" i="59" s="1"/>
  <c r="T65" i="59"/>
  <c r="T111" i="59" s="1"/>
  <c r="S65" i="59"/>
  <c r="S111" i="59" s="1"/>
  <c r="T131" i="59" l="1"/>
  <c r="U131" i="59"/>
  <c r="V131" i="59"/>
  <c r="W131" i="59"/>
  <c r="T137" i="59"/>
  <c r="U137" i="59"/>
  <c r="V137" i="59"/>
  <c r="W137" i="59"/>
  <c r="S137" i="59"/>
  <c r="S131" i="59"/>
  <c r="T80" i="59"/>
  <c r="T123" i="59" s="1"/>
  <c r="U80" i="59"/>
  <c r="U123" i="59" s="1"/>
  <c r="V80" i="59"/>
  <c r="V123" i="59" s="1"/>
  <c r="W80" i="59"/>
  <c r="W123" i="59" s="1"/>
  <c r="S80" i="59"/>
  <c r="S123" i="59" s="1"/>
  <c r="T60" i="81"/>
  <c r="U60" i="81"/>
  <c r="V60" i="81"/>
  <c r="W60" i="81"/>
  <c r="T61" i="81"/>
  <c r="U61" i="81"/>
  <c r="V61" i="81"/>
  <c r="W61" i="81"/>
  <c r="S61" i="81"/>
  <c r="S60" i="81"/>
  <c r="T56" i="81"/>
  <c r="U56" i="81"/>
  <c r="V56" i="81"/>
  <c r="W56" i="81"/>
  <c r="S56" i="81"/>
  <c r="T52" i="81"/>
  <c r="U52" i="81"/>
  <c r="V52" i="81"/>
  <c r="W52" i="81"/>
  <c r="S52" i="81"/>
  <c r="T31" i="81"/>
  <c r="U31" i="81"/>
  <c r="V31" i="81"/>
  <c r="W31" i="81"/>
  <c r="S31" i="81"/>
  <c r="T25" i="81"/>
  <c r="U25" i="81"/>
  <c r="V25" i="81"/>
  <c r="W25" i="81"/>
  <c r="S25" i="81"/>
  <c r="T18" i="81"/>
  <c r="U18" i="81"/>
  <c r="V18" i="81"/>
  <c r="W18" i="81"/>
  <c r="T19" i="81"/>
  <c r="U19" i="81"/>
  <c r="V19" i="81"/>
  <c r="W19" i="81"/>
  <c r="T21" i="81"/>
  <c r="U21" i="81"/>
  <c r="V21" i="81"/>
  <c r="W21" i="81"/>
  <c r="T22" i="81"/>
  <c r="U22" i="81"/>
  <c r="V22" i="81"/>
  <c r="W22" i="81"/>
  <c r="S21" i="81"/>
  <c r="S22" i="81"/>
  <c r="S19" i="81"/>
  <c r="S18" i="81"/>
  <c r="Q15" i="59"/>
  <c r="O24" i="59"/>
  <c r="L27" i="77"/>
  <c r="M21" i="58"/>
  <c r="K27" i="77"/>
  <c r="I21" i="58"/>
  <c r="O25" i="71" l="1"/>
  <c r="Q38" i="59"/>
  <c r="N38" i="59" s="1"/>
  <c r="O65" i="71"/>
  <c r="O57" i="71"/>
  <c r="O49" i="71"/>
  <c r="F37" i="55"/>
  <c r="D14" i="93"/>
  <c r="L13" i="54"/>
  <c r="L14" i="54"/>
  <c r="L20" i="54"/>
  <c r="L24" i="54"/>
  <c r="L33" i="54"/>
  <c r="L34" i="54"/>
  <c r="L35" i="54"/>
  <c r="L36" i="54"/>
  <c r="K37" i="54"/>
  <c r="L37" i="54" s="1"/>
  <c r="L38" i="54"/>
  <c r="K39" i="54"/>
  <c r="L40" i="54"/>
  <c r="L43" i="54"/>
  <c r="L44" i="54"/>
  <c r="L45" i="54"/>
  <c r="L46" i="54"/>
  <c r="K47" i="54"/>
  <c r="L47" i="54" s="1"/>
  <c r="L48" i="54"/>
  <c r="K49" i="54"/>
  <c r="L50" i="54"/>
  <c r="L53" i="54"/>
  <c r="L54" i="54"/>
  <c r="L55" i="54"/>
  <c r="L56" i="54"/>
  <c r="K57" i="54"/>
  <c r="L57" i="54" s="1"/>
  <c r="L58" i="54"/>
  <c r="K59" i="54"/>
  <c r="L60" i="54"/>
  <c r="L63" i="54"/>
  <c r="L64" i="54"/>
  <c r="L65" i="54"/>
  <c r="L66" i="54"/>
  <c r="K67" i="54"/>
  <c r="L67" i="54" s="1"/>
  <c r="L68" i="54"/>
  <c r="K69" i="54"/>
  <c r="L70" i="54"/>
  <c r="L73" i="54"/>
  <c r="L74" i="54"/>
  <c r="L75" i="54"/>
  <c r="L76" i="54"/>
  <c r="K77" i="54"/>
  <c r="L77" i="54" s="1"/>
  <c r="L78" i="54"/>
  <c r="K79" i="54"/>
  <c r="L80" i="54"/>
  <c r="L83" i="54"/>
  <c r="L84" i="54"/>
  <c r="L85" i="54"/>
  <c r="L86" i="54"/>
  <c r="K87" i="54"/>
  <c r="L87" i="54" s="1"/>
  <c r="L88" i="54"/>
  <c r="K89" i="54"/>
  <c r="L90" i="54"/>
  <c r="L93" i="54"/>
  <c r="L94" i="54"/>
  <c r="L95" i="54"/>
  <c r="L96" i="54"/>
  <c r="K97" i="54"/>
  <c r="L97" i="54" s="1"/>
  <c r="L98" i="54"/>
  <c r="K99" i="54"/>
  <c r="L100" i="54"/>
  <c r="L103" i="54"/>
  <c r="L104" i="54"/>
  <c r="L105" i="54"/>
  <c r="L106" i="54"/>
  <c r="K107" i="54"/>
  <c r="L107" i="54" s="1"/>
  <c r="L108" i="54"/>
  <c r="K109"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V165" i="70"/>
  <c r="U165" i="70"/>
  <c r="T165" i="70"/>
  <c r="Q165" i="70"/>
  <c r="P165" i="70"/>
  <c r="O165" i="70"/>
  <c r="L165" i="70"/>
  <c r="K165" i="70"/>
  <c r="J165" i="70"/>
  <c r="V112" i="70"/>
  <c r="Q112" i="70"/>
  <c r="L112" i="70"/>
  <c r="G148" i="70"/>
  <c r="G149" i="70"/>
  <c r="G150" i="70"/>
  <c r="G151" i="70"/>
  <c r="G152" i="70"/>
  <c r="G153" i="70"/>
  <c r="G154" i="70"/>
  <c r="G155" i="70"/>
  <c r="G156" i="70"/>
  <c r="G157" i="70"/>
  <c r="G158" i="70"/>
  <c r="G159" i="70"/>
  <c r="G160" i="70"/>
  <c r="G161" i="70"/>
  <c r="G162" i="70"/>
  <c r="G163" i="70"/>
  <c r="G164" i="70"/>
  <c r="V57" i="70"/>
  <c r="Q57" i="70"/>
  <c r="L57" i="70"/>
  <c r="V31" i="70"/>
  <c r="G57" i="70"/>
  <c r="V85" i="70"/>
  <c r="G112" i="70"/>
  <c r="L109" i="54" l="1"/>
  <c r="L99" i="54"/>
  <c r="L89" i="54"/>
  <c r="L79" i="54"/>
  <c r="L69" i="54"/>
  <c r="L49" i="54"/>
  <c r="L39" i="54"/>
  <c r="L146" i="54"/>
  <c r="D17" i="54"/>
  <c r="D18" i="54" s="1"/>
  <c r="D12" i="55"/>
  <c r="L256" i="54"/>
  <c r="L246" i="54"/>
  <c r="L156" i="54"/>
  <c r="K122" i="54"/>
  <c r="G165" i="70"/>
  <c r="K120" i="54"/>
  <c r="K266" i="54"/>
  <c r="L59" i="54"/>
  <c r="L236" i="54"/>
  <c r="L226" i="54"/>
  <c r="L206" i="54"/>
  <c r="L196" i="54"/>
  <c r="L166" i="54"/>
  <c r="L177" i="54"/>
  <c r="L176" i="54" s="1"/>
  <c r="L150" i="54"/>
  <c r="L143" i="54"/>
  <c r="K267" i="54"/>
  <c r="L215" i="54"/>
  <c r="L216" i="54" s="1"/>
  <c r="L185" i="54"/>
  <c r="L186" i="54" s="1"/>
  <c r="K156" i="54"/>
  <c r="K268" i="54" s="1"/>
  <c r="K263" i="54"/>
  <c r="H11" i="67"/>
  <c r="H14" i="58"/>
  <c r="L14" i="58"/>
  <c r="E39" i="67" l="1"/>
  <c r="I11" i="80" l="1"/>
  <c r="F11" i="80"/>
  <c r="M11" i="58"/>
  <c r="I11" i="58"/>
  <c r="R14" i="58"/>
  <c r="E13" i="58" l="1"/>
  <c r="P22" i="81" l="1"/>
  <c r="O22" i="81"/>
  <c r="P21" i="81"/>
  <c r="O21" i="81"/>
  <c r="P19" i="81"/>
  <c r="O19" i="81"/>
  <c r="P18" i="81"/>
  <c r="O18" i="81"/>
  <c r="G22" i="81"/>
  <c r="G21" i="81"/>
  <c r="G19" i="81"/>
  <c r="G18" i="8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39" i="81"/>
  <c r="L35" i="81"/>
  <c r="Q27" i="81"/>
  <c r="L27" i="81"/>
  <c r="H27" i="81"/>
  <c r="F150" i="59" l="1"/>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Q112" i="59"/>
  <c r="Q111" i="59"/>
  <c r="Q92" i="59"/>
  <c r="Q91" i="59"/>
  <c r="L38" i="59"/>
  <c r="Q30" i="59"/>
  <c r="R30" i="59" s="1"/>
  <c r="L30" i="59"/>
  <c r="H30" i="59"/>
  <c r="R22" i="59"/>
  <c r="L22" i="59"/>
  <c r="H22" i="59"/>
  <c r="Q19" i="59"/>
  <c r="H19" i="59"/>
  <c r="Q18" i="59"/>
  <c r="H18" i="59"/>
  <c r="Q16" i="59"/>
  <c r="H16" i="59"/>
  <c r="H15" i="59"/>
  <c r="F131" i="59" l="1"/>
  <c r="H128" i="59"/>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J144" i="59"/>
  <c r="L144" i="59" s="1"/>
  <c r="O153" i="59"/>
  <c r="J148" i="59"/>
  <c r="L148" i="59" s="1"/>
  <c r="J145" i="59"/>
  <c r="L145" i="59" s="1"/>
  <c r="J152" i="59"/>
  <c r="L152" i="59" s="1"/>
  <c r="H131" i="59"/>
  <c r="J137" i="59"/>
  <c r="L134" i="59"/>
  <c r="L137" i="59" s="1"/>
  <c r="J149" i="59"/>
  <c r="L149" i="59" s="1"/>
  <c r="J142" i="59"/>
  <c r="L142" i="59" s="1"/>
  <c r="J146" i="59"/>
  <c r="L146" i="59" s="1"/>
  <c r="J150" i="59"/>
  <c r="L150" i="59" s="1"/>
  <c r="F152" i="59"/>
  <c r="H152" i="59" s="1"/>
  <c r="J143" i="59"/>
  <c r="L143" i="59" s="1"/>
  <c r="J147" i="59"/>
  <c r="L147" i="59" s="1"/>
  <c r="J151" i="59"/>
  <c r="L151" i="59" s="1"/>
  <c r="N140" i="59" l="1"/>
  <c r="Q153" i="59"/>
  <c r="N153" i="59" l="1"/>
  <c r="R140" i="59"/>
  <c r="R153" i="59" s="1"/>
  <c r="B58" i="78" l="1"/>
  <c r="B59" i="78" s="1"/>
  <c r="G19" i="78"/>
  <c r="B29" i="78"/>
  <c r="B30" i="78" s="1"/>
  <c r="V138" i="70" l="1"/>
  <c r="Q138" i="70"/>
  <c r="V137" i="70"/>
  <c r="Q137" i="70"/>
  <c r="V136" i="70"/>
  <c r="Q136" i="70"/>
  <c r="V135" i="70"/>
  <c r="Q135" i="70"/>
  <c r="V134" i="70"/>
  <c r="Q134" i="70"/>
  <c r="L138" i="70"/>
  <c r="G138" i="70"/>
  <c r="L137" i="70"/>
  <c r="G137" i="70"/>
  <c r="L136" i="70"/>
  <c r="G136" i="70"/>
  <c r="L135" i="70"/>
  <c r="G135" i="70"/>
  <c r="L134" i="70"/>
  <c r="G134" i="70"/>
  <c r="Q85" i="70"/>
  <c r="L85" i="70"/>
  <c r="G85" i="70"/>
  <c r="Q31" i="70" l="1"/>
  <c r="L31" i="70"/>
  <c r="G31" i="70"/>
  <c r="Q18" i="81" l="1"/>
  <c r="Q19" i="81"/>
  <c r="Q21" i="81"/>
  <c r="Q22" i="81"/>
  <c r="O81" i="59" l="1"/>
  <c r="O80" i="59"/>
  <c r="O123" i="59" l="1"/>
  <c r="O124" i="59"/>
  <c r="B116" i="60"/>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H35" i="67" l="1"/>
  <c r="M23" i="75"/>
  <c r="M24" i="75"/>
  <c r="H43" i="68"/>
  <c r="Q56" i="91" l="1"/>
  <c r="Q44" i="9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Q109" i="54"/>
  <c r="N109" i="54"/>
  <c r="Q107" i="54"/>
  <c r="N107" i="54"/>
  <c r="Q99" i="54"/>
  <c r="N99" i="54"/>
  <c r="Q97" i="54"/>
  <c r="N97" i="54"/>
  <c r="Q89" i="54"/>
  <c r="N89" i="54"/>
  <c r="Q87" i="54"/>
  <c r="N87" i="54"/>
  <c r="Q79" i="54"/>
  <c r="N79" i="54"/>
  <c r="Q77" i="54"/>
  <c r="N77" i="54"/>
  <c r="Q69" i="54"/>
  <c r="N69" i="54"/>
  <c r="Q67" i="54"/>
  <c r="N67" i="54"/>
  <c r="Q59" i="54"/>
  <c r="N59" i="54"/>
  <c r="Q57" i="54"/>
  <c r="N57" i="54"/>
  <c r="Q49" i="54"/>
  <c r="N49" i="54"/>
  <c r="Q47" i="54"/>
  <c r="N47" i="54"/>
  <c r="Q39" i="54"/>
  <c r="N39" i="54"/>
  <c r="Q37" i="54"/>
  <c r="N37" i="54"/>
  <c r="J111" i="60" l="1"/>
  <c r="G111" i="60"/>
  <c r="J110" i="60"/>
  <c r="G110" i="60"/>
  <c r="J96" i="60"/>
  <c r="G96" i="60"/>
  <c r="J95" i="60"/>
  <c r="G95" i="60"/>
  <c r="O25" i="60"/>
  <c r="J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H300" i="54"/>
  <c r="Q298" i="54"/>
  <c r="N298" i="54"/>
  <c r="H298" i="54"/>
  <c r="E298" i="54"/>
  <c r="E299" i="54" s="1"/>
  <c r="E300" i="54" s="1"/>
  <c r="Q290" i="54"/>
  <c r="N290" i="54"/>
  <c r="H290" i="54"/>
  <c r="Q288" i="54"/>
  <c r="N288" i="54"/>
  <c r="H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K4" i="70" l="1"/>
  <c r="K5" i="70"/>
  <c r="V133" i="70" l="1"/>
  <c r="Q133" i="70"/>
  <c r="V132" i="70"/>
  <c r="Q132" i="70"/>
  <c r="V131" i="70"/>
  <c r="Q131" i="70"/>
  <c r="V130" i="70"/>
  <c r="Q130" i="70"/>
  <c r="V129" i="70"/>
  <c r="Q129" i="70"/>
  <c r="V128" i="70"/>
  <c r="Q128" i="70"/>
  <c r="V127" i="70"/>
  <c r="Q127" i="70"/>
  <c r="V126" i="70"/>
  <c r="Q126" i="70"/>
  <c r="V125" i="70"/>
  <c r="Q125" i="70"/>
  <c r="V124" i="70"/>
  <c r="Q124" i="70"/>
  <c r="V123" i="70"/>
  <c r="Q123" i="70"/>
  <c r="B149" i="70"/>
  <c r="B150" i="70" s="1"/>
  <c r="B151" i="70" s="1"/>
  <c r="B152" i="70" s="1"/>
  <c r="B153" i="70" s="1"/>
  <c r="B154" i="70" s="1"/>
  <c r="B155" i="70" s="1"/>
  <c r="B156" i="70" s="1"/>
  <c r="B157" i="70" s="1"/>
  <c r="B158" i="70" s="1"/>
  <c r="B159" i="70" s="1"/>
  <c r="B160" i="70" s="1"/>
  <c r="B161" i="70" s="1"/>
  <c r="B162" i="70" s="1"/>
  <c r="B163" i="70" s="1"/>
  <c r="B164" i="70" s="1"/>
  <c r="V122" i="70"/>
  <c r="Q122"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G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V139" i="70" l="1"/>
  <c r="Q139" i="70"/>
  <c r="G139" i="70"/>
  <c r="L139" i="70"/>
  <c r="D19" i="55" l="1"/>
  <c r="O10" i="71" l="1"/>
  <c r="O17" i="71"/>
  <c r="O33" i="71"/>
  <c r="O41" i="71"/>
  <c r="L17" i="55"/>
  <c r="L18" i="55" l="1"/>
  <c r="U112" i="60"/>
  <c r="U97" i="60"/>
  <c r="U40" i="60"/>
  <c r="B12" i="60"/>
  <c r="B13" i="60" s="1"/>
  <c r="B14" i="60" s="1"/>
  <c r="B15" i="60" s="1"/>
  <c r="B16" i="60" s="1"/>
  <c r="B17" i="60" s="1"/>
  <c r="B18" i="60" s="1"/>
  <c r="B19" i="60" s="1"/>
  <c r="B20" i="60" s="1"/>
  <c r="B21" i="60" s="1"/>
  <c r="B22" i="60" s="1"/>
  <c r="B23" i="60" s="1"/>
  <c r="B24" i="60" s="1"/>
  <c r="B25" i="60" s="1"/>
  <c r="B26" i="60" s="1"/>
  <c r="E2" i="99"/>
  <c r="E3" i="99"/>
  <c r="B2" i="98"/>
  <c r="B3" i="98"/>
  <c r="B2" i="78"/>
  <c r="B3" i="78"/>
  <c r="B2" i="75"/>
  <c r="B3" i="75"/>
  <c r="K2" i="77"/>
  <c r="K3" i="77"/>
  <c r="B2" i="74"/>
  <c r="B3" i="74"/>
  <c r="B2" i="73"/>
  <c r="B3" i="73"/>
  <c r="F2" i="91"/>
  <c r="F3" i="91"/>
  <c r="B2" i="72"/>
  <c r="B3" i="72"/>
  <c r="B3" i="71"/>
  <c r="B2" i="71"/>
  <c r="B2" i="55"/>
  <c r="B3" i="55"/>
  <c r="C3" i="54"/>
  <c r="C2" i="54"/>
  <c r="B2" i="93"/>
  <c r="B3" i="93"/>
  <c r="B2" i="69"/>
  <c r="B3" i="69"/>
  <c r="B2" i="68"/>
  <c r="B3" i="68"/>
  <c r="B2" i="67"/>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E20" i="72"/>
  <c r="L47" i="78" l="1"/>
  <c r="N13" i="73"/>
  <c r="E18" i="55"/>
  <c r="N130" i="59" l="1"/>
  <c r="B3" i="59"/>
  <c r="N3" i="59" s="1"/>
  <c r="B2" i="59"/>
  <c r="N2" i="59" s="1"/>
  <c r="B3" i="81"/>
  <c r="N3" i="81" s="1"/>
  <c r="B2" i="81"/>
  <c r="N2" i="81" s="1"/>
  <c r="A3" i="80"/>
  <c r="J3" i="80" s="1"/>
  <c r="A2" i="80"/>
  <c r="B2" i="58"/>
  <c r="B3" i="58"/>
  <c r="N131" i="59" l="1"/>
  <c r="R131" i="59" s="1"/>
  <c r="R130" i="59"/>
  <c r="N135" i="59"/>
  <c r="R135" i="59" s="1"/>
  <c r="N134" i="59"/>
  <c r="R134" i="59" s="1"/>
  <c r="I20" i="54"/>
  <c r="I14" i="54"/>
  <c r="I13" i="54"/>
  <c r="N136" i="59" l="1"/>
  <c r="N137" i="59" l="1"/>
  <c r="R136" i="59"/>
  <c r="M13" i="93"/>
  <c r="N13" i="93" s="1"/>
  <c r="I13" i="93"/>
  <c r="F13" i="93"/>
  <c r="H17" i="69"/>
  <c r="H16" i="69"/>
  <c r="H15" i="69"/>
  <c r="H13" i="69"/>
  <c r="H39" i="68"/>
  <c r="H38" i="68"/>
  <c r="H36" i="68"/>
  <c r="H35" i="68"/>
  <c r="H34" i="68"/>
  <c r="H33" i="68"/>
  <c r="H32" i="68"/>
  <c r="H31" i="68"/>
  <c r="H30" i="68"/>
  <c r="H29" i="68"/>
  <c r="H28" i="68"/>
  <c r="H27" i="68"/>
  <c r="H26" i="68"/>
  <c r="H25" i="68"/>
  <c r="H24" i="68"/>
  <c r="H23" i="68"/>
  <c r="H20" i="68"/>
  <c r="H19" i="68"/>
  <c r="H18" i="68"/>
  <c r="M67" i="66"/>
  <c r="N67" i="66" s="1"/>
  <c r="M66" i="66"/>
  <c r="N66" i="66" s="1"/>
  <c r="M65" i="66"/>
  <c r="N65" i="66" s="1"/>
  <c r="M64" i="66"/>
  <c r="N64" i="66" s="1"/>
  <c r="I67" i="66"/>
  <c r="I66" i="66"/>
  <c r="I65" i="66"/>
  <c r="I64" i="66"/>
  <c r="F67" i="66"/>
  <c r="F66" i="66"/>
  <c r="F65" i="66"/>
  <c r="F64" i="66"/>
  <c r="R137" i="59" l="1"/>
  <c r="D18" i="78" l="1"/>
  <c r="L11" i="55"/>
  <c r="F18" i="55"/>
  <c r="F17" i="55"/>
  <c r="F11" i="55"/>
  <c r="F20" i="54"/>
  <c r="H22" i="81"/>
  <c r="H21" i="81"/>
  <c r="H19" i="81"/>
  <c r="H18" i="81"/>
  <c r="J14" i="93" l="1"/>
  <c r="J17" i="54" s="1"/>
  <c r="G14" i="93"/>
  <c r="G12" i="55" l="1"/>
  <c r="G20" i="55" s="1"/>
  <c r="G17" i="54"/>
  <c r="D19" i="54"/>
  <c r="J12" i="55"/>
  <c r="J20" i="55" s="1"/>
  <c r="B190" i="98"/>
  <c r="B202" i="98" s="1"/>
  <c r="B170" i="98"/>
  <c r="B176" i="98" s="1"/>
  <c r="B105" i="98"/>
  <c r="B117" i="98" s="1"/>
  <c r="B41" i="98"/>
  <c r="B53" i="98" s="1"/>
  <c r="B35" i="55"/>
  <c r="B32" i="55"/>
  <c r="D21" i="54" l="1"/>
  <c r="D23" i="54" s="1"/>
  <c r="G15" i="54"/>
  <c r="G18" i="54" s="1"/>
  <c r="G19" i="54" s="1"/>
  <c r="J15" i="54" s="1"/>
  <c r="J18" i="54" s="1"/>
  <c r="D14" i="55"/>
  <c r="G10" i="55" s="1"/>
  <c r="D20" i="55"/>
  <c r="D21" i="55" s="1"/>
  <c r="E24" i="58" s="1"/>
  <c r="B262" i="98"/>
  <c r="B274" i="98" s="1"/>
  <c r="B226" i="98"/>
  <c r="B238" i="98" s="1"/>
  <c r="B139" i="98"/>
  <c r="B151" i="98" s="1"/>
  <c r="B74" i="98"/>
  <c r="B86" i="98" s="1"/>
  <c r="B10" i="98"/>
  <c r="B22" i="98" s="1"/>
  <c r="B20" i="55"/>
  <c r="B21" i="55" s="1"/>
  <c r="B11" i="55"/>
  <c r="B12" i="55" s="1"/>
  <c r="B13" i="55" s="1"/>
  <c r="B14" i="55" s="1"/>
  <c r="D25" i="54" l="1"/>
  <c r="E17" i="58" s="1"/>
  <c r="G19" i="55"/>
  <c r="G14" i="55"/>
  <c r="J10" i="55" s="1"/>
  <c r="J19" i="55" s="1"/>
  <c r="J21" i="55" s="1"/>
  <c r="J19" i="54"/>
  <c r="J21" i="54" s="1"/>
  <c r="G21" i="54"/>
  <c r="G23" i="54" s="1"/>
  <c r="G25" i="54" l="1"/>
  <c r="I17" i="58" s="1"/>
  <c r="J23" i="54"/>
  <c r="G21" i="55"/>
  <c r="I24" i="58" s="1"/>
  <c r="M24" i="58"/>
  <c r="J14" i="55"/>
  <c r="B12" i="93"/>
  <c r="B13" i="93" s="1"/>
  <c r="B14" i="93" s="1"/>
  <c r="J25" i="54" l="1"/>
  <c r="M17" i="58" s="1"/>
  <c r="B309" i="54"/>
  <c r="B310" i="54" s="1"/>
  <c r="B311" i="54" s="1"/>
  <c r="B312" i="54" s="1"/>
  <c r="B313" i="54" s="1"/>
  <c r="B314" i="54" s="1"/>
  <c r="B315" i="54" s="1"/>
  <c r="B316" i="54" s="1"/>
  <c r="B116" i="54"/>
  <c r="B117" i="54" s="1"/>
  <c r="B118" i="54" s="1"/>
  <c r="B119" i="54" s="1"/>
  <c r="B120" i="54" s="1"/>
  <c r="B121" i="54" s="1"/>
  <c r="B122" i="54" s="1"/>
  <c r="B123" i="54" s="1"/>
  <c r="B36" i="91"/>
  <c r="B37" i="91" s="1"/>
  <c r="B38" i="91" s="1"/>
  <c r="B39" i="91" s="1"/>
  <c r="B41" i="91" s="1"/>
  <c r="B42" i="91" s="1"/>
  <c r="B43" i="91" s="1"/>
  <c r="B44" i="91" s="1"/>
  <c r="B45" i="91" s="1"/>
  <c r="B46" i="91" s="1"/>
  <c r="B47" i="91" s="1"/>
  <c r="B48" i="91" s="1"/>
  <c r="B49" i="91" s="1"/>
  <c r="B50" i="91" s="1"/>
  <c r="B51" i="91" s="1"/>
  <c r="B52" i="91" l="1"/>
  <c r="B53" i="91" s="1"/>
  <c r="B54" i="91" s="1"/>
  <c r="B55" i="91" s="1"/>
  <c r="B57" i="91" s="1"/>
  <c r="B58"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11" i="65"/>
  <c r="B15" i="6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L19" i="59" l="1"/>
  <c r="K21" i="81"/>
  <c r="L21" i="81" s="1"/>
  <c r="K18" i="81"/>
  <c r="L18" i="81" s="1"/>
  <c r="L16" i="59"/>
  <c r="L15" i="59" l="1"/>
  <c r="K22" i="81"/>
  <c r="L22" i="81" s="1"/>
  <c r="K19" i="81"/>
  <c r="L19" i="81" s="1"/>
  <c r="L18" i="59"/>
  <c r="N56" i="59" l="1"/>
  <c r="N55" i="59"/>
  <c r="R56" i="59" l="1"/>
  <c r="R55" i="59"/>
  <c r="R65" i="59"/>
  <c r="R66" i="59"/>
  <c r="L14" i="73" l="1"/>
  <c r="M14" i="73"/>
  <c r="J86" i="70" l="1"/>
  <c r="O86" i="70" s="1"/>
  <c r="T86" i="70" l="1"/>
  <c r="E113" i="70" l="1"/>
  <c r="J113" i="70" s="1"/>
  <c r="O113" i="70" s="1"/>
  <c r="T113" i="70" s="1"/>
  <c r="E62" i="104"/>
  <c r="J62" i="104" s="1"/>
  <c r="O62" i="104" s="1"/>
  <c r="T62" i="104" s="1"/>
  <c r="Y62" i="104" s="1"/>
  <c r="D39" i="67"/>
  <c r="M22" i="77" l="1"/>
  <c r="M23" i="77"/>
  <c r="M18" i="77"/>
  <c r="M21" i="77"/>
  <c r="N23" i="77" l="1"/>
  <c r="N21" i="77"/>
  <c r="N18" i="77"/>
  <c r="N22" i="77"/>
  <c r="E11" i="58" l="1"/>
  <c r="C11" i="80"/>
  <c r="O16" i="81" l="1"/>
  <c r="O38" i="81"/>
  <c r="O26" i="81"/>
  <c r="O30" i="81" l="1"/>
  <c r="O44" i="81" l="1"/>
  <c r="O43" i="81"/>
  <c r="O42" i="81"/>
  <c r="O45" i="81" l="1"/>
  <c r="O48" i="81" s="1"/>
  <c r="E37" i="55" l="1"/>
  <c r="K31" i="70" l="1"/>
  <c r="J31" i="70" l="1"/>
  <c r="H12" i="93" s="1"/>
  <c r="I12" i="93" l="1"/>
  <c r="I14" i="93" s="1"/>
  <c r="H14" i="93"/>
  <c r="I17" i="54" l="1"/>
  <c r="H15" i="93"/>
  <c r="P79" i="59" l="1"/>
  <c r="P122" i="59" s="1"/>
  <c r="P57" i="81"/>
  <c r="P38" i="81"/>
  <c r="P61" i="81" l="1"/>
  <c r="P74" i="59" l="1"/>
  <c r="P117" i="59" s="1"/>
  <c r="P75" i="59" l="1"/>
  <c r="P118" i="59" s="1"/>
  <c r="O31" i="70" l="1"/>
  <c r="P31" i="70"/>
  <c r="L14" i="93" l="1"/>
  <c r="K14" i="93"/>
  <c r="M12" i="93" l="1"/>
  <c r="M14" i="93" s="1"/>
  <c r="M15" i="93" s="1"/>
  <c r="K17" i="54" l="1"/>
  <c r="L17" i="54" s="1"/>
  <c r="K12" i="55"/>
  <c r="L12" i="55" s="1"/>
  <c r="N12" i="93"/>
  <c r="N14" i="93" s="1"/>
  <c r="M12" i="77" l="1"/>
  <c r="N12" i="77" s="1"/>
  <c r="M20" i="77"/>
  <c r="N20" i="77" l="1"/>
  <c r="H34" i="67" l="1"/>
  <c r="H22" i="67"/>
  <c r="H12" i="67"/>
  <c r="H32" i="67" l="1"/>
  <c r="H17" i="68"/>
  <c r="H13" i="67"/>
  <c r="H13" i="68"/>
  <c r="M20" i="75"/>
  <c r="H12" i="68"/>
  <c r="H40" i="68"/>
  <c r="H14" i="68"/>
  <c r="H21" i="68"/>
  <c r="M16" i="75"/>
  <c r="M22" i="75"/>
  <c r="G44" i="68"/>
  <c r="P12" i="65" s="1"/>
  <c r="H29" i="67"/>
  <c r="G21" i="69"/>
  <c r="P13" i="65" s="1"/>
  <c r="H16" i="67"/>
  <c r="H11" i="68"/>
  <c r="F44" i="68"/>
  <c r="O12" i="65" s="1"/>
  <c r="M25" i="75"/>
  <c r="M11" i="75"/>
  <c r="K26" i="75"/>
  <c r="H22" i="68"/>
  <c r="M13" i="75"/>
  <c r="H11" i="69"/>
  <c r="H16" i="68"/>
  <c r="H37" i="68"/>
  <c r="M15" i="75"/>
  <c r="H10" i="69"/>
  <c r="F21" i="69"/>
  <c r="O13" i="65" s="1"/>
  <c r="G36" i="67"/>
  <c r="P11" i="65" s="1"/>
  <c r="H15" i="68"/>
  <c r="H14" i="69"/>
  <c r="H41" i="68"/>
  <c r="F36" i="67"/>
  <c r="O11" i="65" s="1"/>
  <c r="L26" i="75"/>
  <c r="P26" i="58" s="1"/>
  <c r="H12" i="69"/>
  <c r="H42" i="68"/>
  <c r="M26" i="75" l="1"/>
  <c r="N26" i="75" s="1"/>
  <c r="Q13" i="65"/>
  <c r="Q11" i="65"/>
  <c r="Q12" i="65"/>
  <c r="H44" i="68"/>
  <c r="H46" i="68" s="1"/>
  <c r="G46" i="68"/>
  <c r="H36" i="67"/>
  <c r="H38" i="67" s="1"/>
  <c r="H40" i="67" s="1"/>
  <c r="O26" i="58"/>
  <c r="Q26" i="58" s="1"/>
  <c r="F38" i="67"/>
  <c r="F40" i="67" s="1"/>
  <c r="H21" i="69"/>
  <c r="F46" i="68"/>
  <c r="G38" i="67"/>
  <c r="G40" i="67" s="1"/>
  <c r="N26" i="58" l="1"/>
  <c r="R26" i="58" s="1"/>
  <c r="O57" i="81" l="1"/>
  <c r="O31" i="81"/>
  <c r="O52" i="60" l="1"/>
  <c r="O49" i="60"/>
  <c r="O75" i="59"/>
  <c r="Q105" i="59"/>
  <c r="N59" i="59"/>
  <c r="N69" i="59" s="1"/>
  <c r="O46" i="60"/>
  <c r="P56" i="81"/>
  <c r="O44" i="60"/>
  <c r="O47" i="60"/>
  <c r="N11" i="59"/>
  <c r="N11" i="81" s="1"/>
  <c r="O11" i="81"/>
  <c r="O51" i="60"/>
  <c r="O61" i="81"/>
  <c r="Q44" i="59"/>
  <c r="O56" i="81"/>
  <c r="O48" i="60"/>
  <c r="O74" i="59"/>
  <c r="O117" i="59" s="1"/>
  <c r="O79" i="59"/>
  <c r="O122" i="59" s="1"/>
  <c r="O78" i="59"/>
  <c r="O121" i="59" s="1"/>
  <c r="O50" i="60"/>
  <c r="O45" i="60"/>
  <c r="F3" i="100"/>
  <c r="R44" i="59" l="1"/>
  <c r="Q75" i="59"/>
  <c r="O118" i="59"/>
  <c r="Q118" i="59" s="1"/>
  <c r="O34" i="60"/>
  <c r="O30" i="60"/>
  <c r="O33" i="60"/>
  <c r="O37" i="60"/>
  <c r="O32" i="60"/>
  <c r="O38" i="60"/>
  <c r="O36" i="60"/>
  <c r="O35" i="60"/>
  <c r="O31" i="60"/>
  <c r="O43" i="60"/>
  <c r="O54" i="60" s="1"/>
  <c r="Q104" i="59"/>
  <c r="N56" i="81"/>
  <c r="N57" i="81" s="1"/>
  <c r="N52" i="81"/>
  <c r="N74" i="59"/>
  <c r="N48" i="59"/>
  <c r="N58" i="59" s="1"/>
  <c r="O73" i="59"/>
  <c r="O116" i="59" s="1"/>
  <c r="N60" i="81"/>
  <c r="O24" i="60"/>
  <c r="N50" i="59"/>
  <c r="N60" i="59" s="1"/>
  <c r="O29" i="60"/>
  <c r="Q61" i="81"/>
  <c r="N49" i="59"/>
  <c r="R59" i="59" s="1"/>
  <c r="Q117" i="59"/>
  <c r="Q74" i="59"/>
  <c r="Q106" i="59"/>
  <c r="N68" i="59" l="1"/>
  <c r="O40" i="60"/>
  <c r="O125" i="59"/>
  <c r="R61" i="81"/>
  <c r="R12" i="59"/>
  <c r="J10" i="61"/>
  <c r="R60" i="59"/>
  <c r="R74" i="59"/>
  <c r="R48" i="59"/>
  <c r="R58" i="59"/>
  <c r="N75" i="59"/>
  <c r="R75" i="59" s="1"/>
  <c r="R25" i="81"/>
  <c r="Q56" i="81"/>
  <c r="R56" i="81" s="1"/>
  <c r="R41" i="59"/>
  <c r="R49" i="59"/>
  <c r="Q52" i="81"/>
  <c r="R52" i="81" s="1"/>
  <c r="R50" i="59"/>
  <c r="O40" i="59" l="1"/>
  <c r="O53" i="81" s="1"/>
  <c r="R34" i="81"/>
  <c r="R15" i="81"/>
  <c r="O155" i="59"/>
  <c r="O157" i="59" l="1"/>
  <c r="O11" i="58"/>
  <c r="M15" i="77" l="1"/>
  <c r="M14" i="77"/>
  <c r="M26" i="77"/>
  <c r="N26" i="77" s="1"/>
  <c r="M13" i="77"/>
  <c r="N13" i="77" s="1"/>
  <c r="M19" i="77"/>
  <c r="N19" i="77" l="1"/>
  <c r="N15" i="77"/>
  <c r="N14" i="77"/>
  <c r="P21" i="58"/>
  <c r="M11" i="77"/>
  <c r="N11" i="77" s="1"/>
  <c r="O21" i="58"/>
  <c r="M27" i="77" l="1"/>
  <c r="N27" i="77"/>
  <c r="Q21" i="58"/>
  <c r="N21" i="58" l="1"/>
  <c r="P11" i="81"/>
  <c r="R21" i="58" l="1"/>
  <c r="Q11" i="81"/>
  <c r="R11" i="81" s="1"/>
  <c r="R11" i="59"/>
  <c r="N23" i="59"/>
  <c r="P16" i="81"/>
  <c r="Q13" i="59" l="1"/>
  <c r="Q21" i="59" s="1"/>
  <c r="Q89" i="59"/>
  <c r="Q90" i="59"/>
  <c r="N30" i="81"/>
  <c r="Q84" i="59"/>
  <c r="Q86" i="59"/>
  <c r="Q85" i="59"/>
  <c r="P26" i="81"/>
  <c r="P24" i="59"/>
  <c r="P30" i="81"/>
  <c r="Q122" i="59"/>
  <c r="Q110" i="59"/>
  <c r="N79" i="59"/>
  <c r="N90" i="59" l="1"/>
  <c r="N89" i="59"/>
  <c r="N92" i="59"/>
  <c r="R92" i="59" s="1"/>
  <c r="N91" i="59"/>
  <c r="R91" i="59" s="1"/>
  <c r="Q16" i="81"/>
  <c r="R23" i="59"/>
  <c r="Q30" i="81"/>
  <c r="R30" i="81" s="1"/>
  <c r="P44" i="81"/>
  <c r="Q44" i="81" s="1"/>
  <c r="P43" i="81"/>
  <c r="Q43" i="81" s="1"/>
  <c r="P42" i="81"/>
  <c r="N43" i="81"/>
  <c r="N42" i="81"/>
  <c r="N44" i="81"/>
  <c r="N113" i="59"/>
  <c r="N35" i="59"/>
  <c r="R35" i="59" s="1"/>
  <c r="N34" i="59"/>
  <c r="R34" i="59" s="1"/>
  <c r="N33" i="59"/>
  <c r="O88" i="60"/>
  <c r="N13" i="59"/>
  <c r="N16" i="81" s="1"/>
  <c r="Q79" i="59"/>
  <c r="R79" i="59" s="1"/>
  <c r="N64" i="59"/>
  <c r="N24" i="59"/>
  <c r="N21" i="59"/>
  <c r="N63" i="59"/>
  <c r="N53" i="59"/>
  <c r="P31" i="81"/>
  <c r="Q31" i="81" s="1"/>
  <c r="Q24" i="59"/>
  <c r="L13" i="74"/>
  <c r="L25" i="73"/>
  <c r="M25" i="73"/>
  <c r="M13" i="74"/>
  <c r="Q109" i="59"/>
  <c r="Q113" i="59" s="1"/>
  <c r="Q40" i="59" s="1"/>
  <c r="N54" i="59"/>
  <c r="O85" i="60"/>
  <c r="F4" i="100" l="1"/>
  <c r="R40" i="59"/>
  <c r="R16" i="81"/>
  <c r="R13" i="59" s="1"/>
  <c r="N102" i="59"/>
  <c r="N112" i="59" s="1"/>
  <c r="R112" i="59" s="1"/>
  <c r="N101" i="59"/>
  <c r="N111" i="59" s="1"/>
  <c r="R111" i="59" s="1"/>
  <c r="P45" i="81"/>
  <c r="Q45" i="81" s="1"/>
  <c r="N36" i="59"/>
  <c r="N37" i="59" s="1"/>
  <c r="N45" i="81"/>
  <c r="N48" i="81" s="1"/>
  <c r="R44" i="81"/>
  <c r="R43" i="81"/>
  <c r="Q42" i="81"/>
  <c r="R42" i="81" s="1"/>
  <c r="P40" i="59"/>
  <c r="P53" i="81" s="1"/>
  <c r="O91" i="60"/>
  <c r="O94" i="60"/>
  <c r="O89" i="60"/>
  <c r="O96" i="60"/>
  <c r="O87" i="60"/>
  <c r="O95" i="60"/>
  <c r="N100" i="59"/>
  <c r="R100" i="59" s="1"/>
  <c r="O93" i="60"/>
  <c r="O92" i="60"/>
  <c r="O90" i="60"/>
  <c r="O86" i="60"/>
  <c r="Q26" i="81"/>
  <c r="R54" i="59"/>
  <c r="R63" i="59"/>
  <c r="R38" i="59"/>
  <c r="N31" i="81"/>
  <c r="R31" i="81" s="1"/>
  <c r="R64" i="59"/>
  <c r="M36" i="73"/>
  <c r="M24" i="74"/>
  <c r="Q53" i="81"/>
  <c r="R53" i="81" s="1"/>
  <c r="R53" i="59"/>
  <c r="R24" i="59"/>
  <c r="R21" i="59"/>
  <c r="N26" i="81"/>
  <c r="L36" i="73"/>
  <c r="L24" i="74"/>
  <c r="R102" i="59" l="1"/>
  <c r="R101" i="59"/>
  <c r="P48" i="81"/>
  <c r="Q48" i="81" s="1"/>
  <c r="O97" i="60"/>
  <c r="R45" i="81"/>
  <c r="N99" i="59"/>
  <c r="R99" i="59" s="1"/>
  <c r="N110" i="59"/>
  <c r="N122" i="59"/>
  <c r="R26" i="81"/>
  <c r="R48" i="81" l="1"/>
  <c r="R89" i="59"/>
  <c r="N109" i="59"/>
  <c r="N106" i="59" s="1"/>
  <c r="R106" i="59" s="1"/>
  <c r="Q57" i="81"/>
  <c r="R57" i="81" s="1"/>
  <c r="R42" i="59"/>
  <c r="R90" i="59"/>
  <c r="N104" i="59" l="1"/>
  <c r="N105" i="59"/>
  <c r="R109" i="59"/>
  <c r="R122" i="59"/>
  <c r="R110" i="59"/>
  <c r="R105" i="59" l="1"/>
  <c r="N95" i="59"/>
  <c r="R104" i="59"/>
  <c r="R113" i="59" l="1"/>
  <c r="J94" i="60"/>
  <c r="J141" i="59"/>
  <c r="L141" i="59" s="1"/>
  <c r="K56" i="81" l="1"/>
  <c r="J140" i="59"/>
  <c r="J153" i="59" s="1"/>
  <c r="K153" i="59"/>
  <c r="K47" i="100"/>
  <c r="L140" i="59" l="1"/>
  <c r="L153" i="59" s="1"/>
  <c r="E3" i="100"/>
  <c r="J57" i="81"/>
  <c r="L25" i="81"/>
  <c r="L34" i="81"/>
  <c r="J52" i="81"/>
  <c r="L56" i="81" l="1"/>
  <c r="L15" i="81" l="1"/>
  <c r="H15" i="81" l="1"/>
  <c r="D3" i="100"/>
  <c r="F141" i="59" l="1"/>
  <c r="H141" i="59" s="1"/>
  <c r="G153" i="59" l="1"/>
  <c r="F140" i="59"/>
  <c r="F153" i="59" s="1"/>
  <c r="H140" i="59" l="1"/>
  <c r="H153" i="59" s="1"/>
  <c r="M69" i="78" l="1"/>
  <c r="F24" i="54" l="1"/>
  <c r="H25" i="81" l="1"/>
  <c r="F52" i="81"/>
  <c r="F60" i="81"/>
  <c r="G11" i="81" l="1"/>
  <c r="F11" i="81"/>
  <c r="H11" i="59" l="1"/>
  <c r="H11" i="81"/>
  <c r="L13" i="72" l="1"/>
  <c r="H22" i="58" l="1"/>
  <c r="E18" i="78" l="1"/>
  <c r="F18" i="78" l="1"/>
  <c r="L18" i="78"/>
  <c r="G18" i="78"/>
  <c r="R33" i="59" l="1"/>
  <c r="R36" i="59" s="1"/>
  <c r="R37" i="59" s="1"/>
  <c r="D24" i="71" l="1"/>
  <c r="D26" i="71" s="1"/>
  <c r="L26" i="71"/>
  <c r="E24" i="71"/>
  <c r="E26" i="71" s="1"/>
  <c r="M26" i="71"/>
  <c r="F24" i="71"/>
  <c r="F26" i="71" s="1"/>
  <c r="N26" i="71"/>
  <c r="G24" i="71"/>
  <c r="G26" i="71" s="1"/>
  <c r="H24" i="71"/>
  <c r="H26" i="71" s="1"/>
  <c r="I26" i="71"/>
  <c r="J26" i="71"/>
  <c r="C24" i="71"/>
  <c r="K26" i="71"/>
  <c r="Q29" i="59"/>
  <c r="R29" i="59" l="1"/>
  <c r="R32" i="59" s="1"/>
  <c r="Q38" i="81"/>
  <c r="R38" i="81" s="1"/>
  <c r="G30" i="72"/>
  <c r="Q32" i="59"/>
  <c r="O24" i="71"/>
  <c r="C26" i="71"/>
  <c r="G29" i="72" s="1"/>
  <c r="G31" i="72" s="1"/>
  <c r="D29" i="72" l="1"/>
  <c r="F29" i="72"/>
  <c r="O26" i="71"/>
  <c r="J22" i="58" l="1"/>
  <c r="D47" i="78" s="1"/>
  <c r="L22" i="58" l="1"/>
  <c r="F47" i="78"/>
  <c r="G47" i="78"/>
  <c r="N22" i="58"/>
  <c r="R22" i="58" s="1"/>
  <c r="F31" i="70" l="1"/>
  <c r="F12" i="93" l="1"/>
  <c r="F14" i="93" s="1"/>
  <c r="E12" i="55" l="1"/>
  <c r="F12" i="55" s="1"/>
  <c r="F17" i="54"/>
  <c r="N94" i="59" l="1"/>
  <c r="R95" i="59"/>
  <c r="N96" i="59"/>
  <c r="N86" i="59" s="1"/>
  <c r="R86" i="59" s="1"/>
  <c r="N118" i="59" l="1"/>
  <c r="R118" i="59" s="1"/>
  <c r="N117" i="59"/>
  <c r="R117" i="59" s="1"/>
  <c r="R96" i="59"/>
  <c r="N85" i="59"/>
  <c r="R85" i="59" s="1"/>
  <c r="N84" i="59"/>
  <c r="R84" i="59" s="1"/>
  <c r="R94" i="59"/>
  <c r="N70" i="59"/>
  <c r="F27" i="91" l="1"/>
  <c r="F30" i="91" s="1"/>
  <c r="F31" i="91" s="1"/>
  <c r="G27" i="91"/>
  <c r="G30" i="91" s="1"/>
  <c r="G31" i="91" s="1"/>
  <c r="H27" i="91"/>
  <c r="H30" i="91" s="1"/>
  <c r="H31" i="91" s="1"/>
  <c r="I27" i="91"/>
  <c r="I30" i="91" s="1"/>
  <c r="I31" i="91" s="1"/>
  <c r="J27" i="91"/>
  <c r="J30" i="91" s="1"/>
  <c r="J31" i="91" s="1"/>
  <c r="K27" i="91"/>
  <c r="K30" i="91" s="1"/>
  <c r="K31" i="91" s="1"/>
  <c r="M27" i="91"/>
  <c r="M30" i="91" s="1"/>
  <c r="M31" i="91" s="1"/>
  <c r="N27" i="91"/>
  <c r="N30" i="91" s="1"/>
  <c r="N31" i="91" s="1"/>
  <c r="O27" i="91"/>
  <c r="O30" i="91" s="1"/>
  <c r="O31" i="91" s="1"/>
  <c r="P27" i="91"/>
  <c r="P30" i="91" s="1"/>
  <c r="P31" i="91" s="1"/>
  <c r="D9" i="71"/>
  <c r="D11" i="71" s="1"/>
  <c r="E9" i="71"/>
  <c r="E11" i="71" s="1"/>
  <c r="F9" i="71"/>
  <c r="F11" i="71" s="1"/>
  <c r="G9" i="71"/>
  <c r="G11" i="71" s="1"/>
  <c r="J9" i="71"/>
  <c r="J11" i="71" s="1"/>
  <c r="K9" i="71"/>
  <c r="K11" i="71" s="1"/>
  <c r="L9" i="71"/>
  <c r="L11" i="71" s="1"/>
  <c r="M9" i="71"/>
  <c r="M11" i="71" s="1"/>
  <c r="N9" i="71"/>
  <c r="N11" i="71" s="1"/>
  <c r="E18" i="91" l="1"/>
  <c r="Q14" i="91"/>
  <c r="M18" i="91"/>
  <c r="Q22" i="91"/>
  <c r="I20" i="91"/>
  <c r="L18" i="91"/>
  <c r="P20" i="91"/>
  <c r="H20" i="91"/>
  <c r="K20" i="91"/>
  <c r="I9" i="71"/>
  <c r="I11" i="71" s="1"/>
  <c r="K18" i="91"/>
  <c r="O20" i="91"/>
  <c r="G20" i="91"/>
  <c r="J20" i="91"/>
  <c r="H9" i="71"/>
  <c r="H11" i="71" s="1"/>
  <c r="J18" i="91"/>
  <c r="N20" i="91"/>
  <c r="F20" i="91"/>
  <c r="Q15" i="91"/>
  <c r="Q21" i="91"/>
  <c r="E30" i="91"/>
  <c r="E31" i="91" s="1"/>
  <c r="I18" i="91"/>
  <c r="M20" i="91"/>
  <c r="Q23" i="91"/>
  <c r="L27" i="91"/>
  <c r="L30" i="91" s="1"/>
  <c r="L31" i="91" s="1"/>
  <c r="P18" i="91"/>
  <c r="H18" i="91"/>
  <c r="L20" i="91"/>
  <c r="O18" i="91"/>
  <c r="G18" i="91"/>
  <c r="N18" i="91"/>
  <c r="F18" i="91"/>
  <c r="C11" i="72" l="1"/>
  <c r="J11" i="72" s="1"/>
  <c r="Q27" i="91"/>
  <c r="Q30" i="91" s="1"/>
  <c r="G11" i="72"/>
  <c r="G13" i="72" s="1"/>
  <c r="K11" i="72"/>
  <c r="K13" i="72" s="1"/>
  <c r="Q18" i="91"/>
  <c r="D11" i="72" s="1"/>
  <c r="M11" i="72"/>
  <c r="M13" i="72" s="1"/>
  <c r="Q20" i="91"/>
  <c r="F11" i="72" s="1"/>
  <c r="E20" i="91"/>
  <c r="C9" i="71"/>
  <c r="Q31" i="91" l="1"/>
  <c r="C11" i="71"/>
  <c r="O9" i="71"/>
  <c r="O11" i="71" s="1"/>
  <c r="J13" i="72"/>
  <c r="N11" i="72"/>
  <c r="N13" i="72" s="1"/>
  <c r="E28" i="78" l="1"/>
  <c r="G28" i="78" s="1"/>
  <c r="R30" i="91"/>
  <c r="L28" i="78" l="1"/>
  <c r="F28" i="78"/>
  <c r="F253" i="54"/>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E26" i="75"/>
  <c r="E135" i="60"/>
  <c r="G135" i="60" s="1"/>
  <c r="E134" i="60"/>
  <c r="G134" i="60" s="1"/>
  <c r="E133" i="60"/>
  <c r="G133" i="60" s="1"/>
  <c r="E132" i="60"/>
  <c r="G132" i="60" s="1"/>
  <c r="E131" i="60"/>
  <c r="G131" i="60" s="1"/>
  <c r="E130" i="60"/>
  <c r="G130" i="60" s="1"/>
  <c r="E129" i="60"/>
  <c r="G129" i="60" s="1"/>
  <c r="E124" i="60"/>
  <c r="G124" i="60" s="1"/>
  <c r="E122" i="60"/>
  <c r="G122" i="60" s="1"/>
  <c r="E121" i="60"/>
  <c r="G121" i="60" s="1"/>
  <c r="E120" i="60"/>
  <c r="G120" i="60" s="1"/>
  <c r="E119" i="60"/>
  <c r="G119" i="60" s="1"/>
  <c r="E118" i="60"/>
  <c r="G118" i="60" s="1"/>
  <c r="E92" i="60"/>
  <c r="G92" i="60" s="1"/>
  <c r="E91" i="60"/>
  <c r="G91" i="60" s="1"/>
  <c r="E90" i="60"/>
  <c r="G90" i="60" s="1"/>
  <c r="E89" i="60"/>
  <c r="G89" i="60" s="1"/>
  <c r="E88" i="60"/>
  <c r="G88" i="60" s="1"/>
  <c r="E87" i="60"/>
  <c r="G87" i="60" s="1"/>
  <c r="E86" i="60"/>
  <c r="G86" i="60" s="1"/>
  <c r="E109" i="60"/>
  <c r="G109"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7" i="60"/>
  <c r="G37" i="60" s="1"/>
  <c r="E35" i="60"/>
  <c r="G35" i="60" s="1"/>
  <c r="E34" i="60"/>
  <c r="G34" i="60" s="1"/>
  <c r="E33" i="60"/>
  <c r="G33" i="60" s="1"/>
  <c r="E32" i="60"/>
  <c r="G32" i="60" s="1"/>
  <c r="E31" i="60"/>
  <c r="G31" i="60" s="1"/>
  <c r="E30" i="60"/>
  <c r="G30" i="60" s="1"/>
  <c r="E22" i="60"/>
  <c r="G22" i="60" s="1"/>
  <c r="E21" i="60"/>
  <c r="G21" i="60" s="1"/>
  <c r="E20" i="60"/>
  <c r="G20" i="60" s="1"/>
  <c r="E19" i="60"/>
  <c r="G19" i="60" s="1"/>
  <c r="E18" i="60"/>
  <c r="G18" i="60" s="1"/>
  <c r="E17" i="60"/>
  <c r="G17" i="60" s="1"/>
  <c r="E16" i="60"/>
  <c r="G16" i="60" s="1"/>
  <c r="E14" i="60"/>
  <c r="G14" i="60" s="1"/>
  <c r="E13" i="60"/>
  <c r="G13" i="60" s="1"/>
  <c r="E12" i="60"/>
  <c r="G12" i="60" s="1"/>
  <c r="F38" i="59"/>
  <c r="H38" i="59" s="1"/>
  <c r="F65" i="59"/>
  <c r="H65" i="59" s="1"/>
  <c r="F64" i="59"/>
  <c r="H64" i="59" s="1"/>
  <c r="F63" i="59"/>
  <c r="H63" i="59" s="1"/>
  <c r="F59" i="59"/>
  <c r="H59" i="59" s="1"/>
  <c r="F49" i="59"/>
  <c r="H49" i="59" s="1"/>
  <c r="F66" i="59" l="1"/>
  <c r="H66" i="59" s="1"/>
  <c r="F48" i="59"/>
  <c r="H58" i="59" s="1"/>
  <c r="G85" i="59"/>
  <c r="G105" i="59"/>
  <c r="G91" i="59"/>
  <c r="G111" i="59"/>
  <c r="G16" i="81"/>
  <c r="F13" i="59"/>
  <c r="F16" i="81" s="1"/>
  <c r="F23" i="60"/>
  <c r="E11" i="60"/>
  <c r="E15" i="60"/>
  <c r="G15" i="60" s="1"/>
  <c r="E36" i="60"/>
  <c r="G36" i="60" s="1"/>
  <c r="F54" i="60"/>
  <c r="G75" i="59" s="1"/>
  <c r="G118" i="59" s="1"/>
  <c r="E43" i="60"/>
  <c r="E116" i="60"/>
  <c r="G116" i="60" s="1"/>
  <c r="E117" i="54"/>
  <c r="F34" i="54"/>
  <c r="F50" i="54"/>
  <c r="F93" i="54"/>
  <c r="E97" i="54"/>
  <c r="F97" i="54" s="1"/>
  <c r="E164" i="54"/>
  <c r="F164" i="54" s="1"/>
  <c r="F160" i="54"/>
  <c r="F200" i="54"/>
  <c r="E204" i="54"/>
  <c r="F204" i="54" s="1"/>
  <c r="F240" i="54"/>
  <c r="E244" i="54"/>
  <c r="F244" i="54" s="1"/>
  <c r="F35" i="54"/>
  <c r="E118" i="54"/>
  <c r="E57" i="54"/>
  <c r="F57" i="54" s="1"/>
  <c r="F53" i="54"/>
  <c r="F80" i="54"/>
  <c r="E269" i="54"/>
  <c r="F147" i="54"/>
  <c r="F187" i="54"/>
  <c r="F227" i="54"/>
  <c r="G104" i="59"/>
  <c r="G84" i="59"/>
  <c r="G90" i="59"/>
  <c r="G110" i="59"/>
  <c r="G32" i="59"/>
  <c r="H29" i="59"/>
  <c r="H32" i="59" s="1"/>
  <c r="F24" i="60"/>
  <c r="G24" i="60" s="1"/>
  <c r="G61" i="81"/>
  <c r="H61" i="81" s="1"/>
  <c r="H44" i="59"/>
  <c r="E100" i="60"/>
  <c r="F112" i="60"/>
  <c r="G78" i="59" s="1"/>
  <c r="G121" i="59" s="1"/>
  <c r="E108" i="60"/>
  <c r="G108" i="60" s="1"/>
  <c r="F125" i="60"/>
  <c r="G80" i="59" s="1"/>
  <c r="G123" i="59" s="1"/>
  <c r="E115" i="60"/>
  <c r="G115" i="60" s="1"/>
  <c r="E123" i="60"/>
  <c r="G123" i="60" s="1"/>
  <c r="D36" i="67"/>
  <c r="G11" i="65" s="1"/>
  <c r="F36" i="54"/>
  <c r="E119" i="54"/>
  <c r="F83" i="54"/>
  <c r="F87" i="54"/>
  <c r="F150" i="54"/>
  <c r="F154" i="54"/>
  <c r="F194" i="54"/>
  <c r="F190" i="54"/>
  <c r="F230" i="54"/>
  <c r="E234" i="54"/>
  <c r="F234" i="54" s="1"/>
  <c r="F40" i="54"/>
  <c r="E123" i="54"/>
  <c r="F70" i="54"/>
  <c r="F110" i="54"/>
  <c r="F177" i="54"/>
  <c r="F217" i="54"/>
  <c r="F257" i="54"/>
  <c r="D6" i="100"/>
  <c r="G70" i="59"/>
  <c r="F50" i="59"/>
  <c r="F60" i="59" s="1"/>
  <c r="H60" i="59" s="1"/>
  <c r="G89" i="59"/>
  <c r="G109" i="59"/>
  <c r="F23" i="59"/>
  <c r="G34" i="59"/>
  <c r="G35" i="59"/>
  <c r="G33" i="59"/>
  <c r="G30" i="81"/>
  <c r="H42" i="59"/>
  <c r="G57" i="81"/>
  <c r="H57" i="81" s="1"/>
  <c r="E38" i="60"/>
  <c r="G38" i="60" s="1"/>
  <c r="E107" i="60"/>
  <c r="G107" i="60" s="1"/>
  <c r="E94" i="60"/>
  <c r="G94" i="60" s="1"/>
  <c r="E137" i="60"/>
  <c r="G137" i="60" s="1"/>
  <c r="F26" i="75"/>
  <c r="G26" i="58"/>
  <c r="F43" i="54"/>
  <c r="E47" i="54"/>
  <c r="F47" i="54" s="1"/>
  <c r="F73" i="54"/>
  <c r="E77" i="54"/>
  <c r="F77" i="54" s="1"/>
  <c r="E144" i="54"/>
  <c r="E262" i="54"/>
  <c r="F140" i="54"/>
  <c r="F184" i="54"/>
  <c r="F180" i="54"/>
  <c r="F224" i="54"/>
  <c r="F220" i="54"/>
  <c r="D44" i="68"/>
  <c r="G12" i="65" s="1"/>
  <c r="F60" i="54"/>
  <c r="F100" i="54"/>
  <c r="E263" i="54"/>
  <c r="F141" i="54"/>
  <c r="F167" i="54"/>
  <c r="F207" i="54"/>
  <c r="F247" i="54"/>
  <c r="G86" i="59"/>
  <c r="G106" i="59"/>
  <c r="G92" i="59"/>
  <c r="G112" i="59"/>
  <c r="F21" i="59"/>
  <c r="H21" i="59" s="1"/>
  <c r="G26" i="81"/>
  <c r="F26" i="81" s="1"/>
  <c r="H26" i="81" s="1"/>
  <c r="F40" i="60"/>
  <c r="G74" i="59" s="1"/>
  <c r="G117" i="59" s="1"/>
  <c r="E29" i="60"/>
  <c r="E85" i="60"/>
  <c r="F97" i="60"/>
  <c r="G79" i="59" s="1"/>
  <c r="G122" i="59" s="1"/>
  <c r="E93" i="60"/>
  <c r="G93" i="60" s="1"/>
  <c r="E117" i="60"/>
  <c r="G117" i="60" s="1"/>
  <c r="E128" i="60"/>
  <c r="F138" i="60"/>
  <c r="G81" i="59" s="1"/>
  <c r="E136" i="60"/>
  <c r="G136" i="60" s="1"/>
  <c r="F63" i="54"/>
  <c r="E67" i="54"/>
  <c r="F67" i="54" s="1"/>
  <c r="F103" i="54"/>
  <c r="F107" i="54"/>
  <c r="F142" i="54"/>
  <c r="E264" i="54"/>
  <c r="E174" i="54"/>
  <c r="F174" i="54" s="1"/>
  <c r="F170" i="54"/>
  <c r="E214" i="54"/>
  <c r="F214" i="54" s="1"/>
  <c r="F210" i="54"/>
  <c r="F250" i="54"/>
  <c r="E254" i="54"/>
  <c r="F254" i="54" s="1"/>
  <c r="F33" i="54"/>
  <c r="E116" i="54"/>
  <c r="E37" i="54"/>
  <c r="F90" i="54"/>
  <c r="F143" i="54"/>
  <c r="E265" i="54"/>
  <c r="F157" i="54"/>
  <c r="F197" i="54"/>
  <c r="F237" i="54"/>
  <c r="F26" i="58" l="1"/>
  <c r="D22" i="78" s="1"/>
  <c r="H50" i="59"/>
  <c r="E48" i="54"/>
  <c r="F48" i="54" s="1"/>
  <c r="F49" i="54" s="1"/>
  <c r="E23" i="60"/>
  <c r="E26" i="60" s="1"/>
  <c r="F73" i="59" s="1"/>
  <c r="E58" i="54"/>
  <c r="F58" i="54" s="1"/>
  <c r="F59" i="54" s="1"/>
  <c r="H13" i="59"/>
  <c r="E165" i="54"/>
  <c r="F165" i="54" s="1"/>
  <c r="F166" i="54" s="1"/>
  <c r="E78" i="54"/>
  <c r="F78" i="54" s="1"/>
  <c r="F79" i="54" s="1"/>
  <c r="E68" i="54"/>
  <c r="F68" i="54" s="1"/>
  <c r="F69" i="54" s="1"/>
  <c r="E225" i="54"/>
  <c r="F225" i="54" s="1"/>
  <c r="F226" i="54" s="1"/>
  <c r="E205" i="54"/>
  <c r="F68" i="59"/>
  <c r="H68" i="59" s="1"/>
  <c r="E175" i="54"/>
  <c r="F175" i="54" s="1"/>
  <c r="E235" i="54"/>
  <c r="F37" i="54"/>
  <c r="E120" i="54"/>
  <c r="E138" i="60"/>
  <c r="F81" i="59" s="1"/>
  <c r="H81" i="59" s="1"/>
  <c r="E22" i="78"/>
  <c r="E126" i="54"/>
  <c r="E128" i="54" s="1"/>
  <c r="E155" i="54"/>
  <c r="D38" i="67"/>
  <c r="E98" i="54"/>
  <c r="E266" i="54"/>
  <c r="F144" i="54"/>
  <c r="F35" i="59"/>
  <c r="H35" i="59" s="1"/>
  <c r="F34" i="59"/>
  <c r="H34" i="59" s="1"/>
  <c r="F33" i="59"/>
  <c r="F113" i="59"/>
  <c r="G100" i="60"/>
  <c r="G112" i="60" s="1"/>
  <c r="E112" i="60"/>
  <c r="F78" i="59" s="1"/>
  <c r="H78" i="59" s="1"/>
  <c r="G43" i="60"/>
  <c r="G54" i="60" s="1"/>
  <c r="E54" i="60"/>
  <c r="F75" i="59" s="1"/>
  <c r="H75" i="59" s="1"/>
  <c r="F26" i="60"/>
  <c r="G73" i="59" s="1"/>
  <c r="F90" i="59"/>
  <c r="F100" i="59" s="1"/>
  <c r="E255" i="54"/>
  <c r="E185" i="54"/>
  <c r="L13" i="78"/>
  <c r="E88" i="54"/>
  <c r="E125" i="60"/>
  <c r="F80" i="59" s="1"/>
  <c r="H80" i="59" s="1"/>
  <c r="H23" i="59"/>
  <c r="D4" i="100"/>
  <c r="H16" i="81"/>
  <c r="H48" i="59"/>
  <c r="F92" i="59"/>
  <c r="F102" i="59" s="1"/>
  <c r="F89" i="59"/>
  <c r="F99" i="59" s="1"/>
  <c r="G125" i="60"/>
  <c r="E272" i="54"/>
  <c r="E274" i="54" s="1"/>
  <c r="F30" i="81"/>
  <c r="G43" i="81"/>
  <c r="G42" i="81"/>
  <c r="J46" i="100"/>
  <c r="G44" i="81"/>
  <c r="E215" i="54"/>
  <c r="E108" i="54"/>
  <c r="G128" i="60"/>
  <c r="G138" i="60" s="1"/>
  <c r="G85" i="60"/>
  <c r="G97" i="60" s="1"/>
  <c r="E97" i="60"/>
  <c r="F79" i="59" s="1"/>
  <c r="H79" i="59" s="1"/>
  <c r="D46" i="68"/>
  <c r="E145" i="54"/>
  <c r="G36" i="59"/>
  <c r="G37" i="59" s="1"/>
  <c r="G113" i="59"/>
  <c r="G40" i="59" s="1"/>
  <c r="E38" i="54"/>
  <c r="G124" i="59"/>
  <c r="G29" i="60"/>
  <c r="G40" i="60" s="1"/>
  <c r="E40" i="60"/>
  <c r="F74" i="59" s="1"/>
  <c r="H74" i="59" s="1"/>
  <c r="E195" i="54"/>
  <c r="G41" i="81"/>
  <c r="H41" i="81" s="1"/>
  <c r="H38" i="81"/>
  <c r="E245" i="54"/>
  <c r="G11" i="60"/>
  <c r="F91" i="59"/>
  <c r="F101" i="59" s="1"/>
  <c r="H26" i="58" l="1"/>
  <c r="G23" i="60"/>
  <c r="G26" i="60" s="1"/>
  <c r="E49" i="54"/>
  <c r="E166" i="54"/>
  <c r="E59" i="54"/>
  <c r="E69" i="54"/>
  <c r="E79" i="54"/>
  <c r="E226" i="54"/>
  <c r="F235" i="54"/>
  <c r="F236" i="54" s="1"/>
  <c r="E236" i="54"/>
  <c r="F205" i="54"/>
  <c r="F206" i="54" s="1"/>
  <c r="E206" i="54"/>
  <c r="H92" i="59"/>
  <c r="E176" i="54"/>
  <c r="F176" i="54" s="1"/>
  <c r="H91" i="59"/>
  <c r="H89" i="59"/>
  <c r="F185" i="54"/>
  <c r="F186" i="54" s="1"/>
  <c r="E186" i="54"/>
  <c r="H33" i="59"/>
  <c r="H36" i="59" s="1"/>
  <c r="H37" i="59" s="1"/>
  <c r="F36" i="59"/>
  <c r="F37" i="59" s="1"/>
  <c r="D40" i="67"/>
  <c r="F109" i="59"/>
  <c r="H109" i="59" s="1"/>
  <c r="F121" i="59"/>
  <c r="H99" i="59"/>
  <c r="H73" i="59"/>
  <c r="G116" i="59"/>
  <c r="F255" i="54"/>
  <c r="F256" i="54" s="1"/>
  <c r="E256" i="54"/>
  <c r="F155" i="54"/>
  <c r="F156" i="54" s="1"/>
  <c r="E156" i="54"/>
  <c r="F195" i="54"/>
  <c r="F196" i="54" s="1"/>
  <c r="E196" i="54"/>
  <c r="F245" i="54"/>
  <c r="F246" i="54" s="1"/>
  <c r="E246" i="54"/>
  <c r="F145" i="54"/>
  <c r="F146" i="54" s="1"/>
  <c r="E267" i="54"/>
  <c r="E146" i="54"/>
  <c r="F215" i="54"/>
  <c r="F216" i="54" s="1"/>
  <c r="E216" i="54"/>
  <c r="F44" i="81"/>
  <c r="H44" i="81" s="1"/>
  <c r="F42" i="81"/>
  <c r="H42" i="81" s="1"/>
  <c r="F43" i="81"/>
  <c r="H43" i="81" s="1"/>
  <c r="F112" i="59"/>
  <c r="H112" i="59" s="1"/>
  <c r="F124" i="59"/>
  <c r="H124" i="59" s="1"/>
  <c r="H102" i="59"/>
  <c r="H101" i="59"/>
  <c r="F111" i="59"/>
  <c r="H111" i="59" s="1"/>
  <c r="G45" i="81"/>
  <c r="F123" i="59"/>
  <c r="H123" i="59" s="1"/>
  <c r="H40" i="59"/>
  <c r="G53" i="81"/>
  <c r="H53" i="81" s="1"/>
  <c r="F108" i="54"/>
  <c r="F109" i="54" s="1"/>
  <c r="E109" i="54"/>
  <c r="F88" i="54"/>
  <c r="F89" i="54" s="1"/>
  <c r="E89" i="54"/>
  <c r="H90" i="59"/>
  <c r="F98" i="54"/>
  <c r="F99" i="54" s="1"/>
  <c r="E99" i="54"/>
  <c r="M46" i="100"/>
  <c r="F38" i="54"/>
  <c r="F39" i="54" s="1"/>
  <c r="E121" i="54"/>
  <c r="E122" i="54" s="1"/>
  <c r="E39" i="54"/>
  <c r="H30" i="81"/>
  <c r="F122" i="59"/>
  <c r="H122" i="59" s="1"/>
  <c r="F110" i="59"/>
  <c r="H110" i="59" s="1"/>
  <c r="H100" i="59"/>
  <c r="G22" i="78"/>
  <c r="L22" i="78"/>
  <c r="F22" i="78"/>
  <c r="F22" i="61" l="1"/>
  <c r="F45" i="81"/>
  <c r="F48" i="81" s="1"/>
  <c r="G125" i="59"/>
  <c r="G155" i="59" s="1"/>
  <c r="G48" i="81"/>
  <c r="F29" i="61"/>
  <c r="H121" i="59"/>
  <c r="F105" i="59"/>
  <c r="E268" i="54"/>
  <c r="E22" i="54"/>
  <c r="F22" i="54" s="1"/>
  <c r="F106" i="59"/>
  <c r="F104" i="59"/>
  <c r="H48" i="81" l="1"/>
  <c r="H45" i="81"/>
  <c r="F95" i="59"/>
  <c r="H105" i="59"/>
  <c r="F94" i="59"/>
  <c r="H104" i="59"/>
  <c r="F96" i="59"/>
  <c r="H106" i="59"/>
  <c r="G11" i="58"/>
  <c r="G157" i="59"/>
  <c r="E10" i="78" l="1"/>
  <c r="E11" i="80"/>
  <c r="F86" i="59"/>
  <c r="H86" i="59" s="1"/>
  <c r="F118" i="59"/>
  <c r="H118" i="59" s="1"/>
  <c r="H96" i="59"/>
  <c r="F116" i="59"/>
  <c r="F84" i="59"/>
  <c r="H84" i="59" s="1"/>
  <c r="H94" i="59"/>
  <c r="H113" i="59"/>
  <c r="F70" i="59"/>
  <c r="H70" i="59" s="1"/>
  <c r="F85" i="59"/>
  <c r="H85" i="59" s="1"/>
  <c r="F117" i="59"/>
  <c r="H117" i="59" s="1"/>
  <c r="H95" i="59"/>
  <c r="F20" i="61" l="1"/>
  <c r="F125" i="59"/>
  <c r="F155" i="59" s="1"/>
  <c r="F19" i="61"/>
  <c r="H116" i="59"/>
  <c r="H125" i="59" s="1"/>
  <c r="H155" i="59" s="1"/>
  <c r="F11" i="58" l="1"/>
  <c r="F157" i="59"/>
  <c r="D11" i="80" l="1"/>
  <c r="N46" i="100"/>
  <c r="H157" i="59"/>
  <c r="D10" i="78"/>
  <c r="H11" i="58"/>
  <c r="O46" i="100" l="1"/>
  <c r="G10" i="78"/>
  <c r="H10" i="78" s="1"/>
  <c r="L10" i="78" s="1"/>
  <c r="F10" i="78"/>
  <c r="G29" i="78" l="1"/>
  <c r="H29" i="78" s="1"/>
  <c r="L29" i="78" s="1"/>
  <c r="L30" i="78" s="1"/>
  <c r="P46" i="100"/>
  <c r="D21" i="69"/>
  <c r="G13" i="65" s="1"/>
  <c r="G10" i="65" l="1"/>
  <c r="G17" i="65"/>
  <c r="E11" i="78" s="1"/>
  <c r="F56" i="59"/>
  <c r="H56" i="59" s="1"/>
  <c r="F55" i="59"/>
  <c r="H55" i="59" s="1"/>
  <c r="H31" i="81" l="1"/>
  <c r="F54" i="59"/>
  <c r="H54" i="59" s="1"/>
  <c r="F53" i="59" l="1"/>
  <c r="H53" i="59" s="1"/>
  <c r="F26" i="77" l="1"/>
  <c r="F23" i="77"/>
  <c r="F22" i="77"/>
  <c r="F21" i="77"/>
  <c r="F13" i="77"/>
  <c r="F12" i="77"/>
  <c r="E27" i="77" l="1"/>
  <c r="G21" i="58" s="1"/>
  <c r="F11" i="77"/>
  <c r="F27" i="77" s="1"/>
  <c r="F21" i="58" l="1"/>
  <c r="E17" i="78"/>
  <c r="D17" i="78" l="1"/>
  <c r="G17" i="78" s="1"/>
  <c r="H21" i="58"/>
  <c r="L17" i="78"/>
  <c r="F17" i="78" l="1"/>
  <c r="G13" i="58"/>
  <c r="F12" i="78"/>
  <c r="G12" i="78" l="1"/>
  <c r="L12" i="78"/>
  <c r="U153" i="59" l="1"/>
  <c r="T153" i="59" l="1"/>
  <c r="S153" i="59"/>
  <c r="V153" i="59" l="1"/>
  <c r="W153" i="59"/>
  <c r="I257" i="54" l="1"/>
  <c r="I253" i="54"/>
  <c r="I252" i="54"/>
  <c r="I251" i="54"/>
  <c r="I247" i="54"/>
  <c r="I243" i="54"/>
  <c r="I242" i="54"/>
  <c r="I241" i="54"/>
  <c r="I237" i="54"/>
  <c r="I233" i="54"/>
  <c r="I232" i="54"/>
  <c r="I231" i="54"/>
  <c r="I227" i="54"/>
  <c r="I223" i="54"/>
  <c r="I222" i="54"/>
  <c r="I221" i="54"/>
  <c r="I217" i="54"/>
  <c r="I213" i="54"/>
  <c r="I212" i="54"/>
  <c r="I211" i="54"/>
  <c r="I207" i="54"/>
  <c r="I203" i="54"/>
  <c r="I202" i="54"/>
  <c r="I201" i="54"/>
  <c r="I197" i="54"/>
  <c r="I193" i="54"/>
  <c r="I192" i="54"/>
  <c r="I191" i="54"/>
  <c r="I187" i="54"/>
  <c r="I183" i="54"/>
  <c r="I182" i="54"/>
  <c r="I181" i="54"/>
  <c r="I177" i="54"/>
  <c r="I173" i="54"/>
  <c r="I172" i="54"/>
  <c r="I171" i="54"/>
  <c r="I167" i="54"/>
  <c r="I163" i="54"/>
  <c r="I162" i="54"/>
  <c r="I161" i="54"/>
  <c r="I157" i="54"/>
  <c r="I153" i="54"/>
  <c r="I152" i="54"/>
  <c r="I151" i="54"/>
  <c r="I110" i="54"/>
  <c r="I106" i="54"/>
  <c r="I105" i="54"/>
  <c r="I104" i="54"/>
  <c r="I100" i="54"/>
  <c r="I96" i="54"/>
  <c r="I95" i="54"/>
  <c r="I94" i="54"/>
  <c r="I90" i="54"/>
  <c r="I86" i="54"/>
  <c r="I85" i="54"/>
  <c r="I84" i="54"/>
  <c r="I80" i="54"/>
  <c r="I76" i="54"/>
  <c r="I75" i="54"/>
  <c r="I74" i="54"/>
  <c r="I70" i="54"/>
  <c r="I66" i="54"/>
  <c r="I65" i="54"/>
  <c r="I64" i="54"/>
  <c r="I60" i="54"/>
  <c r="I56" i="54"/>
  <c r="I55" i="54"/>
  <c r="I54" i="54"/>
  <c r="I50" i="54"/>
  <c r="I46" i="54"/>
  <c r="I45" i="54"/>
  <c r="I44" i="54"/>
  <c r="H53" i="60"/>
  <c r="J53" i="60" s="1"/>
  <c r="H39" i="60"/>
  <c r="J39" i="60" s="1"/>
  <c r="I43" i="59"/>
  <c r="J31" i="81"/>
  <c r="J43" i="59" l="1"/>
  <c r="H24" i="60" s="1"/>
  <c r="I24" i="54"/>
  <c r="J49" i="59"/>
  <c r="L49" i="59" s="1"/>
  <c r="H269" i="54"/>
  <c r="H272" i="54" s="1"/>
  <c r="H274" i="54" s="1"/>
  <c r="I147" i="54"/>
  <c r="H144" i="54"/>
  <c r="H262" i="54"/>
  <c r="I140" i="54"/>
  <c r="H184" i="54"/>
  <c r="I180" i="54"/>
  <c r="H26" i="75"/>
  <c r="K35" i="59"/>
  <c r="K34" i="59"/>
  <c r="K33" i="59"/>
  <c r="K30" i="81"/>
  <c r="I24" i="60"/>
  <c r="K61" i="81"/>
  <c r="K70" i="59"/>
  <c r="I141" i="54"/>
  <c r="H263" i="54"/>
  <c r="J63" i="59"/>
  <c r="L63" i="59" s="1"/>
  <c r="K86" i="59"/>
  <c r="K106" i="59"/>
  <c r="K112" i="59"/>
  <c r="K92" i="59"/>
  <c r="H14" i="60"/>
  <c r="J14" i="60" s="1"/>
  <c r="H18" i="60"/>
  <c r="J18" i="60" s="1"/>
  <c r="H22" i="60"/>
  <c r="J22" i="60" s="1"/>
  <c r="H32" i="60"/>
  <c r="J32" i="60" s="1"/>
  <c r="H36" i="60"/>
  <c r="J36" i="60" s="1"/>
  <c r="I54" i="60"/>
  <c r="K75" i="59" s="1"/>
  <c r="H43" i="60"/>
  <c r="J43" i="60" s="1"/>
  <c r="H47" i="60"/>
  <c r="J47" i="60" s="1"/>
  <c r="H51" i="60"/>
  <c r="J51" i="60" s="1"/>
  <c r="H101" i="60"/>
  <c r="J101" i="60" s="1"/>
  <c r="H105" i="60"/>
  <c r="J105" i="60" s="1"/>
  <c r="H109" i="60"/>
  <c r="J109" i="60" s="1"/>
  <c r="H88" i="60"/>
  <c r="J88" i="60" s="1"/>
  <c r="H92" i="60"/>
  <c r="J92" i="60" s="1"/>
  <c r="H117" i="60"/>
  <c r="J117" i="60" s="1"/>
  <c r="H121" i="60"/>
  <c r="J121" i="60" s="1"/>
  <c r="H128" i="60"/>
  <c r="J128" i="60" s="1"/>
  <c r="I138" i="60"/>
  <c r="K81" i="59" s="1"/>
  <c r="H132" i="60"/>
  <c r="J132" i="60" s="1"/>
  <c r="H136" i="60"/>
  <c r="J136" i="60" s="1"/>
  <c r="H67" i="54"/>
  <c r="I63" i="54"/>
  <c r="H107" i="54"/>
  <c r="I103" i="54"/>
  <c r="H264" i="54"/>
  <c r="I142" i="54"/>
  <c r="H174" i="54"/>
  <c r="I170" i="54"/>
  <c r="H214" i="54"/>
  <c r="I210" i="54"/>
  <c r="H254" i="54"/>
  <c r="I250" i="54"/>
  <c r="H57" i="54"/>
  <c r="I53" i="54"/>
  <c r="J59" i="59"/>
  <c r="J69" i="59" s="1"/>
  <c r="K110" i="59"/>
  <c r="K90" i="59"/>
  <c r="H20" i="60"/>
  <c r="J20" i="60" s="1"/>
  <c r="H30" i="60"/>
  <c r="J30" i="60" s="1"/>
  <c r="H34" i="60"/>
  <c r="J34" i="60" s="1"/>
  <c r="H38" i="60"/>
  <c r="J38" i="60" s="1"/>
  <c r="H45" i="60"/>
  <c r="J45" i="60" s="1"/>
  <c r="H103" i="60"/>
  <c r="J103" i="60" s="1"/>
  <c r="H107" i="60"/>
  <c r="J107" i="60" s="1"/>
  <c r="H123" i="60"/>
  <c r="J123" i="60" s="1"/>
  <c r="H130" i="60"/>
  <c r="J130" i="60" s="1"/>
  <c r="H134" i="60"/>
  <c r="J134" i="60" s="1"/>
  <c r="H119" i="54"/>
  <c r="I36" i="54"/>
  <c r="H87" i="54"/>
  <c r="I83" i="54"/>
  <c r="H194" i="54"/>
  <c r="I190" i="54"/>
  <c r="K32" i="59"/>
  <c r="L29" i="59"/>
  <c r="L32" i="59" s="1"/>
  <c r="E36" i="67"/>
  <c r="E44" i="68"/>
  <c r="H33" i="60"/>
  <c r="J33" i="60" s="1"/>
  <c r="H37" i="60"/>
  <c r="J37" i="60" s="1"/>
  <c r="H44" i="60"/>
  <c r="J44" i="60" s="1"/>
  <c r="H102" i="60"/>
  <c r="J102" i="60" s="1"/>
  <c r="H85" i="60"/>
  <c r="J85" i="60" s="1"/>
  <c r="I97" i="60"/>
  <c r="K79" i="59" s="1"/>
  <c r="H122" i="60"/>
  <c r="J122" i="60" s="1"/>
  <c r="H129" i="60"/>
  <c r="J129" i="60" s="1"/>
  <c r="H133" i="60"/>
  <c r="J133" i="60" s="1"/>
  <c r="H37" i="54"/>
  <c r="H38" i="54" s="1"/>
  <c r="H116" i="54"/>
  <c r="I33" i="54"/>
  <c r="I143" i="54"/>
  <c r="H265" i="54"/>
  <c r="K16" i="81"/>
  <c r="E4" i="100" s="1"/>
  <c r="J13" i="59"/>
  <c r="H118" i="54"/>
  <c r="I35" i="54"/>
  <c r="J65" i="59"/>
  <c r="L65" i="59" s="1"/>
  <c r="K84" i="59"/>
  <c r="K104" i="59"/>
  <c r="H12" i="60"/>
  <c r="J12" i="60" s="1"/>
  <c r="H16" i="60"/>
  <c r="J16" i="60" s="1"/>
  <c r="H49" i="60"/>
  <c r="J49" i="60" s="1"/>
  <c r="H86" i="60"/>
  <c r="J86" i="60" s="1"/>
  <c r="H90" i="60"/>
  <c r="J90" i="60" s="1"/>
  <c r="H115" i="60"/>
  <c r="J115" i="60" s="1"/>
  <c r="I125" i="60"/>
  <c r="K80" i="59" s="1"/>
  <c r="H119" i="60"/>
  <c r="J119" i="60" s="1"/>
  <c r="H154" i="54"/>
  <c r="I150" i="54"/>
  <c r="H234" i="54"/>
  <c r="I230" i="54"/>
  <c r="J48" i="59"/>
  <c r="H123" i="54"/>
  <c r="I40" i="54"/>
  <c r="J64" i="59"/>
  <c r="L64" i="59" s="1"/>
  <c r="K109" i="59"/>
  <c r="K89" i="59"/>
  <c r="H11" i="60"/>
  <c r="J11" i="60" s="1"/>
  <c r="I23" i="60"/>
  <c r="H15" i="60"/>
  <c r="J15" i="60" s="1"/>
  <c r="H19" i="60"/>
  <c r="J19" i="60" s="1"/>
  <c r="I40" i="60"/>
  <c r="K74" i="59" s="1"/>
  <c r="H29" i="60"/>
  <c r="J29" i="60" s="1"/>
  <c r="H48" i="60"/>
  <c r="J48" i="60" s="1"/>
  <c r="H52" i="60"/>
  <c r="J52" i="60" s="1"/>
  <c r="H106" i="60"/>
  <c r="J106" i="60" s="1"/>
  <c r="H89" i="60"/>
  <c r="J89" i="60" s="1"/>
  <c r="H93" i="60"/>
  <c r="J93" i="60" s="1"/>
  <c r="H118" i="60"/>
  <c r="J118" i="60" s="1"/>
  <c r="H137" i="60"/>
  <c r="J137" i="60" s="1"/>
  <c r="H47" i="54"/>
  <c r="I43" i="54"/>
  <c r="H77" i="54"/>
  <c r="I73" i="54"/>
  <c r="H224" i="54"/>
  <c r="I220" i="54"/>
  <c r="J11" i="59"/>
  <c r="J11" i="81" s="1"/>
  <c r="K11" i="81"/>
  <c r="J21" i="59"/>
  <c r="L21" i="59" s="1"/>
  <c r="K26" i="81"/>
  <c r="J26" i="81" s="1"/>
  <c r="L26" i="81" s="1"/>
  <c r="L42" i="59"/>
  <c r="K57" i="81"/>
  <c r="L57" i="81" s="1"/>
  <c r="J50" i="59"/>
  <c r="J60" i="59" s="1"/>
  <c r="L60" i="59" s="1"/>
  <c r="L31" i="81"/>
  <c r="J66" i="59"/>
  <c r="L66" i="59" s="1"/>
  <c r="K105" i="59"/>
  <c r="K85" i="59"/>
  <c r="K111" i="59"/>
  <c r="K91" i="59"/>
  <c r="H13" i="60"/>
  <c r="J13" i="60" s="1"/>
  <c r="H17" i="60"/>
  <c r="J17" i="60" s="1"/>
  <c r="H21" i="60"/>
  <c r="J21" i="60" s="1"/>
  <c r="H31" i="60"/>
  <c r="J31" i="60" s="1"/>
  <c r="H35" i="60"/>
  <c r="J35" i="60" s="1"/>
  <c r="H46" i="60"/>
  <c r="J46" i="60" s="1"/>
  <c r="H50" i="60"/>
  <c r="J50" i="60" s="1"/>
  <c r="H100" i="60"/>
  <c r="J100" i="60" s="1"/>
  <c r="I112" i="60"/>
  <c r="K78" i="59" s="1"/>
  <c r="H104" i="60"/>
  <c r="J104" i="60" s="1"/>
  <c r="H108" i="60"/>
  <c r="J108" i="60" s="1"/>
  <c r="H87" i="60"/>
  <c r="J87" i="60" s="1"/>
  <c r="H91" i="60"/>
  <c r="J91" i="60" s="1"/>
  <c r="H116" i="60"/>
  <c r="J116" i="60" s="1"/>
  <c r="H120" i="60"/>
  <c r="J120" i="60" s="1"/>
  <c r="H124" i="60"/>
  <c r="J124" i="60" s="1"/>
  <c r="H131" i="60"/>
  <c r="J131" i="60" s="1"/>
  <c r="H135" i="60"/>
  <c r="J135" i="60" s="1"/>
  <c r="H117" i="54"/>
  <c r="I34" i="54"/>
  <c r="H97" i="54"/>
  <c r="I93" i="54"/>
  <c r="H164" i="54"/>
  <c r="I160" i="54"/>
  <c r="H204" i="54"/>
  <c r="I200" i="54"/>
  <c r="H244" i="54"/>
  <c r="I240" i="54"/>
  <c r="L44" i="59" l="1"/>
  <c r="J60" i="81"/>
  <c r="L61" i="81" s="1"/>
  <c r="J58" i="59"/>
  <c r="L58" i="59" s="1"/>
  <c r="I26" i="60"/>
  <c r="K73" i="59" s="1"/>
  <c r="K116" i="59" s="1"/>
  <c r="L11" i="81"/>
  <c r="L50" i="59"/>
  <c r="L11" i="59"/>
  <c r="L48" i="59"/>
  <c r="L59" i="59"/>
  <c r="J112" i="60"/>
  <c r="H215" i="54"/>
  <c r="I214" i="54"/>
  <c r="K118" i="59"/>
  <c r="I38" i="54"/>
  <c r="I39" i="54" s="1"/>
  <c r="J138" i="60"/>
  <c r="H145" i="54"/>
  <c r="H266" i="54"/>
  <c r="I144" i="54"/>
  <c r="H39" i="54"/>
  <c r="H88" i="54"/>
  <c r="I87" i="54"/>
  <c r="K124" i="59"/>
  <c r="H185" i="54"/>
  <c r="I184" i="54"/>
  <c r="J40" i="60"/>
  <c r="K123" i="59"/>
  <c r="H138" i="60"/>
  <c r="J81" i="59" s="1"/>
  <c r="L81" i="59" s="1"/>
  <c r="H40" i="60"/>
  <c r="J74" i="59" s="1"/>
  <c r="L74" i="59" s="1"/>
  <c r="H23" i="60"/>
  <c r="H26" i="60" s="1"/>
  <c r="J73" i="59" s="1"/>
  <c r="K11" i="65"/>
  <c r="E38" i="67"/>
  <c r="E40" i="67" s="1"/>
  <c r="H205" i="54"/>
  <c r="I204" i="54"/>
  <c r="H225" i="54"/>
  <c r="I224" i="54"/>
  <c r="K117" i="59"/>
  <c r="H125" i="60"/>
  <c r="J80" i="59" s="1"/>
  <c r="L80" i="59" s="1"/>
  <c r="L13" i="59"/>
  <c r="J16" i="81"/>
  <c r="L16" i="81" s="1"/>
  <c r="K122" i="59"/>
  <c r="H108" i="54"/>
  <c r="I107" i="54"/>
  <c r="J24" i="60"/>
  <c r="H112" i="60"/>
  <c r="J78" i="59" s="1"/>
  <c r="L78" i="59" s="1"/>
  <c r="K12" i="65"/>
  <c r="E46" i="68"/>
  <c r="K41" i="81"/>
  <c r="L38" i="81"/>
  <c r="L41" i="81" s="1"/>
  <c r="H126" i="54"/>
  <c r="H128" i="54" s="1"/>
  <c r="H245" i="54"/>
  <c r="I244" i="54"/>
  <c r="J125" i="60"/>
  <c r="J97" i="60"/>
  <c r="H165" i="54"/>
  <c r="I164" i="54"/>
  <c r="H48" i="54"/>
  <c r="I47" i="54"/>
  <c r="J89" i="59"/>
  <c r="L89" i="59" s="1"/>
  <c r="H97" i="60"/>
  <c r="J79" i="59" s="1"/>
  <c r="L79" i="59" s="1"/>
  <c r="H68" i="54"/>
  <c r="I67" i="54"/>
  <c r="J54" i="60"/>
  <c r="H78" i="54"/>
  <c r="I77" i="54"/>
  <c r="J90" i="59"/>
  <c r="L90" i="59" s="1"/>
  <c r="K36" i="59"/>
  <c r="K37" i="59" s="1"/>
  <c r="K121" i="59"/>
  <c r="H175" i="54"/>
  <c r="I174" i="54"/>
  <c r="J23" i="60"/>
  <c r="J68" i="59"/>
  <c r="L68" i="59" s="1"/>
  <c r="H120" i="54"/>
  <c r="I37" i="54"/>
  <c r="H195" i="54"/>
  <c r="I194" i="54"/>
  <c r="H98" i="54"/>
  <c r="I97" i="54"/>
  <c r="J91" i="59"/>
  <c r="L91" i="59" s="1"/>
  <c r="K113" i="59"/>
  <c r="K40" i="59" s="1"/>
  <c r="J92" i="59"/>
  <c r="H235" i="54"/>
  <c r="I234" i="54"/>
  <c r="H155" i="54"/>
  <c r="I154" i="54"/>
  <c r="H58" i="54"/>
  <c r="I57" i="54"/>
  <c r="H255" i="54"/>
  <c r="I254" i="54"/>
  <c r="H54" i="60"/>
  <c r="J75" i="59" s="1"/>
  <c r="L75" i="59" s="1"/>
  <c r="J30" i="81"/>
  <c r="L30" i="81" s="1"/>
  <c r="K43" i="81"/>
  <c r="J47" i="100"/>
  <c r="K44" i="81"/>
  <c r="K42" i="81"/>
  <c r="I26" i="75"/>
  <c r="K26" i="58"/>
  <c r="N16" i="71"/>
  <c r="N18" i="71" s="1"/>
  <c r="M16" i="71"/>
  <c r="M18" i="71" s="1"/>
  <c r="J16" i="71"/>
  <c r="J18" i="71" s="1"/>
  <c r="I16" i="71"/>
  <c r="I18" i="71" s="1"/>
  <c r="H16" i="71"/>
  <c r="H18" i="71" s="1"/>
  <c r="G16" i="71"/>
  <c r="G18" i="71" s="1"/>
  <c r="F16" i="71"/>
  <c r="F18" i="71" s="1"/>
  <c r="E16" i="71"/>
  <c r="E18" i="71" s="1"/>
  <c r="I47" i="91"/>
  <c r="J47" i="91" l="1"/>
  <c r="K47" i="91"/>
  <c r="P47" i="91"/>
  <c r="H47" i="91"/>
  <c r="L73" i="59"/>
  <c r="P45" i="91"/>
  <c r="H45" i="91"/>
  <c r="I45" i="91"/>
  <c r="M54" i="91"/>
  <c r="M57" i="91" s="1"/>
  <c r="M58" i="91" s="1"/>
  <c r="F54" i="91"/>
  <c r="F57" i="91" s="1"/>
  <c r="F58" i="91" s="1"/>
  <c r="J45" i="91"/>
  <c r="N54" i="91"/>
  <c r="N57" i="91" s="1"/>
  <c r="N58" i="91" s="1"/>
  <c r="G54" i="91"/>
  <c r="G57" i="91" s="1"/>
  <c r="G58" i="91" s="1"/>
  <c r="O54" i="91"/>
  <c r="O57" i="91" s="1"/>
  <c r="O58" i="91" s="1"/>
  <c r="K45" i="91"/>
  <c r="Q41" i="91"/>
  <c r="L54" i="91"/>
  <c r="L57" i="91" s="1"/>
  <c r="L58" i="91" s="1"/>
  <c r="J26" i="60"/>
  <c r="H166" i="54"/>
  <c r="I165" i="54"/>
  <c r="I166" i="54" s="1"/>
  <c r="H186" i="54"/>
  <c r="I185" i="54"/>
  <c r="I186" i="54" s="1"/>
  <c r="M45" i="91"/>
  <c r="K16" i="71"/>
  <c r="K18" i="71" s="1"/>
  <c r="H176" i="54"/>
  <c r="I175" i="54"/>
  <c r="I176" i="54" s="1"/>
  <c r="N45" i="91"/>
  <c r="L16" i="71"/>
  <c r="L18" i="71" s="1"/>
  <c r="K45" i="81"/>
  <c r="H246" i="54"/>
  <c r="I245" i="54"/>
  <c r="I246" i="54" s="1"/>
  <c r="H236" i="54"/>
  <c r="I235" i="54"/>
  <c r="I236" i="54" s="1"/>
  <c r="H49" i="54"/>
  <c r="I48" i="54"/>
  <c r="I49" i="54" s="1"/>
  <c r="H109" i="54"/>
  <c r="I108" i="54"/>
  <c r="I109" i="54" s="1"/>
  <c r="Q42" i="91"/>
  <c r="P54" i="91"/>
  <c r="P57" i="91" s="1"/>
  <c r="P58" i="91" s="1"/>
  <c r="L45" i="91"/>
  <c r="L47" i="91"/>
  <c r="L40" i="59"/>
  <c r="K53" i="81"/>
  <c r="L53" i="81" s="1"/>
  <c r="H146" i="54"/>
  <c r="I145" i="54"/>
  <c r="I146" i="54" s="1"/>
  <c r="H267" i="54"/>
  <c r="I54" i="91"/>
  <c r="I57" i="91" s="1"/>
  <c r="I58" i="91" s="1"/>
  <c r="M47" i="91"/>
  <c r="H256" i="54"/>
  <c r="I255" i="54"/>
  <c r="I256" i="54" s="1"/>
  <c r="H69" i="54"/>
  <c r="I68" i="54"/>
  <c r="I69" i="54" s="1"/>
  <c r="J54" i="91"/>
  <c r="J57" i="91" s="1"/>
  <c r="J58" i="91" s="1"/>
  <c r="F47" i="91"/>
  <c r="N47" i="91"/>
  <c r="J26" i="58"/>
  <c r="D51" i="78" s="1"/>
  <c r="E51" i="78"/>
  <c r="J42" i="81"/>
  <c r="L42" i="81" s="1"/>
  <c r="J43" i="81"/>
  <c r="L43" i="81" s="1"/>
  <c r="J44" i="81"/>
  <c r="L44" i="81" s="1"/>
  <c r="J23" i="59"/>
  <c r="H196" i="54"/>
  <c r="I195" i="54"/>
  <c r="I196" i="54" s="1"/>
  <c r="H79" i="54"/>
  <c r="I78" i="54"/>
  <c r="I79" i="54" s="1"/>
  <c r="H89" i="54"/>
  <c r="I88" i="54"/>
  <c r="I89" i="54" s="1"/>
  <c r="H121" i="54"/>
  <c r="H122" i="54" s="1"/>
  <c r="Q48" i="91"/>
  <c r="E54" i="91"/>
  <c r="E57" i="91" s="1"/>
  <c r="Q43" i="91"/>
  <c r="G20" i="72" s="1"/>
  <c r="G22" i="72" s="1"/>
  <c r="C16" i="71"/>
  <c r="H156" i="54"/>
  <c r="I155" i="54"/>
  <c r="I156" i="54" s="1"/>
  <c r="F45" i="91"/>
  <c r="D16" i="71"/>
  <c r="D18" i="71" s="1"/>
  <c r="L92" i="59"/>
  <c r="H54" i="91"/>
  <c r="H57" i="91" s="1"/>
  <c r="H58" i="91" s="1"/>
  <c r="E45" i="91"/>
  <c r="Q49" i="91"/>
  <c r="Q50" i="91"/>
  <c r="E47" i="91"/>
  <c r="Q53" i="91"/>
  <c r="L20" i="72" s="1"/>
  <c r="L22" i="72" s="1"/>
  <c r="H206" i="54"/>
  <c r="I205" i="54"/>
  <c r="I206" i="54" s="1"/>
  <c r="H216" i="54"/>
  <c r="I215" i="54"/>
  <c r="I216" i="54" s="1"/>
  <c r="K54" i="91"/>
  <c r="K57" i="91" s="1"/>
  <c r="K58" i="91" s="1"/>
  <c r="G45" i="91"/>
  <c r="O45" i="91"/>
  <c r="G47" i="91"/>
  <c r="O47" i="91"/>
  <c r="H59" i="54"/>
  <c r="I58" i="54"/>
  <c r="I59" i="54" s="1"/>
  <c r="H99" i="54"/>
  <c r="I98" i="54"/>
  <c r="I99" i="54" s="1"/>
  <c r="H226" i="54"/>
  <c r="I225" i="54"/>
  <c r="I226" i="54" s="1"/>
  <c r="K125" i="59"/>
  <c r="K155" i="59" s="1"/>
  <c r="L26" i="58" l="1"/>
  <c r="C18" i="71"/>
  <c r="O16" i="71"/>
  <c r="O18" i="71" s="1"/>
  <c r="J113" i="59"/>
  <c r="J35" i="59"/>
  <c r="L35" i="59" s="1"/>
  <c r="J33" i="59"/>
  <c r="J34" i="59"/>
  <c r="L34" i="59" s="1"/>
  <c r="L23" i="59"/>
  <c r="J99" i="59"/>
  <c r="Q45" i="91"/>
  <c r="D20" i="72" s="1"/>
  <c r="K20" i="72"/>
  <c r="K22" i="72" s="1"/>
  <c r="J101" i="59"/>
  <c r="L51" i="78"/>
  <c r="G51" i="78"/>
  <c r="F51" i="78"/>
  <c r="H22" i="54"/>
  <c r="K22" i="54" s="1"/>
  <c r="L22" i="54" s="1"/>
  <c r="C20" i="72"/>
  <c r="J20" i="72" s="1"/>
  <c r="Q54" i="91"/>
  <c r="Q47" i="91"/>
  <c r="F20" i="72" s="1"/>
  <c r="M20" i="72"/>
  <c r="M22" i="72" s="1"/>
  <c r="K157" i="59"/>
  <c r="K11" i="58"/>
  <c r="J100" i="59"/>
  <c r="K48" i="81"/>
  <c r="J45" i="81"/>
  <c r="J48" i="81" s="1"/>
  <c r="J102" i="59"/>
  <c r="E58" i="91"/>
  <c r="Q58" i="91" s="1"/>
  <c r="Q57" i="91"/>
  <c r="H268" i="54"/>
  <c r="Q22" i="54" l="1"/>
  <c r="P22" i="54"/>
  <c r="O22" i="54"/>
  <c r="M22" i="54"/>
  <c r="N22" i="54"/>
  <c r="J109" i="59"/>
  <c r="J121" i="59"/>
  <c r="L99" i="59"/>
  <c r="H11" i="80"/>
  <c r="J110" i="59"/>
  <c r="L110" i="59" s="1"/>
  <c r="J122" i="59"/>
  <c r="L122" i="59" s="1"/>
  <c r="L100" i="59"/>
  <c r="J112" i="59"/>
  <c r="L112" i="59" s="1"/>
  <c r="J124" i="59"/>
  <c r="L124" i="59" s="1"/>
  <c r="L102" i="59"/>
  <c r="L48" i="81"/>
  <c r="L45" i="81"/>
  <c r="J22" i="72"/>
  <c r="N20" i="72"/>
  <c r="E39" i="78"/>
  <c r="I22" i="54"/>
  <c r="J111" i="59"/>
  <c r="L111" i="59" s="1"/>
  <c r="J123" i="59"/>
  <c r="L123" i="59" s="1"/>
  <c r="L101" i="59"/>
  <c r="J36" i="59"/>
  <c r="J37" i="59" s="1"/>
  <c r="L33" i="59"/>
  <c r="L36" i="59" s="1"/>
  <c r="L37" i="59" s="1"/>
  <c r="J106" i="59" l="1"/>
  <c r="L106" i="59" s="1"/>
  <c r="J104" i="59"/>
  <c r="L104" i="59" s="1"/>
  <c r="H22" i="61"/>
  <c r="H29" i="61"/>
  <c r="L121" i="59"/>
  <c r="E57" i="78"/>
  <c r="N22" i="72"/>
  <c r="J105" i="59"/>
  <c r="L109" i="59"/>
  <c r="R58" i="91" l="1"/>
  <c r="J94" i="59"/>
  <c r="L94" i="59" s="1"/>
  <c r="J96" i="59"/>
  <c r="J118" i="59" s="1"/>
  <c r="L118" i="59" s="1"/>
  <c r="F57" i="78"/>
  <c r="L57" i="78"/>
  <c r="J95" i="59"/>
  <c r="L105" i="59"/>
  <c r="L113" i="59" s="1"/>
  <c r="J70" i="59" l="1"/>
  <c r="L70" i="59" s="1"/>
  <c r="J86" i="59"/>
  <c r="L86" i="59" s="1"/>
  <c r="J116" i="59"/>
  <c r="L116" i="59" s="1"/>
  <c r="J84" i="59"/>
  <c r="L84" i="59" s="1"/>
  <c r="L96" i="59"/>
  <c r="J117" i="59"/>
  <c r="L117" i="59" s="1"/>
  <c r="J85" i="59"/>
  <c r="L85" i="59" s="1"/>
  <c r="L95" i="59"/>
  <c r="L125" i="59" l="1"/>
  <c r="L155" i="59" s="1"/>
  <c r="H20" i="61"/>
  <c r="H19" i="61"/>
  <c r="J125" i="59"/>
  <c r="J155" i="59" s="1"/>
  <c r="J157" i="59" l="1"/>
  <c r="J11" i="58"/>
  <c r="N47" i="100" l="1"/>
  <c r="G11" i="80"/>
  <c r="L157" i="59"/>
  <c r="D39" i="78"/>
  <c r="L11" i="58"/>
  <c r="G39" i="78" l="1"/>
  <c r="H39" i="78" s="1"/>
  <c r="L39" i="78" s="1"/>
  <c r="F39" i="78"/>
  <c r="J53" i="59" l="1"/>
  <c r="L53" i="59" s="1"/>
  <c r="J54" i="59"/>
  <c r="L54" i="59" s="1"/>
  <c r="J55" i="59"/>
  <c r="L55" i="59" s="1"/>
  <c r="J56" i="59" l="1"/>
  <c r="L56" i="59" s="1"/>
  <c r="J14" i="65" l="1"/>
  <c r="E41" i="78"/>
  <c r="D41" i="78" l="1"/>
  <c r="F41" i="78" s="1"/>
  <c r="G41" i="78" l="1"/>
  <c r="H41" i="78" s="1"/>
  <c r="L41" i="78" s="1"/>
  <c r="F6" i="100" l="1"/>
  <c r="I26" i="77"/>
  <c r="I23" i="77"/>
  <c r="I22" i="77"/>
  <c r="I21" i="77"/>
  <c r="I13" i="77"/>
  <c r="I12" i="77"/>
  <c r="E21" i="69"/>
  <c r="E6" i="100" l="1"/>
  <c r="E42" i="78"/>
  <c r="K13" i="65"/>
  <c r="K10" i="65" l="1"/>
  <c r="K17" i="65"/>
  <c r="K13" i="58" s="1"/>
  <c r="D42" i="78"/>
  <c r="L42" i="78"/>
  <c r="E40" i="78" l="1"/>
  <c r="H27" i="77"/>
  <c r="K21" i="58" s="1"/>
  <c r="I11" i="77"/>
  <c r="I27" i="77" s="1"/>
  <c r="M47" i="100" l="1"/>
  <c r="O47" i="100" s="1"/>
  <c r="P47" i="100" s="1"/>
  <c r="J21" i="58"/>
  <c r="D46" i="78" s="1"/>
  <c r="E46" i="78"/>
  <c r="G58" i="78" l="1"/>
  <c r="H58" i="78" s="1"/>
  <c r="L58" i="78" s="1"/>
  <c r="L59" i="78" s="1"/>
  <c r="L21" i="58"/>
  <c r="G46" i="78"/>
  <c r="L46" i="78"/>
  <c r="F46" i="78"/>
  <c r="P14" i="65" l="1"/>
  <c r="O17" i="65"/>
  <c r="O13" i="58" s="1"/>
  <c r="Q14" i="65" l="1"/>
  <c r="P17" i="65"/>
  <c r="P13" i="58" l="1"/>
  <c r="Q13" i="58" s="1"/>
  <c r="N14" i="65"/>
  <c r="K13" i="66"/>
  <c r="Q17" i="65"/>
  <c r="M13" i="66" l="1"/>
  <c r="K14" i="66"/>
  <c r="K16" i="66" s="1"/>
  <c r="L13" i="66"/>
  <c r="L14" i="66" s="1"/>
  <c r="L16" i="66" s="1"/>
  <c r="S14" i="65"/>
  <c r="S17" i="65" l="1"/>
  <c r="T14" i="65"/>
  <c r="O13" i="66"/>
  <c r="N13" i="66"/>
  <c r="N14" i="66" s="1"/>
  <c r="N16" i="66" s="1"/>
  <c r="M14" i="66"/>
  <c r="M16" i="66" s="1"/>
  <c r="T17" i="65" l="1"/>
  <c r="Q13" i="66"/>
  <c r="U14" i="65"/>
  <c r="P13" i="66"/>
  <c r="P14" i="66" s="1"/>
  <c r="P16" i="66" s="1"/>
  <c r="O14" i="66"/>
  <c r="O16" i="66" s="1"/>
  <c r="U17" i="65" l="1"/>
  <c r="V14" i="65"/>
  <c r="Q14" i="66"/>
  <c r="Q16" i="66" s="1"/>
  <c r="S13" i="66"/>
  <c r="R13" i="66"/>
  <c r="R14" i="66" s="1"/>
  <c r="R16" i="66" s="1"/>
  <c r="V17" i="65" l="1"/>
  <c r="S14" i="66"/>
  <c r="S16" i="66" s="1"/>
  <c r="W14" i="65"/>
  <c r="T13" i="66"/>
  <c r="T14" i="66" s="1"/>
  <c r="T16" i="66" s="1"/>
  <c r="W17" i="65" l="1"/>
  <c r="N73" i="59" l="1"/>
  <c r="N116" i="59" s="1"/>
  <c r="P73" i="59"/>
  <c r="Q73" i="59" s="1"/>
  <c r="N78" i="59"/>
  <c r="N121" i="59" s="1"/>
  <c r="P78" i="59"/>
  <c r="P121" i="59" s="1"/>
  <c r="Q121" i="59" s="1"/>
  <c r="N80" i="59"/>
  <c r="N123" i="59" s="1"/>
  <c r="P80" i="59"/>
  <c r="Q80" i="59" s="1"/>
  <c r="N81" i="59"/>
  <c r="N124" i="59" s="1"/>
  <c r="P81" i="59"/>
  <c r="O11" i="60"/>
  <c r="O12" i="60"/>
  <c r="O13" i="60"/>
  <c r="O14" i="60"/>
  <c r="O15" i="60"/>
  <c r="O16" i="60"/>
  <c r="O17" i="60"/>
  <c r="O18" i="60"/>
  <c r="O19" i="60"/>
  <c r="O20" i="60"/>
  <c r="O21" i="60"/>
  <c r="O22" i="60"/>
  <c r="O100" i="60"/>
  <c r="O101" i="60"/>
  <c r="O102" i="60"/>
  <c r="O103" i="60"/>
  <c r="O104" i="60"/>
  <c r="O105" i="60"/>
  <c r="O106" i="60"/>
  <c r="O107" i="60"/>
  <c r="O108" i="60"/>
  <c r="O109" i="60"/>
  <c r="O110" i="60"/>
  <c r="O111" i="60"/>
  <c r="O115" i="60"/>
  <c r="O116" i="60"/>
  <c r="O117" i="60"/>
  <c r="O118" i="60"/>
  <c r="O119" i="60"/>
  <c r="O120" i="60"/>
  <c r="O121" i="60"/>
  <c r="O122" i="60"/>
  <c r="O123" i="60"/>
  <c r="O124" i="60"/>
  <c r="O128" i="60"/>
  <c r="O129" i="60"/>
  <c r="O130" i="60"/>
  <c r="O131" i="60"/>
  <c r="O132" i="60"/>
  <c r="O133" i="60"/>
  <c r="O134" i="60"/>
  <c r="O135" i="60"/>
  <c r="O136" i="60"/>
  <c r="O137" i="60"/>
  <c r="Q78" i="59" l="1"/>
  <c r="R78" i="59" s="1"/>
  <c r="R80" i="59"/>
  <c r="R73" i="59"/>
  <c r="J29" i="61"/>
  <c r="P123" i="59"/>
  <c r="Q123" i="59" s="1"/>
  <c r="R123" i="59" s="1"/>
  <c r="P116" i="59"/>
  <c r="Q116" i="59" s="1"/>
  <c r="R116" i="59" s="1"/>
  <c r="O23" i="60"/>
  <c r="O26" i="60" s="1"/>
  <c r="O112" i="60"/>
  <c r="P124" i="59"/>
  <c r="Q124" i="59" s="1"/>
  <c r="Q81" i="59"/>
  <c r="R81" i="59" s="1"/>
  <c r="O138" i="60"/>
  <c r="N125" i="59"/>
  <c r="N155" i="59" s="1"/>
  <c r="J22" i="61"/>
  <c r="J19" i="61"/>
  <c r="J20" i="61"/>
  <c r="R121" i="59"/>
  <c r="O125" i="60"/>
  <c r="P125" i="59" l="1"/>
  <c r="P155" i="59" s="1"/>
  <c r="R124" i="59"/>
  <c r="R125" i="59" s="1"/>
  <c r="R155" i="59" s="1"/>
  <c r="R157" i="59" s="1"/>
  <c r="Q125" i="59"/>
  <c r="Q155" i="59" s="1"/>
  <c r="N157" i="59"/>
  <c r="J11" i="80" s="1"/>
  <c r="N11" i="58"/>
  <c r="Q157" i="59" l="1"/>
  <c r="K11" i="80" s="1"/>
  <c r="P157" i="59"/>
  <c r="P11" i="58"/>
  <c r="Q11" i="58" s="1"/>
  <c r="R11" i="58" s="1"/>
  <c r="R68" i="59" l="1"/>
  <c r="Q70" i="59"/>
  <c r="R70" i="59" s="1"/>
  <c r="W15" i="81" l="1"/>
  <c r="E48" i="115" l="1"/>
  <c r="E45" i="115"/>
  <c r="O55" i="115"/>
  <c r="O52" i="115"/>
  <c r="O50" i="115"/>
  <c r="O47" i="115"/>
  <c r="O44" i="115"/>
  <c r="O42" i="115"/>
  <c r="J52" i="115"/>
  <c r="J49" i="115"/>
  <c r="J46" i="115"/>
  <c r="J44" i="115"/>
  <c r="J41" i="115"/>
  <c r="E53" i="115" l="1"/>
  <c r="E56" i="115"/>
  <c r="E42" i="115"/>
  <c r="E50" i="115"/>
  <c r="J54" i="115"/>
  <c r="J47" i="115"/>
  <c r="J55" i="115"/>
  <c r="O45" i="115"/>
  <c r="O53" i="115"/>
  <c r="E43" i="115"/>
  <c r="E51" i="115"/>
  <c r="J42" i="115"/>
  <c r="J50" i="115"/>
  <c r="O48" i="115"/>
  <c r="O56" i="115"/>
  <c r="E46" i="115"/>
  <c r="E54" i="115"/>
  <c r="J48" i="115"/>
  <c r="J56" i="115"/>
  <c r="O46" i="115"/>
  <c r="O54" i="115"/>
  <c r="E44" i="115"/>
  <c r="E52" i="115"/>
  <c r="J43" i="115"/>
  <c r="J51" i="115"/>
  <c r="O41" i="115"/>
  <c r="O49" i="115"/>
  <c r="E47" i="115"/>
  <c r="E55" i="115"/>
  <c r="J45" i="115"/>
  <c r="J53" i="115"/>
  <c r="O43" i="115"/>
  <c r="O51" i="115"/>
  <c r="E41" i="115"/>
  <c r="E49" i="115"/>
  <c r="O33" i="104"/>
  <c r="J57" i="70"/>
  <c r="J40" i="115"/>
  <c r="O40" i="115"/>
  <c r="O57" i="70"/>
  <c r="T33" i="104"/>
  <c r="E40" i="115"/>
  <c r="E57" i="70"/>
  <c r="J33" i="104"/>
  <c r="J57" i="115" l="1"/>
  <c r="Q12" i="93" s="1"/>
  <c r="E57" i="115"/>
  <c r="P12" i="93" s="1"/>
  <c r="O57" i="115"/>
  <c r="R12" i="93" s="1"/>
  <c r="T30" i="115"/>
  <c r="T29" i="115"/>
  <c r="T28" i="115"/>
  <c r="T27" i="115"/>
  <c r="T26" i="115"/>
  <c r="T25" i="115"/>
  <c r="T24" i="115"/>
  <c r="T23" i="115"/>
  <c r="T22" i="115"/>
  <c r="T21" i="115"/>
  <c r="T20" i="115"/>
  <c r="T19" i="115"/>
  <c r="T18" i="115"/>
  <c r="T17" i="115"/>
  <c r="T16" i="115"/>
  <c r="T15" i="115"/>
  <c r="R14" i="93" l="1"/>
  <c r="R15" i="93" s="1"/>
  <c r="Q14" i="93"/>
  <c r="Q15" i="93" s="1"/>
  <c r="P14" i="93"/>
  <c r="P15" i="93" s="1"/>
  <c r="T14" i="115"/>
  <c r="T31" i="115" s="1"/>
  <c r="T31" i="70"/>
  <c r="W35" i="81"/>
  <c r="V35" i="81"/>
  <c r="U35" i="81"/>
  <c r="T35" i="81"/>
  <c r="S35" i="81"/>
  <c r="T34" i="81" l="1"/>
  <c r="F56" i="55"/>
  <c r="O17" i="54"/>
  <c r="V28" i="59"/>
  <c r="V34" i="81"/>
  <c r="O12" i="93"/>
  <c r="P17" i="54"/>
  <c r="G56" i="55"/>
  <c r="N17" i="54"/>
  <c r="E56" i="55"/>
  <c r="T28" i="59"/>
  <c r="U28" i="59"/>
  <c r="U34" i="81"/>
  <c r="W28" i="59"/>
  <c r="W34" i="81"/>
  <c r="T15" i="81" l="1"/>
  <c r="S15" i="81"/>
  <c r="V15" i="81"/>
  <c r="S28" i="59"/>
  <c r="S34" i="81"/>
  <c r="U15" i="81"/>
  <c r="O14" i="93"/>
  <c r="O15" i="93" s="1"/>
  <c r="M17" i="54" l="1"/>
  <c r="D56" i="55"/>
  <c r="U31" i="70" l="1"/>
  <c r="F57" i="70"/>
  <c r="K57" i="70"/>
  <c r="U57" i="70"/>
  <c r="P57" i="70"/>
  <c r="T57" i="70"/>
  <c r="T56" i="115"/>
  <c r="T55" i="115"/>
  <c r="T54" i="115"/>
  <c r="T53" i="115"/>
  <c r="T52" i="115"/>
  <c r="T51" i="115"/>
  <c r="T50" i="115"/>
  <c r="T49" i="115"/>
  <c r="T48" i="115"/>
  <c r="T47" i="115"/>
  <c r="T46" i="115"/>
  <c r="T45" i="115"/>
  <c r="T44" i="115"/>
  <c r="T43" i="115"/>
  <c r="T42" i="115"/>
  <c r="T41" i="115"/>
  <c r="U56" i="115"/>
  <c r="U55" i="115"/>
  <c r="U54" i="115"/>
  <c r="U53" i="115"/>
  <c r="U52" i="115"/>
  <c r="U51" i="115"/>
  <c r="U50" i="115"/>
  <c r="U49" i="115"/>
  <c r="U48" i="115"/>
  <c r="U47" i="115"/>
  <c r="U46" i="115"/>
  <c r="U45" i="115"/>
  <c r="U44" i="115"/>
  <c r="U43" i="115"/>
  <c r="U42" i="115"/>
  <c r="U41" i="115"/>
  <c r="P56" i="115"/>
  <c r="P55" i="115"/>
  <c r="P54" i="115"/>
  <c r="P53" i="115"/>
  <c r="P52" i="115"/>
  <c r="P51" i="115"/>
  <c r="P50" i="115"/>
  <c r="P49" i="115"/>
  <c r="P48" i="115"/>
  <c r="P47" i="115"/>
  <c r="P46" i="115"/>
  <c r="P45" i="115"/>
  <c r="P44" i="115"/>
  <c r="P43" i="115"/>
  <c r="P42" i="115"/>
  <c r="P41" i="115"/>
  <c r="K56" i="115"/>
  <c r="K55" i="115"/>
  <c r="K54" i="115"/>
  <c r="K53" i="115"/>
  <c r="K52" i="115"/>
  <c r="K51" i="115"/>
  <c r="K50" i="115"/>
  <c r="K49" i="115"/>
  <c r="K48" i="115"/>
  <c r="K47" i="115"/>
  <c r="K46" i="115"/>
  <c r="K45" i="115"/>
  <c r="K44" i="115"/>
  <c r="K43" i="115"/>
  <c r="K42" i="115"/>
  <c r="K41" i="115"/>
  <c r="F56" i="115"/>
  <c r="F55" i="115"/>
  <c r="F54" i="115"/>
  <c r="F53" i="115"/>
  <c r="F52" i="115"/>
  <c r="F51" i="115"/>
  <c r="F50" i="115"/>
  <c r="F49" i="115"/>
  <c r="F48" i="115"/>
  <c r="F47" i="115"/>
  <c r="F46" i="115"/>
  <c r="F45" i="115"/>
  <c r="F44" i="115"/>
  <c r="F43" i="115"/>
  <c r="F42" i="115"/>
  <c r="F41" i="115"/>
  <c r="Y33" i="104" l="1"/>
  <c r="F77" i="104"/>
  <c r="U21" i="115"/>
  <c r="U29" i="115"/>
  <c r="D74" i="104"/>
  <c r="H20" i="104"/>
  <c r="I20" i="104" s="1"/>
  <c r="D82" i="104"/>
  <c r="H28" i="104"/>
  <c r="I28" i="104" s="1"/>
  <c r="F70" i="104"/>
  <c r="U14" i="115"/>
  <c r="F78" i="104"/>
  <c r="U22" i="115"/>
  <c r="F86" i="104"/>
  <c r="H32" i="104"/>
  <c r="I32" i="104" s="1"/>
  <c r="U30" i="115"/>
  <c r="D75" i="104"/>
  <c r="H21" i="104"/>
  <c r="I21" i="104" s="1"/>
  <c r="D83" i="104"/>
  <c r="H29" i="104"/>
  <c r="I29" i="104" s="1"/>
  <c r="T40" i="115"/>
  <c r="T57" i="115" s="1"/>
  <c r="F71" i="104"/>
  <c r="U15" i="115"/>
  <c r="F79" i="104"/>
  <c r="U23" i="115"/>
  <c r="D76" i="104"/>
  <c r="H22" i="104"/>
  <c r="I22" i="104" s="1"/>
  <c r="D84" i="104"/>
  <c r="H30" i="104"/>
  <c r="I30" i="104" s="1"/>
  <c r="K33" i="104"/>
  <c r="F40" i="115"/>
  <c r="F57" i="115" s="1"/>
  <c r="F72" i="104"/>
  <c r="U16" i="115"/>
  <c r="F80" i="104"/>
  <c r="U24" i="115"/>
  <c r="D77" i="104"/>
  <c r="H23" i="104"/>
  <c r="I23" i="104" s="1"/>
  <c r="P33" i="104"/>
  <c r="K40" i="115"/>
  <c r="K57" i="115" s="1"/>
  <c r="F73" i="104"/>
  <c r="U17" i="115"/>
  <c r="F81" i="104"/>
  <c r="U25" i="115"/>
  <c r="D70" i="104"/>
  <c r="H16" i="104"/>
  <c r="D78" i="104"/>
  <c r="H24" i="104"/>
  <c r="I24" i="104" s="1"/>
  <c r="F74" i="104"/>
  <c r="U18" i="115"/>
  <c r="F82" i="104"/>
  <c r="U26" i="115"/>
  <c r="D71" i="104"/>
  <c r="H17" i="104"/>
  <c r="I17" i="104" s="1"/>
  <c r="D79" i="104"/>
  <c r="H25" i="104"/>
  <c r="I25" i="104" s="1"/>
  <c r="U33" i="104"/>
  <c r="P40" i="115"/>
  <c r="P57" i="115" s="1"/>
  <c r="F75" i="104"/>
  <c r="U19" i="115"/>
  <c r="F83" i="104"/>
  <c r="U27" i="115"/>
  <c r="D72" i="104"/>
  <c r="H18" i="104"/>
  <c r="I18" i="104" s="1"/>
  <c r="D80" i="104"/>
  <c r="H26" i="104"/>
  <c r="I26" i="104" s="1"/>
  <c r="Z33" i="104"/>
  <c r="U40" i="115"/>
  <c r="U57" i="115" s="1"/>
  <c r="F76" i="104"/>
  <c r="U20" i="115"/>
  <c r="F84" i="104"/>
  <c r="U28" i="115"/>
  <c r="D73" i="104"/>
  <c r="H19" i="104"/>
  <c r="I19" i="104" s="1"/>
  <c r="D81" i="104"/>
  <c r="H27" i="104"/>
  <c r="I27" i="104" s="1"/>
  <c r="M19" i="104" l="1"/>
  <c r="N19" i="104" s="1"/>
  <c r="M25" i="104"/>
  <c r="N25" i="104" s="1"/>
  <c r="M22" i="104"/>
  <c r="N22" i="104" s="1"/>
  <c r="M18" i="104"/>
  <c r="N18" i="104" s="1"/>
  <c r="M24" i="104"/>
  <c r="N24" i="104" s="1"/>
  <c r="M23" i="104"/>
  <c r="N23" i="104" s="1"/>
  <c r="M28" i="104"/>
  <c r="N28" i="104" s="1"/>
  <c r="M29" i="104"/>
  <c r="N29" i="104" s="1"/>
  <c r="M27" i="104"/>
  <c r="N27" i="104" s="1"/>
  <c r="M17" i="104"/>
  <c r="N17" i="104" s="1"/>
  <c r="M30" i="104"/>
  <c r="N30" i="104" s="1"/>
  <c r="S12" i="93"/>
  <c r="M32" i="104"/>
  <c r="N32" i="104" s="1"/>
  <c r="U31" i="115"/>
  <c r="M20" i="104"/>
  <c r="N20" i="104" s="1"/>
  <c r="M26" i="104"/>
  <c r="N26" i="104" s="1"/>
  <c r="I16" i="104"/>
  <c r="M21" i="104"/>
  <c r="N21" i="104" s="1"/>
  <c r="R17" i="104" l="1"/>
  <c r="S17" i="104" s="1"/>
  <c r="R22" i="104"/>
  <c r="S22" i="104" s="1"/>
  <c r="R21" i="104"/>
  <c r="S21" i="104" s="1"/>
  <c r="R23" i="104"/>
  <c r="S23" i="104" s="1"/>
  <c r="M16" i="104"/>
  <c r="R30" i="104"/>
  <c r="S30" i="104" s="1"/>
  <c r="R29" i="104"/>
  <c r="S29" i="104" s="1"/>
  <c r="R25" i="104"/>
  <c r="S25" i="104" s="1"/>
  <c r="R32" i="104"/>
  <c r="S32" i="104" s="1"/>
  <c r="S14" i="93"/>
  <c r="S15" i="93" s="1"/>
  <c r="R27" i="104"/>
  <c r="S27" i="104" s="1"/>
  <c r="R28" i="104"/>
  <c r="S28" i="104" s="1"/>
  <c r="R24" i="104"/>
  <c r="S24" i="104" s="1"/>
  <c r="R18" i="104"/>
  <c r="S18" i="104" s="1"/>
  <c r="R19" i="104"/>
  <c r="S19" i="104" s="1"/>
  <c r="R20" i="104"/>
  <c r="S20" i="104" s="1"/>
  <c r="R26" i="104"/>
  <c r="S26" i="104" s="1"/>
  <c r="U77" i="59" l="1"/>
  <c r="W26" i="104"/>
  <c r="X26" i="104" s="1"/>
  <c r="W24" i="104"/>
  <c r="X24" i="104" s="1"/>
  <c r="W29" i="104"/>
  <c r="X29" i="104" s="1"/>
  <c r="W20" i="104"/>
  <c r="X20" i="104" s="1"/>
  <c r="W22" i="104"/>
  <c r="X22" i="104" s="1"/>
  <c r="W19" i="104"/>
  <c r="X19" i="104" s="1"/>
  <c r="T62" i="59"/>
  <c r="H56" i="55"/>
  <c r="Q17" i="54"/>
  <c r="U62" i="59"/>
  <c r="W32" i="104"/>
  <c r="X32" i="104" s="1"/>
  <c r="W30" i="104"/>
  <c r="X30" i="104" s="1"/>
  <c r="W21" i="104"/>
  <c r="X21" i="104" s="1"/>
  <c r="W17" i="104"/>
  <c r="X17" i="104" s="1"/>
  <c r="W25" i="104"/>
  <c r="X25" i="104" s="1"/>
  <c r="W18" i="104"/>
  <c r="X18" i="104" s="1"/>
  <c r="W28" i="104"/>
  <c r="X28" i="104" s="1"/>
  <c r="W27" i="104"/>
  <c r="X27" i="104" s="1"/>
  <c r="N16" i="104"/>
  <c r="W23" i="104"/>
  <c r="X23" i="104" s="1"/>
  <c r="U76" i="59"/>
  <c r="V76" i="59"/>
  <c r="W76" i="59"/>
  <c r="V77" i="59"/>
  <c r="V120" i="59" l="1"/>
  <c r="V119" i="59"/>
  <c r="AB26" i="104"/>
  <c r="W61" i="59"/>
  <c r="AB27" i="104"/>
  <c r="AB25" i="104"/>
  <c r="W119" i="59"/>
  <c r="AB19" i="104"/>
  <c r="AB24" i="104"/>
  <c r="W62" i="59"/>
  <c r="U61" i="59"/>
  <c r="U119" i="59"/>
  <c r="T77" i="59"/>
  <c r="T120" i="59" s="1"/>
  <c r="S62" i="59"/>
  <c r="S77" i="59"/>
  <c r="S120" i="59" s="1"/>
  <c r="AB28" i="104"/>
  <c r="AB21" i="104"/>
  <c r="V61" i="59"/>
  <c r="T61" i="59"/>
  <c r="AB17" i="104"/>
  <c r="AB22" i="104"/>
  <c r="AB20" i="104"/>
  <c r="V62" i="59"/>
  <c r="W77" i="59"/>
  <c r="W120" i="59" s="1"/>
  <c r="AB23" i="104"/>
  <c r="R16" i="104"/>
  <c r="AB18" i="104"/>
  <c r="AB30" i="104"/>
  <c r="AB32" i="104"/>
  <c r="AB29" i="104"/>
  <c r="U120" i="59" l="1"/>
  <c r="S16" i="104"/>
  <c r="W16" i="104" l="1"/>
  <c r="X16" i="104" l="1"/>
  <c r="AB16" i="104" l="1"/>
  <c r="S61" i="59" l="1"/>
  <c r="T76" i="59" l="1"/>
  <c r="T119" i="59" l="1"/>
  <c r="S76" i="59" l="1"/>
  <c r="S119" i="59" l="1"/>
  <c r="V13" i="58" l="1"/>
  <c r="U13" i="58"/>
  <c r="S13" i="58"/>
  <c r="W13" i="58"/>
  <c r="T13" i="58"/>
  <c r="S58" i="59" l="1"/>
  <c r="S60" i="59"/>
  <c r="S59" i="59"/>
  <c r="S68" i="59" l="1"/>
  <c r="S104" i="59" s="1"/>
  <c r="T60" i="59"/>
  <c r="T58" i="59"/>
  <c r="E169" i="59" l="1"/>
  <c r="S108" i="59"/>
  <c r="S107" i="59"/>
  <c r="T59" i="59"/>
  <c r="S70" i="59"/>
  <c r="S106" i="59"/>
  <c r="S105" i="59"/>
  <c r="U60" i="59"/>
  <c r="U58" i="59"/>
  <c r="U59" i="59"/>
  <c r="T68" i="59" l="1"/>
  <c r="T104" i="59" s="1"/>
  <c r="E170" i="59"/>
  <c r="F169" i="59"/>
  <c r="F170" i="59" s="1"/>
  <c r="U68" i="59"/>
  <c r="U104" i="59" s="1"/>
  <c r="V60" i="59"/>
  <c r="V58" i="59"/>
  <c r="V59" i="59"/>
  <c r="T106" i="59" l="1"/>
  <c r="T70" i="59"/>
  <c r="T107" i="59"/>
  <c r="T108" i="59"/>
  <c r="H169" i="59"/>
  <c r="I169" i="59" s="1"/>
  <c r="I170" i="59" s="1"/>
  <c r="T105" i="59"/>
  <c r="U70" i="59"/>
  <c r="V68" i="59"/>
  <c r="V104" i="59" s="1"/>
  <c r="U107" i="59"/>
  <c r="K169" i="59"/>
  <c r="U108" i="59"/>
  <c r="U105" i="59"/>
  <c r="U106" i="59"/>
  <c r="W60" i="59"/>
  <c r="W58" i="59"/>
  <c r="W59" i="59"/>
  <c r="H170" i="59" l="1"/>
  <c r="V70" i="59"/>
  <c r="V105" i="59"/>
  <c r="V106" i="59"/>
  <c r="L169" i="59"/>
  <c r="L170" i="59" s="1"/>
  <c r="K170" i="59"/>
  <c r="N169" i="59"/>
  <c r="V107" i="59"/>
  <c r="V108" i="59"/>
  <c r="W68" i="59"/>
  <c r="W106" i="59" s="1"/>
  <c r="W105" i="59" l="1"/>
  <c r="N170" i="59"/>
  <c r="O169" i="59"/>
  <c r="O170" i="59" s="1"/>
  <c r="W104" i="59"/>
  <c r="Q169" i="59"/>
  <c r="W107" i="59"/>
  <c r="W108" i="59"/>
  <c r="W70" i="59"/>
  <c r="Q170" i="59" l="1"/>
  <c r="R169" i="59"/>
  <c r="R170" i="59" s="1"/>
  <c r="E23" i="65" l="1"/>
  <c r="F23" i="65" l="1"/>
  <c r="E24" i="65"/>
  <c r="E82" i="61"/>
  <c r="S14" i="58" l="1"/>
  <c r="E81" i="61"/>
  <c r="G23" i="65"/>
  <c r="F24" i="65"/>
  <c r="F82" i="61"/>
  <c r="T14" i="58" l="1"/>
  <c r="F81" i="61"/>
  <c r="H23" i="65"/>
  <c r="G24" i="65"/>
  <c r="G82" i="61"/>
  <c r="W39" i="81"/>
  <c r="V39" i="81"/>
  <c r="U39" i="81"/>
  <c r="T39" i="81"/>
  <c r="S39" i="81"/>
  <c r="S32" i="59" l="1"/>
  <c r="T32" i="59"/>
  <c r="V38" i="81"/>
  <c r="H168" i="59"/>
  <c r="T53" i="81"/>
  <c r="T57" i="81"/>
  <c r="G81" i="61"/>
  <c r="U14" i="58"/>
  <c r="H24" i="65"/>
  <c r="I23" i="65"/>
  <c r="H82" i="61"/>
  <c r="U32" i="59"/>
  <c r="W38" i="81"/>
  <c r="Q168" i="59"/>
  <c r="W53" i="81"/>
  <c r="W57" i="81"/>
  <c r="S38" i="81"/>
  <c r="S57" i="81"/>
  <c r="T38" i="81"/>
  <c r="V32" i="59"/>
  <c r="N168" i="59"/>
  <c r="V53" i="81"/>
  <c r="V57" i="81"/>
  <c r="E168" i="59"/>
  <c r="S53" i="81"/>
  <c r="U38" i="81"/>
  <c r="W32" i="59"/>
  <c r="K168" i="59"/>
  <c r="U53" i="81"/>
  <c r="U57" i="81"/>
  <c r="R168" i="59" l="1"/>
  <c r="R178" i="59" s="1"/>
  <c r="R184" i="59" s="1"/>
  <c r="Q178" i="59"/>
  <c r="Q184" i="59" s="1"/>
  <c r="F168" i="59"/>
  <c r="F178" i="59" s="1"/>
  <c r="F184" i="59" s="1"/>
  <c r="E178" i="59"/>
  <c r="E184" i="59" s="1"/>
  <c r="L168" i="59"/>
  <c r="L178" i="59" s="1"/>
  <c r="L184" i="59" s="1"/>
  <c r="K178" i="59"/>
  <c r="K184" i="59" s="1"/>
  <c r="O168" i="59"/>
  <c r="O178" i="59" s="1"/>
  <c r="O184" i="59" s="1"/>
  <c r="N178" i="59"/>
  <c r="N184" i="59" s="1"/>
  <c r="I168" i="59"/>
  <c r="I178" i="59" s="1"/>
  <c r="I184" i="59" s="1"/>
  <c r="H178" i="59"/>
  <c r="H184" i="59" s="1"/>
  <c r="I24" i="65"/>
  <c r="I82" i="61"/>
  <c r="H81" i="61"/>
  <c r="V14" i="58"/>
  <c r="I81" i="61" l="1"/>
  <c r="W14" i="58"/>
  <c r="E44" i="104" l="1"/>
  <c r="E48" i="104"/>
  <c r="E57" i="104"/>
  <c r="E47" i="104"/>
  <c r="E45" i="104"/>
  <c r="E46" i="104"/>
  <c r="E49" i="104"/>
  <c r="E55" i="104"/>
  <c r="E52" i="104"/>
  <c r="E51" i="104"/>
  <c r="E56" i="104"/>
  <c r="E60" i="104"/>
  <c r="E53" i="104"/>
  <c r="E50" i="104"/>
  <c r="E54" i="104"/>
  <c r="E58" i="104"/>
  <c r="H56" i="104" l="1"/>
  <c r="I56" i="104" s="1"/>
  <c r="E82" i="104"/>
  <c r="H82" i="104" s="1"/>
  <c r="H55" i="104"/>
  <c r="I55" i="104" s="1"/>
  <c r="E81" i="104"/>
  <c r="H81" i="104" s="1"/>
  <c r="H54" i="104"/>
  <c r="I54" i="104" s="1"/>
  <c r="E80" i="104"/>
  <c r="H80" i="104" s="1"/>
  <c r="H60" i="104"/>
  <c r="I60" i="104" s="1"/>
  <c r="E86" i="104"/>
  <c r="H86" i="104" s="1"/>
  <c r="H48" i="104"/>
  <c r="I48" i="104" s="1"/>
  <c r="E74" i="104"/>
  <c r="H74" i="104" s="1"/>
  <c r="H47" i="104"/>
  <c r="I47" i="104" s="1"/>
  <c r="E73" i="104"/>
  <c r="H73" i="104" s="1"/>
  <c r="H44" i="104"/>
  <c r="E70" i="104"/>
  <c r="H49" i="104"/>
  <c r="I49" i="104" s="1"/>
  <c r="E75" i="104"/>
  <c r="H75" i="104" s="1"/>
  <c r="H50" i="104"/>
  <c r="I50" i="104" s="1"/>
  <c r="E76" i="104"/>
  <c r="H76" i="104" s="1"/>
  <c r="H53" i="104"/>
  <c r="I53" i="104" s="1"/>
  <c r="E79" i="104"/>
  <c r="H79" i="104" s="1"/>
  <c r="H51" i="104"/>
  <c r="I51" i="104" s="1"/>
  <c r="E77" i="104"/>
  <c r="H77" i="104" s="1"/>
  <c r="H52" i="104"/>
  <c r="I52" i="104" s="1"/>
  <c r="E78" i="104"/>
  <c r="H78" i="104" s="1"/>
  <c r="H58" i="104"/>
  <c r="I58" i="104" s="1"/>
  <c r="E84" i="104"/>
  <c r="H84" i="104" s="1"/>
  <c r="H46" i="104"/>
  <c r="I46" i="104" s="1"/>
  <c r="E72" i="104"/>
  <c r="H72" i="104" s="1"/>
  <c r="H45" i="104"/>
  <c r="I45" i="104" s="1"/>
  <c r="E71" i="104"/>
  <c r="H71" i="104" s="1"/>
  <c r="H57" i="104"/>
  <c r="I57" i="104" s="1"/>
  <c r="E83" i="104"/>
  <c r="H83" i="104" s="1"/>
  <c r="F64" i="55"/>
  <c r="G64" i="55"/>
  <c r="H64" i="55"/>
  <c r="E64" i="55"/>
  <c r="K48" i="104" l="1"/>
  <c r="K74" i="104" s="1"/>
  <c r="J48" i="104"/>
  <c r="I74" i="104"/>
  <c r="K57" i="104"/>
  <c r="K83" i="104" s="1"/>
  <c r="J57" i="104"/>
  <c r="I83" i="104"/>
  <c r="K58" i="104"/>
  <c r="K84" i="104" s="1"/>
  <c r="J58" i="104"/>
  <c r="I84" i="104"/>
  <c r="K53" i="104"/>
  <c r="K79" i="104" s="1"/>
  <c r="J53" i="104"/>
  <c r="I79" i="104"/>
  <c r="K50" i="104"/>
  <c r="K76" i="104" s="1"/>
  <c r="J50" i="104"/>
  <c r="I76" i="104"/>
  <c r="H70" i="104"/>
  <c r="K51" i="104"/>
  <c r="K77" i="104" s="1"/>
  <c r="J51" i="104"/>
  <c r="I77" i="104"/>
  <c r="I44" i="104"/>
  <c r="K60" i="104"/>
  <c r="K86" i="104" s="1"/>
  <c r="J60" i="104"/>
  <c r="I86" i="104"/>
  <c r="K54" i="104"/>
  <c r="K80" i="104" s="1"/>
  <c r="J54" i="104"/>
  <c r="I80" i="104"/>
  <c r="K55" i="104"/>
  <c r="K81" i="104" s="1"/>
  <c r="J55" i="104"/>
  <c r="I81" i="104"/>
  <c r="K56" i="104"/>
  <c r="K82" i="104" s="1"/>
  <c r="J56" i="104"/>
  <c r="I82" i="104"/>
  <c r="K46" i="104"/>
  <c r="K72" i="104" s="1"/>
  <c r="J46" i="104"/>
  <c r="I72" i="104"/>
  <c r="K52" i="104"/>
  <c r="K78" i="104" s="1"/>
  <c r="J52" i="104"/>
  <c r="I78" i="104"/>
  <c r="K49" i="104"/>
  <c r="K75" i="104" s="1"/>
  <c r="J49" i="104"/>
  <c r="I75" i="104"/>
  <c r="K47" i="104"/>
  <c r="K73" i="104" s="1"/>
  <c r="J47" i="104"/>
  <c r="I73" i="104"/>
  <c r="K45" i="104"/>
  <c r="K71" i="104" s="1"/>
  <c r="J45" i="104"/>
  <c r="I71" i="104"/>
  <c r="I70" i="104" l="1"/>
  <c r="K44" i="104"/>
  <c r="J44" i="104"/>
  <c r="M58" i="104"/>
  <c r="N58" i="104" s="1"/>
  <c r="J84" i="104"/>
  <c r="M84" i="104" s="1"/>
  <c r="M54" i="104"/>
  <c r="N54" i="104" s="1"/>
  <c r="J80" i="104"/>
  <c r="M80" i="104" s="1"/>
  <c r="M57" i="104"/>
  <c r="N57" i="104" s="1"/>
  <c r="J83" i="104"/>
  <c r="M83" i="104" s="1"/>
  <c r="M55" i="104"/>
  <c r="N55" i="104" s="1"/>
  <c r="J81" i="104"/>
  <c r="M81" i="104" s="1"/>
  <c r="M51" i="104"/>
  <c r="N51" i="104" s="1"/>
  <c r="J77" i="104"/>
  <c r="M77" i="104" s="1"/>
  <c r="M48" i="104"/>
  <c r="N48" i="104" s="1"/>
  <c r="J74" i="104"/>
  <c r="M74" i="104" s="1"/>
  <c r="M60" i="104"/>
  <c r="N60" i="104" s="1"/>
  <c r="J86" i="104"/>
  <c r="M86" i="104" s="1"/>
  <c r="M50" i="104"/>
  <c r="N50" i="104" s="1"/>
  <c r="J76" i="104"/>
  <c r="M76" i="104" s="1"/>
  <c r="M49" i="104"/>
  <c r="N49" i="104" s="1"/>
  <c r="J75" i="104"/>
  <c r="M75" i="104" s="1"/>
  <c r="M52" i="104"/>
  <c r="N52" i="104" s="1"/>
  <c r="J78" i="104"/>
  <c r="M78" i="104" s="1"/>
  <c r="M47" i="104"/>
  <c r="N47" i="104" s="1"/>
  <c r="J73" i="104"/>
  <c r="M73" i="104" s="1"/>
  <c r="M45" i="104"/>
  <c r="N45" i="104" s="1"/>
  <c r="J71" i="104"/>
  <c r="M71" i="104" s="1"/>
  <c r="M46" i="104"/>
  <c r="N46" i="104" s="1"/>
  <c r="J72" i="104"/>
  <c r="M72" i="104" s="1"/>
  <c r="M56" i="104"/>
  <c r="N56" i="104" s="1"/>
  <c r="J82" i="104"/>
  <c r="M82" i="104" s="1"/>
  <c r="M53" i="104"/>
  <c r="N53" i="104" s="1"/>
  <c r="J79" i="104"/>
  <c r="M79" i="104" s="1"/>
  <c r="P47" i="104" l="1"/>
  <c r="P73" i="104" s="1"/>
  <c r="O47" i="104"/>
  <c r="N73" i="104"/>
  <c r="P48" i="104"/>
  <c r="P74" i="104" s="1"/>
  <c r="O48" i="104"/>
  <c r="N74" i="104"/>
  <c r="P57" i="104"/>
  <c r="P83" i="104" s="1"/>
  <c r="O57" i="104"/>
  <c r="N83" i="104"/>
  <c r="P58" i="104"/>
  <c r="P84" i="104" s="1"/>
  <c r="O58" i="104"/>
  <c r="N84" i="104"/>
  <c r="J70" i="104"/>
  <c r="P46" i="104"/>
  <c r="P72" i="104" s="1"/>
  <c r="O46" i="104"/>
  <c r="N72" i="104"/>
  <c r="P49" i="104"/>
  <c r="P75" i="104" s="1"/>
  <c r="O49" i="104"/>
  <c r="N75" i="104"/>
  <c r="P51" i="104"/>
  <c r="P77" i="104" s="1"/>
  <c r="O51" i="104"/>
  <c r="N77" i="104"/>
  <c r="M44" i="104"/>
  <c r="P54" i="104"/>
  <c r="P80" i="104" s="1"/>
  <c r="O54" i="104"/>
  <c r="N80" i="104"/>
  <c r="K70" i="104"/>
  <c r="P56" i="104"/>
  <c r="P82" i="104" s="1"/>
  <c r="O56" i="104"/>
  <c r="N82" i="104"/>
  <c r="P45" i="104"/>
  <c r="P71" i="104" s="1"/>
  <c r="O45" i="104"/>
  <c r="N71" i="104"/>
  <c r="P60" i="104"/>
  <c r="P86" i="104" s="1"/>
  <c r="O60" i="104"/>
  <c r="N86" i="104"/>
  <c r="P55" i="104"/>
  <c r="P81" i="104" s="1"/>
  <c r="O55" i="104"/>
  <c r="N81" i="104"/>
  <c r="P53" i="104"/>
  <c r="P79" i="104" s="1"/>
  <c r="O53" i="104"/>
  <c r="N79" i="104"/>
  <c r="P50" i="104"/>
  <c r="P76" i="104" s="1"/>
  <c r="O50" i="104"/>
  <c r="N76" i="104"/>
  <c r="P52" i="104"/>
  <c r="P78" i="104" s="1"/>
  <c r="O52" i="104"/>
  <c r="N78" i="104"/>
  <c r="M70" i="104" l="1"/>
  <c r="R51" i="104"/>
  <c r="S51" i="104" s="1"/>
  <c r="O77" i="104"/>
  <c r="R77" i="104" s="1"/>
  <c r="R58" i="104"/>
  <c r="S58" i="104" s="1"/>
  <c r="O84" i="104"/>
  <c r="R84" i="104" s="1"/>
  <c r="R60" i="104"/>
  <c r="S60" i="104" s="1"/>
  <c r="O86" i="104"/>
  <c r="R86" i="104" s="1"/>
  <c r="N44" i="104"/>
  <c r="R57" i="104"/>
  <c r="S57" i="104" s="1"/>
  <c r="O83" i="104"/>
  <c r="R83" i="104" s="1"/>
  <c r="R48" i="104"/>
  <c r="S48" i="104" s="1"/>
  <c r="O74" i="104"/>
  <c r="R74" i="104" s="1"/>
  <c r="R53" i="104"/>
  <c r="S53" i="104" s="1"/>
  <c r="O79" i="104"/>
  <c r="R79" i="104" s="1"/>
  <c r="R45" i="104"/>
  <c r="S45" i="104" s="1"/>
  <c r="O71" i="104"/>
  <c r="R71" i="104" s="1"/>
  <c r="R52" i="104"/>
  <c r="S52" i="104" s="1"/>
  <c r="O78" i="104"/>
  <c r="R78" i="104" s="1"/>
  <c r="R55" i="104"/>
  <c r="S55" i="104" s="1"/>
  <c r="O81" i="104"/>
  <c r="R81" i="104" s="1"/>
  <c r="R49" i="104"/>
  <c r="S49" i="104" s="1"/>
  <c r="O75" i="104"/>
  <c r="R75" i="104" s="1"/>
  <c r="R50" i="104"/>
  <c r="S50" i="104" s="1"/>
  <c r="O76" i="104"/>
  <c r="R76" i="104" s="1"/>
  <c r="R56" i="104"/>
  <c r="S56" i="104" s="1"/>
  <c r="O82" i="104"/>
  <c r="R82" i="104" s="1"/>
  <c r="R46" i="104"/>
  <c r="S46" i="104" s="1"/>
  <c r="O72" i="104"/>
  <c r="R72" i="104" s="1"/>
  <c r="F59" i="104"/>
  <c r="R54" i="104"/>
  <c r="S54" i="104" s="1"/>
  <c r="O80" i="104"/>
  <c r="R80" i="104" s="1"/>
  <c r="R47" i="104"/>
  <c r="S47" i="104" s="1"/>
  <c r="O73" i="104"/>
  <c r="R73" i="104" s="1"/>
  <c r="U49" i="104" l="1"/>
  <c r="U75" i="104" s="1"/>
  <c r="T49" i="104"/>
  <c r="S75" i="104"/>
  <c r="U47" i="104"/>
  <c r="U73" i="104" s="1"/>
  <c r="T47" i="104"/>
  <c r="S73" i="104"/>
  <c r="U48" i="104"/>
  <c r="U74" i="104" s="1"/>
  <c r="T48" i="104"/>
  <c r="S74" i="104"/>
  <c r="P44" i="104"/>
  <c r="O44" i="104"/>
  <c r="N70" i="104"/>
  <c r="U50" i="104"/>
  <c r="U76" i="104" s="1"/>
  <c r="T50" i="104"/>
  <c r="S76" i="104"/>
  <c r="U54" i="104"/>
  <c r="U80" i="104" s="1"/>
  <c r="T54" i="104"/>
  <c r="S80" i="104"/>
  <c r="U45" i="104"/>
  <c r="U71" i="104" s="1"/>
  <c r="T45" i="104"/>
  <c r="S71" i="104"/>
  <c r="U57" i="104"/>
  <c r="U83" i="104" s="1"/>
  <c r="T57" i="104"/>
  <c r="S83" i="104"/>
  <c r="U60" i="104"/>
  <c r="U86" i="104" s="1"/>
  <c r="T60" i="104"/>
  <c r="S86" i="104"/>
  <c r="U46" i="104"/>
  <c r="U72" i="104" s="1"/>
  <c r="T46" i="104"/>
  <c r="S72" i="104"/>
  <c r="U53" i="104"/>
  <c r="U79" i="104" s="1"/>
  <c r="T53" i="104"/>
  <c r="S79" i="104"/>
  <c r="U51" i="104"/>
  <c r="U77" i="104" s="1"/>
  <c r="T51" i="104"/>
  <c r="S77" i="104"/>
  <c r="F61" i="104"/>
  <c r="F85" i="104"/>
  <c r="F87" i="104" s="1"/>
  <c r="U56" i="104"/>
  <c r="U82" i="104" s="1"/>
  <c r="T56" i="104"/>
  <c r="S82" i="104"/>
  <c r="U55" i="104"/>
  <c r="U81" i="104" s="1"/>
  <c r="T55" i="104"/>
  <c r="S81" i="104"/>
  <c r="U52" i="104"/>
  <c r="U78" i="104" s="1"/>
  <c r="T52" i="104"/>
  <c r="S78" i="104"/>
  <c r="U58" i="104"/>
  <c r="U84" i="104" s="1"/>
  <c r="T58" i="104"/>
  <c r="S84" i="104"/>
  <c r="R44" i="104" l="1"/>
  <c r="S44" i="104" s="1"/>
  <c r="W55" i="104"/>
  <c r="X55" i="104" s="1"/>
  <c r="T81" i="104"/>
  <c r="W81" i="104" s="1"/>
  <c r="W53" i="104"/>
  <c r="X53" i="104" s="1"/>
  <c r="T79" i="104"/>
  <c r="W79" i="104" s="1"/>
  <c r="W51" i="104"/>
  <c r="X51" i="104" s="1"/>
  <c r="T77" i="104"/>
  <c r="W77" i="104" s="1"/>
  <c r="W57" i="104"/>
  <c r="X57" i="104" s="1"/>
  <c r="T83" i="104"/>
  <c r="W83" i="104" s="1"/>
  <c r="W50" i="104"/>
  <c r="X50" i="104" s="1"/>
  <c r="T76" i="104"/>
  <c r="W76" i="104" s="1"/>
  <c r="W56" i="104"/>
  <c r="X56" i="104" s="1"/>
  <c r="T82" i="104"/>
  <c r="W82" i="104" s="1"/>
  <c r="W46" i="104"/>
  <c r="X46" i="104" s="1"/>
  <c r="T72" i="104"/>
  <c r="W72" i="104" s="1"/>
  <c r="W47" i="104"/>
  <c r="X47" i="104" s="1"/>
  <c r="T73" i="104"/>
  <c r="W73" i="104" s="1"/>
  <c r="W58" i="104"/>
  <c r="X58" i="104" s="1"/>
  <c r="T84" i="104"/>
  <c r="W84" i="104" s="1"/>
  <c r="W52" i="104"/>
  <c r="X52" i="104" s="1"/>
  <c r="T78" i="104"/>
  <c r="W78" i="104" s="1"/>
  <c r="O70" i="104"/>
  <c r="W48" i="104"/>
  <c r="X48" i="104" s="1"/>
  <c r="T74" i="104"/>
  <c r="W74" i="104" s="1"/>
  <c r="W49" i="104"/>
  <c r="X49" i="104" s="1"/>
  <c r="T75" i="104"/>
  <c r="W75" i="104" s="1"/>
  <c r="P70" i="104"/>
  <c r="W60" i="104"/>
  <c r="X60" i="104" s="1"/>
  <c r="T86" i="104"/>
  <c r="W86" i="104" s="1"/>
  <c r="W45" i="104"/>
  <c r="X45" i="104" s="1"/>
  <c r="T71" i="104"/>
  <c r="W71" i="104" s="1"/>
  <c r="W54" i="104"/>
  <c r="X54" i="104" s="1"/>
  <c r="T80" i="104"/>
  <c r="W80" i="104" s="1"/>
  <c r="Z45" i="104" l="1"/>
  <c r="Z71" i="104" s="1"/>
  <c r="Y45" i="104"/>
  <c r="Y71" i="104" s="1"/>
  <c r="X71" i="104"/>
  <c r="Z48" i="104"/>
  <c r="Z74" i="104" s="1"/>
  <c r="Y48" i="104"/>
  <c r="Y74" i="104" s="1"/>
  <c r="X74" i="104"/>
  <c r="U44" i="104"/>
  <c r="T44" i="104"/>
  <c r="S70" i="104"/>
  <c r="Z49" i="104"/>
  <c r="Z75" i="104" s="1"/>
  <c r="Y49" i="104"/>
  <c r="Y75" i="104" s="1"/>
  <c r="X75" i="104"/>
  <c r="Z51" i="104"/>
  <c r="Z77" i="104" s="1"/>
  <c r="Y51" i="104"/>
  <c r="Y77" i="104" s="1"/>
  <c r="X77" i="104"/>
  <c r="Z53" i="104"/>
  <c r="Z79" i="104" s="1"/>
  <c r="Y53" i="104"/>
  <c r="Y79" i="104" s="1"/>
  <c r="X79" i="104"/>
  <c r="Z46" i="104"/>
  <c r="Z72" i="104" s="1"/>
  <c r="Y46" i="104"/>
  <c r="Y72" i="104" s="1"/>
  <c r="X72" i="104"/>
  <c r="Z54" i="104"/>
  <c r="Z80" i="104" s="1"/>
  <c r="Y54" i="104"/>
  <c r="Y80" i="104" s="1"/>
  <c r="X80" i="104"/>
  <c r="Z58" i="104"/>
  <c r="Z84" i="104" s="1"/>
  <c r="Y58" i="104"/>
  <c r="Y84" i="104" s="1"/>
  <c r="X84" i="104"/>
  <c r="Z50" i="104"/>
  <c r="Z76" i="104" s="1"/>
  <c r="Y50" i="104"/>
  <c r="Y76" i="104" s="1"/>
  <c r="X76" i="104"/>
  <c r="Z57" i="104"/>
  <c r="Z83" i="104" s="1"/>
  <c r="Y57" i="104"/>
  <c r="Y83" i="104" s="1"/>
  <c r="X83" i="104"/>
  <c r="Z47" i="104"/>
  <c r="Z73" i="104" s="1"/>
  <c r="Y47" i="104"/>
  <c r="Y73" i="104" s="1"/>
  <c r="X73" i="104"/>
  <c r="Z55" i="104"/>
  <c r="Z81" i="104" s="1"/>
  <c r="Y55" i="104"/>
  <c r="Y81" i="104" s="1"/>
  <c r="X81" i="104"/>
  <c r="Z60" i="104"/>
  <c r="Z86" i="104" s="1"/>
  <c r="Y60" i="104"/>
  <c r="Y86" i="104" s="1"/>
  <c r="X86" i="104"/>
  <c r="R70" i="104"/>
  <c r="Z56" i="104"/>
  <c r="Z82" i="104" s="1"/>
  <c r="Y56" i="104"/>
  <c r="Y82" i="104" s="1"/>
  <c r="X82" i="104"/>
  <c r="Z52" i="104"/>
  <c r="Z78" i="104" s="1"/>
  <c r="Y52" i="104"/>
  <c r="Y78" i="104" s="1"/>
  <c r="X78" i="104"/>
  <c r="AB78" i="104" l="1"/>
  <c r="W44" i="104"/>
  <c r="X44" i="104" s="1"/>
  <c r="AB84" i="104"/>
  <c r="AB73" i="104"/>
  <c r="AB80" i="104"/>
  <c r="AB83" i="104"/>
  <c r="AB72" i="104"/>
  <c r="AB75" i="104"/>
  <c r="AB71" i="104"/>
  <c r="AB86" i="104"/>
  <c r="AB81" i="104"/>
  <c r="U70" i="104"/>
  <c r="AB74" i="104"/>
  <c r="AB82" i="104"/>
  <c r="AB77" i="104"/>
  <c r="AB79" i="104"/>
  <c r="AB76" i="104"/>
  <c r="T70" i="104"/>
  <c r="W70" i="104" l="1"/>
  <c r="Z44" i="104"/>
  <c r="Z70" i="104" s="1"/>
  <c r="Y44" i="104"/>
  <c r="Y70" i="104" s="1"/>
  <c r="X70" i="104"/>
  <c r="AB70" i="104" l="1"/>
  <c r="D64" i="55"/>
  <c r="S21" i="58" l="1"/>
  <c r="E65" i="61" l="1"/>
  <c r="T26" i="58"/>
  <c r="S26" i="58"/>
  <c r="T21" i="58"/>
  <c r="F65" i="61" l="1"/>
  <c r="T78" i="59"/>
  <c r="S64" i="59"/>
  <c r="S78" i="59"/>
  <c r="S81" i="59"/>
  <c r="S66" i="59"/>
  <c r="T79" i="59"/>
  <c r="T81" i="59"/>
  <c r="T124" i="59" s="1"/>
  <c r="T66" i="59"/>
  <c r="T112" i="59" s="1"/>
  <c r="S63" i="59"/>
  <c r="S79" i="59"/>
  <c r="U21" i="58"/>
  <c r="T64" i="59"/>
  <c r="T110" i="59" s="1"/>
  <c r="U26" i="58" l="1"/>
  <c r="V26" i="58"/>
  <c r="T122" i="59"/>
  <c r="T121" i="59"/>
  <c r="G65" i="61"/>
  <c r="W26" i="58"/>
  <c r="U78" i="59"/>
  <c r="U79" i="59"/>
  <c r="U64" i="59"/>
  <c r="U110" i="59" s="1"/>
  <c r="U81" i="59"/>
  <c r="U124" i="59" s="1"/>
  <c r="U66" i="59"/>
  <c r="U112" i="59" s="1"/>
  <c r="W21" i="58"/>
  <c r="V21" i="58"/>
  <c r="T63" i="59"/>
  <c r="T109" i="59" s="1"/>
  <c r="T113" i="59" s="1"/>
  <c r="T23" i="59" s="1"/>
  <c r="I182" i="59" l="1"/>
  <c r="H182" i="59"/>
  <c r="T91" i="59"/>
  <c r="T90" i="59"/>
  <c r="T89" i="59"/>
  <c r="T92" i="59"/>
  <c r="U122" i="59"/>
  <c r="F68" i="61"/>
  <c r="F61" i="61"/>
  <c r="H65" i="61"/>
  <c r="I65" i="61"/>
  <c r="T33" i="59"/>
  <c r="T35" i="59"/>
  <c r="T34" i="59"/>
  <c r="T30" i="81"/>
  <c r="T88" i="59"/>
  <c r="T87" i="59"/>
  <c r="T86" i="59"/>
  <c r="T85" i="59"/>
  <c r="T84" i="59"/>
  <c r="U121" i="59"/>
  <c r="V66" i="59"/>
  <c r="V112" i="59" s="1"/>
  <c r="V79" i="59"/>
  <c r="V81" i="59"/>
  <c r="V124" i="59" s="1"/>
  <c r="V78" i="59"/>
  <c r="V64" i="59"/>
  <c r="V110" i="59" s="1"/>
  <c r="U63" i="59"/>
  <c r="U109" i="59" s="1"/>
  <c r="U113" i="59" s="1"/>
  <c r="U23" i="59" s="1"/>
  <c r="L182" i="59" s="1"/>
  <c r="G61" i="61" l="1"/>
  <c r="U91" i="59"/>
  <c r="U92" i="59"/>
  <c r="U90" i="59"/>
  <c r="U89" i="59"/>
  <c r="T42" i="81"/>
  <c r="T44" i="81"/>
  <c r="T43" i="81"/>
  <c r="G68" i="61"/>
  <c r="V121" i="59"/>
  <c r="V122" i="59"/>
  <c r="T36" i="59"/>
  <c r="T37" i="59" s="1"/>
  <c r="H185" i="59"/>
  <c r="H187" i="59" s="1"/>
  <c r="H191" i="59"/>
  <c r="H194" i="59" s="1"/>
  <c r="H196" i="59" s="1"/>
  <c r="I185" i="59"/>
  <c r="I187" i="59" s="1"/>
  <c r="I191" i="59"/>
  <c r="I194" i="59" s="1"/>
  <c r="I196" i="59" s="1"/>
  <c r="K182" i="59"/>
  <c r="U34" i="59"/>
  <c r="U35" i="59"/>
  <c r="U30" i="81"/>
  <c r="U33" i="59"/>
  <c r="U87" i="59"/>
  <c r="U88" i="59"/>
  <c r="U86" i="59"/>
  <c r="U85" i="59"/>
  <c r="U84" i="59"/>
  <c r="W64" i="59"/>
  <c r="W110" i="59" s="1"/>
  <c r="W66" i="59"/>
  <c r="W112" i="59" s="1"/>
  <c r="W63" i="59"/>
  <c r="W109" i="59" s="1"/>
  <c r="W81" i="59"/>
  <c r="W124" i="59" s="1"/>
  <c r="W79" i="59"/>
  <c r="V63" i="59"/>
  <c r="V109" i="59" s="1"/>
  <c r="V113" i="59" s="1"/>
  <c r="V23" i="59" s="1"/>
  <c r="W78" i="59"/>
  <c r="I198" i="59" l="1"/>
  <c r="V91" i="59"/>
  <c r="V89" i="59"/>
  <c r="V92" i="59"/>
  <c r="V90" i="59"/>
  <c r="J196" i="59"/>
  <c r="U36" i="59"/>
  <c r="U37" i="59" s="1"/>
  <c r="T45" i="81"/>
  <c r="T48" i="81" s="1"/>
  <c r="K191" i="59"/>
  <c r="K194" i="59" s="1"/>
  <c r="K196" i="59" s="1"/>
  <c r="K185" i="59"/>
  <c r="K187" i="59" s="1"/>
  <c r="H198" i="59"/>
  <c r="J187" i="59"/>
  <c r="W122" i="59"/>
  <c r="W113" i="59"/>
  <c r="W23" i="59" s="1"/>
  <c r="U44" i="81"/>
  <c r="U43" i="81"/>
  <c r="U42" i="81"/>
  <c r="O182" i="59"/>
  <c r="N182" i="59"/>
  <c r="V33" i="59"/>
  <c r="V30" i="81"/>
  <c r="V35" i="59"/>
  <c r="V34" i="59"/>
  <c r="V87" i="59"/>
  <c r="V88" i="59"/>
  <c r="V85" i="59"/>
  <c r="V84" i="59"/>
  <c r="V86" i="59"/>
  <c r="H61" i="61"/>
  <c r="H68" i="61"/>
  <c r="W121" i="59"/>
  <c r="L191" i="59"/>
  <c r="L194" i="59" s="1"/>
  <c r="L196" i="59" s="1"/>
  <c r="L185" i="59"/>
  <c r="L187" i="59" s="1"/>
  <c r="H40" i="71"/>
  <c r="H42" i="71" s="1"/>
  <c r="G23" i="73"/>
  <c r="E40" i="71"/>
  <c r="E42" i="71" s="1"/>
  <c r="F40" i="71"/>
  <c r="F42" i="71" s="1"/>
  <c r="I40" i="71"/>
  <c r="I42" i="71" s="1"/>
  <c r="C40" i="71"/>
  <c r="M40" i="71"/>
  <c r="M42" i="71" s="1"/>
  <c r="L40" i="71"/>
  <c r="L42" i="71" s="1"/>
  <c r="N40" i="71"/>
  <c r="N42" i="71" s="1"/>
  <c r="D40" i="71"/>
  <c r="D42" i="71" s="1"/>
  <c r="J40" i="71"/>
  <c r="J42" i="71" s="1"/>
  <c r="G40" i="71"/>
  <c r="G42" i="71" s="1"/>
  <c r="K40" i="71"/>
  <c r="K42" i="71" s="1"/>
  <c r="J198" i="59" l="1"/>
  <c r="F79" i="61" s="1"/>
  <c r="L198" i="59"/>
  <c r="W91" i="59"/>
  <c r="W92" i="59"/>
  <c r="W89" i="59"/>
  <c r="W90" i="59"/>
  <c r="G34" i="73"/>
  <c r="G36" i="73" s="1"/>
  <c r="N48" i="71"/>
  <c r="N50" i="71" s="1"/>
  <c r="M48" i="71"/>
  <c r="M50" i="71" s="1"/>
  <c r="E48" i="71"/>
  <c r="E50" i="71" s="1"/>
  <c r="L48" i="71"/>
  <c r="L50" i="71" s="1"/>
  <c r="D48" i="71"/>
  <c r="D50" i="71" s="1"/>
  <c r="K48" i="71"/>
  <c r="K50" i="71" s="1"/>
  <c r="C48" i="71"/>
  <c r="J48" i="71"/>
  <c r="J50" i="71" s="1"/>
  <c r="I48" i="71"/>
  <c r="I50" i="71" s="1"/>
  <c r="H48" i="71"/>
  <c r="H50" i="71" s="1"/>
  <c r="G48" i="71"/>
  <c r="G50" i="71" s="1"/>
  <c r="F48" i="71"/>
  <c r="F50" i="71" s="1"/>
  <c r="V36" i="59"/>
  <c r="V37" i="59" s="1"/>
  <c r="D64" i="71" s="1"/>
  <c r="D66" i="71" s="1"/>
  <c r="C42" i="71"/>
  <c r="O40" i="71"/>
  <c r="O42" i="71" s="1"/>
  <c r="I68" i="61"/>
  <c r="I61" i="61"/>
  <c r="V44" i="81"/>
  <c r="V43" i="81"/>
  <c r="V42" i="81"/>
  <c r="K198" i="59"/>
  <c r="M187" i="59"/>
  <c r="M196" i="59"/>
  <c r="N191" i="59"/>
  <c r="N194" i="59" s="1"/>
  <c r="N196" i="59" s="1"/>
  <c r="N185" i="59"/>
  <c r="N187" i="59" s="1"/>
  <c r="G22" i="74"/>
  <c r="G24" i="74" s="1"/>
  <c r="G25" i="73"/>
  <c r="O185" i="59"/>
  <c r="O187" i="59" s="1"/>
  <c r="O191" i="59"/>
  <c r="O194" i="59" s="1"/>
  <c r="O196" i="59" s="1"/>
  <c r="R182" i="59"/>
  <c r="Q182" i="59"/>
  <c r="W34" i="59"/>
  <c r="W30" i="81"/>
  <c r="W35" i="59"/>
  <c r="W33" i="59"/>
  <c r="W88" i="59"/>
  <c r="W87" i="59"/>
  <c r="W86" i="59"/>
  <c r="W84" i="59"/>
  <c r="W85" i="59"/>
  <c r="U45" i="81"/>
  <c r="U48" i="81" s="1"/>
  <c r="F80" i="61" l="1"/>
  <c r="T12" i="58"/>
  <c r="M198" i="59"/>
  <c r="G31" i="74"/>
  <c r="G33" i="74" s="1"/>
  <c r="O48" i="71"/>
  <c r="O50" i="71" s="1"/>
  <c r="K56" i="71"/>
  <c r="K58" i="71" s="1"/>
  <c r="F64" i="71"/>
  <c r="F66" i="71" s="1"/>
  <c r="N64" i="71"/>
  <c r="N66" i="71" s="1"/>
  <c r="L56" i="71"/>
  <c r="L58" i="71" s="1"/>
  <c r="I64" i="71"/>
  <c r="I66" i="71" s="1"/>
  <c r="G56" i="71"/>
  <c r="G58" i="71" s="1"/>
  <c r="C56" i="71"/>
  <c r="C58" i="71" s="1"/>
  <c r="D56" i="71"/>
  <c r="D58" i="71" s="1"/>
  <c r="J64" i="71"/>
  <c r="J66" i="71" s="1"/>
  <c r="I56" i="71"/>
  <c r="I58" i="71" s="1"/>
  <c r="C50" i="71"/>
  <c r="J56" i="71"/>
  <c r="J58" i="71" s="1"/>
  <c r="E56" i="71"/>
  <c r="E58" i="71" s="1"/>
  <c r="M64" i="71"/>
  <c r="M66" i="71" s="1"/>
  <c r="K64" i="71"/>
  <c r="K66" i="71" s="1"/>
  <c r="H64" i="71"/>
  <c r="H66" i="71" s="1"/>
  <c r="G64" i="71"/>
  <c r="G66" i="71" s="1"/>
  <c r="M56" i="71"/>
  <c r="M58" i="71" s="1"/>
  <c r="H56" i="71"/>
  <c r="H58" i="71" s="1"/>
  <c r="L64" i="71"/>
  <c r="L66" i="71" s="1"/>
  <c r="F56" i="71"/>
  <c r="F58" i="71" s="1"/>
  <c r="G44" i="73"/>
  <c r="G40" i="74" s="1"/>
  <c r="G42" i="74" s="1"/>
  <c r="N56" i="71"/>
  <c r="N58" i="71" s="1"/>
  <c r="E64" i="71"/>
  <c r="E66" i="71" s="1"/>
  <c r="V45" i="81"/>
  <c r="V48" i="81" s="1"/>
  <c r="O198" i="59"/>
  <c r="F83" i="61"/>
  <c r="Q191" i="59"/>
  <c r="Q194" i="59" s="1"/>
  <c r="Q196" i="59" s="1"/>
  <c r="Q185" i="59"/>
  <c r="Q187" i="59" s="1"/>
  <c r="R191" i="59"/>
  <c r="R194" i="59" s="1"/>
  <c r="R196" i="59" s="1"/>
  <c r="R185" i="59"/>
  <c r="R187" i="59" s="1"/>
  <c r="W36" i="59"/>
  <c r="W37" i="59" s="1"/>
  <c r="N198" i="59"/>
  <c r="P187" i="59"/>
  <c r="W42" i="81"/>
  <c r="W44" i="81"/>
  <c r="W43" i="81"/>
  <c r="P196" i="59"/>
  <c r="G80" i="61" l="1"/>
  <c r="G79" i="61"/>
  <c r="U12" i="58"/>
  <c r="P198" i="59"/>
  <c r="H79" i="61" s="1"/>
  <c r="G46" i="73"/>
  <c r="O56" i="71"/>
  <c r="O58" i="71" s="1"/>
  <c r="S196" i="59"/>
  <c r="R198" i="59"/>
  <c r="Q198" i="59"/>
  <c r="S187" i="59"/>
  <c r="C64" i="71"/>
  <c r="G54" i="73"/>
  <c r="W45" i="81"/>
  <c r="W48" i="81" s="1"/>
  <c r="G83" i="61" l="1"/>
  <c r="S198" i="59"/>
  <c r="I79" i="61" s="1"/>
  <c r="V12" i="58"/>
  <c r="H80" i="61"/>
  <c r="H83" i="61" s="1"/>
  <c r="G49" i="74"/>
  <c r="G51" i="74" s="1"/>
  <c r="G56" i="73"/>
  <c r="C66" i="71"/>
  <c r="O64" i="71"/>
  <c r="O66" i="71" s="1"/>
  <c r="W12" i="58" l="1"/>
  <c r="I80" i="61"/>
  <c r="I83" i="61" s="1"/>
  <c r="S124" i="59" l="1"/>
  <c r="S112" i="59"/>
  <c r="S121" i="59" l="1"/>
  <c r="S109" i="59"/>
  <c r="S122" i="59"/>
  <c r="S110" i="59"/>
  <c r="S113" i="59" l="1"/>
  <c r="S23" i="59" s="1"/>
  <c r="E61" i="61"/>
  <c r="E68" i="61"/>
  <c r="S33" i="59" l="1"/>
  <c r="E182" i="59"/>
  <c r="E191" i="59" s="1"/>
  <c r="E194" i="59" s="1"/>
  <c r="E196" i="59" s="1"/>
  <c r="S85" i="59"/>
  <c r="S84" i="59"/>
  <c r="S30" i="81"/>
  <c r="S42" i="81" s="1"/>
  <c r="S87" i="59"/>
  <c r="S88" i="59"/>
  <c r="S35" i="59"/>
  <c r="S34" i="59"/>
  <c r="S86" i="59"/>
  <c r="S91" i="59"/>
  <c r="S92" i="59"/>
  <c r="S89" i="59"/>
  <c r="S90" i="59"/>
  <c r="F182" i="59"/>
  <c r="F185" i="59" s="1"/>
  <c r="F187" i="59" s="1"/>
  <c r="S36" i="59" l="1"/>
  <c r="S37" i="59" s="1"/>
  <c r="K32" i="71" s="1"/>
  <c r="K34" i="71" s="1"/>
  <c r="S43" i="81"/>
  <c r="S44" i="81"/>
  <c r="E185" i="59"/>
  <c r="E187" i="59" s="1"/>
  <c r="E198" i="59" s="1"/>
  <c r="F191" i="59"/>
  <c r="F194" i="59" s="1"/>
  <c r="F196" i="59" s="1"/>
  <c r="G196" i="59" s="1"/>
  <c r="F32" i="71" l="1"/>
  <c r="F34" i="71" s="1"/>
  <c r="H32" i="71"/>
  <c r="H34" i="71" s="1"/>
  <c r="N32" i="71"/>
  <c r="N34" i="71" s="1"/>
  <c r="L32" i="71"/>
  <c r="L34" i="71" s="1"/>
  <c r="S45" i="81"/>
  <c r="S48" i="81" s="1"/>
  <c r="D32" i="71"/>
  <c r="D34" i="71" s="1"/>
  <c r="C32" i="71"/>
  <c r="C34" i="71" s="1"/>
  <c r="G32" i="71"/>
  <c r="G34" i="71" s="1"/>
  <c r="G12" i="73"/>
  <c r="G11" i="74" s="1"/>
  <c r="G13" i="74" s="1"/>
  <c r="I32" i="71"/>
  <c r="I34" i="71" s="1"/>
  <c r="M32" i="71"/>
  <c r="M34" i="71" s="1"/>
  <c r="E32" i="71"/>
  <c r="E34" i="71" s="1"/>
  <c r="J32" i="71"/>
  <c r="J34" i="71" s="1"/>
  <c r="F198" i="59"/>
  <c r="G198" i="59" s="1"/>
  <c r="G187" i="59"/>
  <c r="G14" i="73" l="1"/>
  <c r="O32" i="71"/>
  <c r="O34" i="71" s="1"/>
  <c r="E79" i="61"/>
  <c r="E80" i="61"/>
  <c r="S12" i="58"/>
  <c r="E83" i="61" l="1"/>
  <c r="F84" i="61" l="1"/>
  <c r="F85" i="61" s="1"/>
  <c r="T20" i="58" s="1"/>
  <c r="G84" i="61"/>
  <c r="G85" i="61" s="1"/>
  <c r="U20" i="58" s="1"/>
  <c r="H84" i="61"/>
  <c r="H85" i="61" s="1"/>
  <c r="V20" i="58" s="1"/>
  <c r="I84" i="61"/>
  <c r="I85" i="61" s="1"/>
  <c r="W20" i="58" s="1"/>
  <c r="E84" i="61"/>
  <c r="E85" i="61" s="1"/>
  <c r="S20" i="58" s="1"/>
  <c r="D85" i="104" l="1"/>
  <c r="D87" i="104" s="1"/>
  <c r="H31" i="104"/>
  <c r="E59" i="104"/>
  <c r="H59" i="104" l="1"/>
  <c r="E85" i="104"/>
  <c r="E61" i="104"/>
  <c r="I31" i="104"/>
  <c r="H33" i="104"/>
  <c r="I59" i="104" l="1"/>
  <c r="I85" i="104" s="1"/>
  <c r="I87" i="104" s="1"/>
  <c r="H61" i="104"/>
  <c r="M31" i="104"/>
  <c r="I33" i="104"/>
  <c r="H85" i="104"/>
  <c r="H87" i="104" s="1"/>
  <c r="E87" i="104"/>
  <c r="N31" i="104" l="1"/>
  <c r="M33" i="104"/>
  <c r="K59" i="104"/>
  <c r="J59" i="104"/>
  <c r="I61" i="104"/>
  <c r="R31" i="104" l="1"/>
  <c r="N33" i="104"/>
  <c r="M59" i="104"/>
  <c r="J85" i="104"/>
  <c r="J61" i="104"/>
  <c r="K85" i="104"/>
  <c r="K87" i="104" s="1"/>
  <c r="K61" i="104"/>
  <c r="M85" i="104" l="1"/>
  <c r="M87" i="104" s="1"/>
  <c r="J87" i="104"/>
  <c r="N59" i="104"/>
  <c r="M61" i="104"/>
  <c r="S31" i="104"/>
  <c r="R33" i="104"/>
  <c r="P59" i="104" l="1"/>
  <c r="O59" i="104"/>
  <c r="N61" i="104"/>
  <c r="N85" i="104"/>
  <c r="N87" i="104" s="1"/>
  <c r="W31" i="104"/>
  <c r="S33" i="104"/>
  <c r="P85" i="104" l="1"/>
  <c r="P87" i="104" s="1"/>
  <c r="P61" i="104"/>
  <c r="X31" i="104"/>
  <c r="W33" i="104"/>
  <c r="R59" i="104"/>
  <c r="O85" i="104"/>
  <c r="O61" i="104"/>
  <c r="S59" i="104" l="1"/>
  <c r="R61" i="104"/>
  <c r="R85" i="104"/>
  <c r="R87" i="104" s="1"/>
  <c r="O87" i="104"/>
  <c r="AB31" i="104"/>
  <c r="AB33" i="104" s="1"/>
  <c r="X33" i="104"/>
  <c r="U59" i="104" l="1"/>
  <c r="T59" i="104"/>
  <c r="S61" i="104"/>
  <c r="S85" i="104"/>
  <c r="S87" i="104" s="1"/>
  <c r="W59" i="104" l="1"/>
  <c r="T85" i="104"/>
  <c r="T61" i="104"/>
  <c r="U85" i="104"/>
  <c r="U87" i="104" s="1"/>
  <c r="U61" i="104"/>
  <c r="X59" i="104" l="1"/>
  <c r="W61" i="104"/>
  <c r="W85" i="104"/>
  <c r="W87" i="104" s="1"/>
  <c r="T87" i="104"/>
  <c r="Z59" i="104" l="1"/>
  <c r="Y59" i="104"/>
  <c r="X61" i="104"/>
  <c r="X85" i="104"/>
  <c r="X87" i="104" s="1"/>
  <c r="Y85" i="104" l="1"/>
  <c r="Z85" i="104"/>
  <c r="Z87" i="104" s="1"/>
  <c r="AB85" i="104" l="1"/>
  <c r="AB87" i="104" s="1"/>
  <c r="Y87" i="104"/>
  <c r="W26" i="81" l="1"/>
  <c r="V26" i="81"/>
  <c r="U26" i="81"/>
  <c r="W16" i="81" l="1"/>
  <c r="T26" i="81"/>
  <c r="V16" i="81"/>
  <c r="U16" i="81"/>
  <c r="T16" i="81" l="1"/>
  <c r="S75" i="59" l="1"/>
  <c r="T75" i="59" l="1"/>
  <c r="S118" i="59"/>
  <c r="S74" i="59"/>
  <c r="S73" i="59"/>
  <c r="S116" i="59" l="1"/>
  <c r="U75" i="59"/>
  <c r="T74" i="59"/>
  <c r="T73" i="59"/>
  <c r="S117" i="59"/>
  <c r="E58" i="61" s="1"/>
  <c r="T118" i="59"/>
  <c r="S125" i="59" l="1"/>
  <c r="S155" i="59" s="1"/>
  <c r="E59" i="61"/>
  <c r="V75" i="59"/>
  <c r="U74" i="59"/>
  <c r="T117" i="59"/>
  <c r="T116" i="59"/>
  <c r="U118" i="59"/>
  <c r="U73" i="59"/>
  <c r="S11" i="58" l="1"/>
  <c r="S157" i="59"/>
  <c r="V74" i="59"/>
  <c r="F58" i="61"/>
  <c r="T125" i="59"/>
  <c r="T155" i="59" s="1"/>
  <c r="F59" i="61"/>
  <c r="V118" i="59"/>
  <c r="U116" i="59"/>
  <c r="U117" i="59"/>
  <c r="V73" i="59"/>
  <c r="W75" i="59"/>
  <c r="G59" i="61" l="1"/>
  <c r="V116" i="59"/>
  <c r="L11" i="80"/>
  <c r="D12" i="73"/>
  <c r="T157" i="59"/>
  <c r="T11" i="58"/>
  <c r="W73" i="59"/>
  <c r="G58" i="61"/>
  <c r="U125" i="59"/>
  <c r="U155" i="59" s="1"/>
  <c r="V117" i="59"/>
  <c r="W118" i="59"/>
  <c r="W74" i="59"/>
  <c r="W117" i="59" l="1"/>
  <c r="H59" i="61"/>
  <c r="H58" i="61"/>
  <c r="V125" i="59"/>
  <c r="V155" i="59" s="1"/>
  <c r="W116" i="59"/>
  <c r="M11" i="80"/>
  <c r="D23" i="73"/>
  <c r="D11" i="74"/>
  <c r="K12" i="73"/>
  <c r="U11" i="58"/>
  <c r="U157" i="59"/>
  <c r="I59" i="61" l="1"/>
  <c r="W125" i="59"/>
  <c r="W155" i="59" s="1"/>
  <c r="I58" i="61"/>
  <c r="K14" i="73"/>
  <c r="K11" i="74"/>
  <c r="K13" i="74" s="1"/>
  <c r="V11" i="58"/>
  <c r="V157" i="59"/>
  <c r="N11" i="80"/>
  <c r="D34" i="73"/>
  <c r="D22" i="74"/>
  <c r="K23" i="73"/>
  <c r="K22" i="74" l="1"/>
  <c r="K24" i="74" s="1"/>
  <c r="K25" i="73"/>
  <c r="W11" i="58"/>
  <c r="W157" i="59"/>
  <c r="D31" i="74"/>
  <c r="K34" i="73"/>
  <c r="O11" i="80"/>
  <c r="D44" i="73"/>
  <c r="D40" i="74" l="1"/>
  <c r="K44" i="73"/>
  <c r="D54" i="73"/>
  <c r="P11" i="80"/>
  <c r="K31" i="74"/>
  <c r="K33" i="74" s="1"/>
  <c r="K36" i="73"/>
  <c r="K46" i="73" l="1"/>
  <c r="K40" i="74"/>
  <c r="K42" i="74" s="1"/>
  <c r="D49" i="74"/>
  <c r="K54" i="73"/>
  <c r="K49" i="74" l="1"/>
  <c r="K51" i="74" s="1"/>
  <c r="K56" i="73"/>
  <c r="S26" i="81" l="1"/>
  <c r="S16" i="81" l="1"/>
  <c r="E30" i="61" l="1"/>
  <c r="G30" i="61"/>
  <c r="G34" i="61" s="1"/>
  <c r="I19" i="58" s="1"/>
  <c r="I23" i="58" s="1"/>
  <c r="I27" i="58" s="1"/>
  <c r="F9" i="80" s="1"/>
  <c r="I30" i="61"/>
  <c r="I34" i="61" s="1"/>
  <c r="M19" i="58" s="1"/>
  <c r="M23" i="58" s="1"/>
  <c r="M27" i="58" s="1"/>
  <c r="I9" i="80" s="1"/>
  <c r="E34" i="61"/>
  <c r="E19" i="58" s="1"/>
  <c r="E23" i="58" s="1"/>
  <c r="E27" i="58" s="1"/>
  <c r="C9" i="80" s="1"/>
  <c r="F302" i="118" l="1"/>
  <c r="G464" i="118"/>
  <c r="G694" i="118" s="1"/>
  <c r="G924" i="118" s="1"/>
  <c r="G1154" i="118" s="1"/>
  <c r="G1384" i="118" s="1"/>
  <c r="G1614" i="118" s="1"/>
  <c r="G1844" i="118" s="1"/>
  <c r="G411" i="118"/>
  <c r="G641" i="118" s="1"/>
  <c r="G871" i="118" s="1"/>
  <c r="G1101" i="118" s="1"/>
  <c r="G1331" i="118" s="1"/>
  <c r="G362" i="118"/>
  <c r="G592" i="118" s="1"/>
  <c r="G822" i="118" s="1"/>
  <c r="G1052" i="118" s="1"/>
  <c r="G309" i="118"/>
  <c r="G539" i="118" s="1"/>
  <c r="G769" i="118" s="1"/>
  <c r="G999" i="118" s="1"/>
  <c r="G1229" i="118" s="1"/>
  <c r="G1459" i="118" s="1"/>
  <c r="G1689" i="118" s="1"/>
  <c r="G255" i="118"/>
  <c r="G485" i="118" s="1"/>
  <c r="G715" i="118" s="1"/>
  <c r="G945" i="118" s="1"/>
  <c r="G1175" i="118" s="1"/>
  <c r="G1405" i="118" s="1"/>
  <c r="G1635" i="118" s="1"/>
  <c r="F329" i="118"/>
  <c r="F305" i="118"/>
  <c r="F285" i="118"/>
  <c r="F276" i="118"/>
  <c r="F265" i="118"/>
  <c r="F252" i="118"/>
  <c r="F243" i="118"/>
  <c r="G459" i="118"/>
  <c r="G689" i="118" s="1"/>
  <c r="G919" i="118" s="1"/>
  <c r="G1149" i="118" s="1"/>
  <c r="G1379" i="118" s="1"/>
  <c r="G1609" i="118" s="1"/>
  <c r="G1839" i="118" s="1"/>
  <c r="G451" i="118"/>
  <c r="G681" i="118" s="1"/>
  <c r="G911" i="118" s="1"/>
  <c r="G1141" i="118" s="1"/>
  <c r="G1371" i="118" s="1"/>
  <c r="G1601" i="118" s="1"/>
  <c r="G1831" i="118" s="1"/>
  <c r="G443" i="118"/>
  <c r="G673" i="118" s="1"/>
  <c r="G903" i="118" s="1"/>
  <c r="G1133" i="118" s="1"/>
  <c r="G1363" i="118" s="1"/>
  <c r="G1593" i="118" s="1"/>
  <c r="G1823" i="118" s="1"/>
  <c r="G435" i="118"/>
  <c r="G665" i="118" s="1"/>
  <c r="G895" i="118" s="1"/>
  <c r="G1125" i="118" s="1"/>
  <c r="G1355" i="118" s="1"/>
  <c r="G1585" i="118" s="1"/>
  <c r="G1815" i="118" s="1"/>
  <c r="G424" i="118"/>
  <c r="G654" i="118" s="1"/>
  <c r="G884" i="118" s="1"/>
  <c r="G1114" i="118" s="1"/>
  <c r="G1344" i="118" s="1"/>
  <c r="G1574" i="118" s="1"/>
  <c r="G414" i="118"/>
  <c r="G644" i="118" s="1"/>
  <c r="G874" i="118" s="1"/>
  <c r="G1104" i="118" s="1"/>
  <c r="G1334" i="118" s="1"/>
  <c r="G405" i="118"/>
  <c r="G635" i="118" s="1"/>
  <c r="G865" i="118" s="1"/>
  <c r="G1095" i="118" s="1"/>
  <c r="G1325" i="118" s="1"/>
  <c r="G396" i="118"/>
  <c r="G626" i="118" s="1"/>
  <c r="G856" i="118" s="1"/>
  <c r="G1086" i="118" s="1"/>
  <c r="G1316" i="118" s="1"/>
  <c r="G385" i="118"/>
  <c r="G615" i="118" s="1"/>
  <c r="G845" i="118" s="1"/>
  <c r="G1075" i="118" s="1"/>
  <c r="G1305" i="118" s="1"/>
  <c r="G375" i="118"/>
  <c r="G605" i="118" s="1"/>
  <c r="G835" i="118" s="1"/>
  <c r="G1065" i="118" s="1"/>
  <c r="G366" i="118"/>
  <c r="G596" i="118" s="1"/>
  <c r="G826" i="118" s="1"/>
  <c r="G1056" i="118" s="1"/>
  <c r="G356" i="118"/>
  <c r="G586" i="118" s="1"/>
  <c r="G816" i="118" s="1"/>
  <c r="G346" i="118"/>
  <c r="G576" i="118" s="1"/>
  <c r="G806" i="118" s="1"/>
  <c r="G336" i="118"/>
  <c r="G566" i="118" s="1"/>
  <c r="G796" i="118" s="1"/>
  <c r="G1026" i="118" s="1"/>
  <c r="G1256" i="118" s="1"/>
  <c r="G1486" i="118" s="1"/>
  <c r="G1716" i="118" s="1"/>
  <c r="G328" i="118"/>
  <c r="G558" i="118" s="1"/>
  <c r="G788" i="118" s="1"/>
  <c r="G1018" i="118" s="1"/>
  <c r="G1248" i="118" s="1"/>
  <c r="G1478" i="118" s="1"/>
  <c r="G1708" i="118" s="1"/>
  <c r="G320" i="118"/>
  <c r="G550" i="118" s="1"/>
  <c r="G780" i="118" s="1"/>
  <c r="G1010" i="118" s="1"/>
  <c r="G1240" i="118" s="1"/>
  <c r="G1470" i="118" s="1"/>
  <c r="G1700" i="118" s="1"/>
  <c r="G312" i="118"/>
  <c r="G542" i="118" s="1"/>
  <c r="G772" i="118" s="1"/>
  <c r="G1002" i="118" s="1"/>
  <c r="G1232" i="118" s="1"/>
  <c r="G1462" i="118" s="1"/>
  <c r="G1692" i="118" s="1"/>
  <c r="G304" i="118"/>
  <c r="G534" i="118" s="1"/>
  <c r="G294" i="118"/>
  <c r="G524" i="118" s="1"/>
  <c r="G754" i="118" s="1"/>
  <c r="G984" i="118" s="1"/>
  <c r="G1214" i="118" s="1"/>
  <c r="G1444" i="118" s="1"/>
  <c r="G1674" i="118" s="1"/>
  <c r="G275" i="118"/>
  <c r="G505" i="118" s="1"/>
  <c r="G735" i="118" s="1"/>
  <c r="G965" i="118" s="1"/>
  <c r="G1195" i="118" s="1"/>
  <c r="G1425" i="118" s="1"/>
  <c r="G1655" i="118" s="1"/>
  <c r="G260" i="118"/>
  <c r="G490" i="118" s="1"/>
  <c r="G720" i="118" s="1"/>
  <c r="G950" i="118" s="1"/>
  <c r="G1180" i="118" s="1"/>
  <c r="G1410" i="118" s="1"/>
  <c r="G1640" i="118" s="1"/>
  <c r="G250" i="118"/>
  <c r="G480" i="118" s="1"/>
  <c r="G710" i="118" s="1"/>
  <c r="G940" i="118" s="1"/>
  <c r="G1170" i="118" s="1"/>
  <c r="G1400" i="118" s="1"/>
  <c r="G1630" i="118" s="1"/>
  <c r="F240" i="118"/>
  <c r="F320" i="118"/>
  <c r="H74" i="118"/>
  <c r="N74" i="118" s="1"/>
  <c r="F304" i="118"/>
  <c r="F284" i="118"/>
  <c r="F264" i="118"/>
  <c r="G458" i="118"/>
  <c r="G688" i="118" s="1"/>
  <c r="G918" i="118" s="1"/>
  <c r="G1148" i="118" s="1"/>
  <c r="G1378" i="118" s="1"/>
  <c r="G1608" i="118" s="1"/>
  <c r="G1838" i="118" s="1"/>
  <c r="G450" i="118"/>
  <c r="G680" i="118" s="1"/>
  <c r="G910" i="118" s="1"/>
  <c r="G1140" i="118" s="1"/>
  <c r="G1370" i="118" s="1"/>
  <c r="G1600" i="118" s="1"/>
  <c r="G1830" i="118" s="1"/>
  <c r="G442" i="118"/>
  <c r="G672" i="118" s="1"/>
  <c r="G902" i="118" s="1"/>
  <c r="G1132" i="118" s="1"/>
  <c r="G1362" i="118" s="1"/>
  <c r="G1592" i="118" s="1"/>
  <c r="G1822" i="118" s="1"/>
  <c r="G434" i="118"/>
  <c r="G664" i="118" s="1"/>
  <c r="G894" i="118" s="1"/>
  <c r="G1124" i="118" s="1"/>
  <c r="G1354" i="118" s="1"/>
  <c r="G1584" i="118" s="1"/>
  <c r="G1814" i="118" s="1"/>
  <c r="G422" i="118"/>
  <c r="G652" i="118" s="1"/>
  <c r="G882" i="118" s="1"/>
  <c r="G1112" i="118" s="1"/>
  <c r="G1342" i="118" s="1"/>
  <c r="G1572" i="118" s="1"/>
  <c r="G413" i="118"/>
  <c r="G643" i="118" s="1"/>
  <c r="G873" i="118" s="1"/>
  <c r="G1103" i="118" s="1"/>
  <c r="G1333" i="118" s="1"/>
  <c r="G404" i="118"/>
  <c r="G634" i="118" s="1"/>
  <c r="G864" i="118" s="1"/>
  <c r="G1094" i="118" s="1"/>
  <c r="G1324" i="118" s="1"/>
  <c r="G394" i="118"/>
  <c r="G624" i="118" s="1"/>
  <c r="G854" i="118" s="1"/>
  <c r="G1084" i="118" s="1"/>
  <c r="G1314" i="118" s="1"/>
  <c r="G384" i="118"/>
  <c r="G614" i="118" s="1"/>
  <c r="G844" i="118" s="1"/>
  <c r="G1074" i="118" s="1"/>
  <c r="G1304" i="118" s="1"/>
  <c r="G374" i="118"/>
  <c r="G604" i="118" s="1"/>
  <c r="G834" i="118" s="1"/>
  <c r="G1064" i="118" s="1"/>
  <c r="G365" i="118"/>
  <c r="G595" i="118" s="1"/>
  <c r="G825" i="118" s="1"/>
  <c r="G1055" i="118" s="1"/>
  <c r="G355" i="118"/>
  <c r="G585" i="118" s="1"/>
  <c r="G815" i="118" s="1"/>
  <c r="G345" i="118"/>
  <c r="G575" i="118" s="1"/>
  <c r="G805" i="118" s="1"/>
  <c r="G335" i="118"/>
  <c r="G565" i="118" s="1"/>
  <c r="G795" i="118" s="1"/>
  <c r="G1025" i="118" s="1"/>
  <c r="G1255" i="118" s="1"/>
  <c r="G1485" i="118" s="1"/>
  <c r="G1715" i="118" s="1"/>
  <c r="G327" i="118"/>
  <c r="G557" i="118" s="1"/>
  <c r="G787" i="118" s="1"/>
  <c r="G1017" i="118" s="1"/>
  <c r="G1247" i="118" s="1"/>
  <c r="G1477" i="118" s="1"/>
  <c r="G1707" i="118" s="1"/>
  <c r="G319" i="118"/>
  <c r="G549" i="118" s="1"/>
  <c r="G779" i="118" s="1"/>
  <c r="G1009" i="118" s="1"/>
  <c r="G1239" i="118" s="1"/>
  <c r="G1469" i="118" s="1"/>
  <c r="G1699" i="118" s="1"/>
  <c r="G311" i="118"/>
  <c r="G541" i="118" s="1"/>
  <c r="G771" i="118" s="1"/>
  <c r="G1001" i="118" s="1"/>
  <c r="G1231" i="118" s="1"/>
  <c r="G1461" i="118" s="1"/>
  <c r="G1691" i="118" s="1"/>
  <c r="G303" i="118"/>
  <c r="G533" i="118" s="1"/>
  <c r="G763" i="118" s="1"/>
  <c r="G283" i="118"/>
  <c r="G513" i="118" s="1"/>
  <c r="G274" i="118"/>
  <c r="G504" i="118" s="1"/>
  <c r="G734" i="118" s="1"/>
  <c r="G259" i="118"/>
  <c r="G489" i="118" s="1"/>
  <c r="G719" i="118" s="1"/>
  <c r="G949" i="118" s="1"/>
  <c r="G1179" i="118" s="1"/>
  <c r="G1409" i="118" s="1"/>
  <c r="G1639" i="118" s="1"/>
  <c r="G249" i="118"/>
  <c r="G479" i="118" s="1"/>
  <c r="G709" i="118" s="1"/>
  <c r="G939" i="118" s="1"/>
  <c r="G1169" i="118" s="1"/>
  <c r="G1399" i="118" s="1"/>
  <c r="G1629" i="118" s="1"/>
  <c r="F259" i="118"/>
  <c r="H29" i="118"/>
  <c r="N29" i="118" s="1"/>
  <c r="G432" i="118"/>
  <c r="G662" i="118" s="1"/>
  <c r="G892" i="118" s="1"/>
  <c r="G1122" i="118" s="1"/>
  <c r="G1352" i="118" s="1"/>
  <c r="G1582" i="118" s="1"/>
  <c r="G1812" i="118" s="1"/>
  <c r="G382" i="118"/>
  <c r="G612" i="118" s="1"/>
  <c r="G842" i="118" s="1"/>
  <c r="G1072" i="118" s="1"/>
  <c r="G1302" i="118" s="1"/>
  <c r="G325" i="118"/>
  <c r="G555" i="118" s="1"/>
  <c r="G785" i="118" s="1"/>
  <c r="G1015" i="118" s="1"/>
  <c r="G1245" i="118" s="1"/>
  <c r="G1475" i="118" s="1"/>
  <c r="G1705" i="118" s="1"/>
  <c r="G290" i="118"/>
  <c r="G520" i="118" s="1"/>
  <c r="G750" i="118" s="1"/>
  <c r="G980" i="118" s="1"/>
  <c r="G1210" i="118" s="1"/>
  <c r="G1440" i="118" s="1"/>
  <c r="G1670" i="118" s="1"/>
  <c r="F311" i="118"/>
  <c r="H81" i="118"/>
  <c r="N81" i="118" s="1"/>
  <c r="F293" i="118"/>
  <c r="H63" i="118"/>
  <c r="N63" i="118" s="1"/>
  <c r="F283" i="118"/>
  <c r="H53" i="118"/>
  <c r="N53" i="118" s="1"/>
  <c r="H44" i="118"/>
  <c r="N44" i="118" s="1"/>
  <c r="F274" i="118"/>
  <c r="H20" i="118"/>
  <c r="N20" i="118" s="1"/>
  <c r="F250" i="118"/>
  <c r="G457" i="118"/>
  <c r="G687" i="118" s="1"/>
  <c r="G917" i="118" s="1"/>
  <c r="G1147" i="118" s="1"/>
  <c r="G1377" i="118" s="1"/>
  <c r="G1607" i="118" s="1"/>
  <c r="G1837" i="118" s="1"/>
  <c r="G449" i="118"/>
  <c r="G679" i="118" s="1"/>
  <c r="G909" i="118" s="1"/>
  <c r="G1139" i="118" s="1"/>
  <c r="G1369" i="118" s="1"/>
  <c r="G1599" i="118" s="1"/>
  <c r="G1829" i="118" s="1"/>
  <c r="G441" i="118"/>
  <c r="G671" i="118" s="1"/>
  <c r="G901" i="118" s="1"/>
  <c r="G1131" i="118" s="1"/>
  <c r="G1361" i="118" s="1"/>
  <c r="G1591" i="118" s="1"/>
  <c r="G1821" i="118" s="1"/>
  <c r="G433" i="118"/>
  <c r="G663" i="118" s="1"/>
  <c r="G893" i="118" s="1"/>
  <c r="G1123" i="118" s="1"/>
  <c r="G1353" i="118" s="1"/>
  <c r="G1583" i="118" s="1"/>
  <c r="G1813" i="118" s="1"/>
  <c r="G420" i="118"/>
  <c r="G650" i="118" s="1"/>
  <c r="G880" i="118" s="1"/>
  <c r="G1110" i="118" s="1"/>
  <c r="G1340" i="118" s="1"/>
  <c r="G1570" i="118" s="1"/>
  <c r="G1800" i="118" s="1"/>
  <c r="G412" i="118"/>
  <c r="G642" i="118" s="1"/>
  <c r="G872" i="118" s="1"/>
  <c r="G1102" i="118" s="1"/>
  <c r="G1332" i="118" s="1"/>
  <c r="G403" i="118"/>
  <c r="G633" i="118" s="1"/>
  <c r="G863" i="118" s="1"/>
  <c r="G1093" i="118" s="1"/>
  <c r="G1323" i="118" s="1"/>
  <c r="G393" i="118"/>
  <c r="G623" i="118" s="1"/>
  <c r="G853" i="118" s="1"/>
  <c r="G1083" i="118" s="1"/>
  <c r="G1313" i="118" s="1"/>
  <c r="G383" i="118"/>
  <c r="G613" i="118" s="1"/>
  <c r="G843" i="118" s="1"/>
  <c r="G1073" i="118" s="1"/>
  <c r="G1303" i="118" s="1"/>
  <c r="G373" i="118"/>
  <c r="G603" i="118" s="1"/>
  <c r="G833" i="118" s="1"/>
  <c r="G1063" i="118" s="1"/>
  <c r="G364" i="118"/>
  <c r="G594" i="118" s="1"/>
  <c r="G824" i="118" s="1"/>
  <c r="G1054" i="118" s="1"/>
  <c r="G353" i="118"/>
  <c r="G583" i="118" s="1"/>
  <c r="G813" i="118" s="1"/>
  <c r="G344" i="118"/>
  <c r="G574" i="118" s="1"/>
  <c r="G804" i="118" s="1"/>
  <c r="G334" i="118"/>
  <c r="G564" i="118" s="1"/>
  <c r="G794" i="118" s="1"/>
  <c r="G1024" i="118" s="1"/>
  <c r="G1254" i="118" s="1"/>
  <c r="G1484" i="118" s="1"/>
  <c r="G1714" i="118" s="1"/>
  <c r="G326" i="118"/>
  <c r="G556" i="118" s="1"/>
  <c r="G786" i="118" s="1"/>
  <c r="G1016" i="118" s="1"/>
  <c r="G1246" i="118" s="1"/>
  <c r="G1476" i="118" s="1"/>
  <c r="G1706" i="118" s="1"/>
  <c r="G318" i="118"/>
  <c r="G548" i="118" s="1"/>
  <c r="G778" i="118" s="1"/>
  <c r="G1008" i="118" s="1"/>
  <c r="G1238" i="118" s="1"/>
  <c r="G1468" i="118" s="1"/>
  <c r="G1698" i="118" s="1"/>
  <c r="G310" i="118"/>
  <c r="G540" i="118" s="1"/>
  <c r="G770" i="118" s="1"/>
  <c r="G1000" i="118" s="1"/>
  <c r="G1230" i="118" s="1"/>
  <c r="G1460" i="118" s="1"/>
  <c r="G1690" i="118" s="1"/>
  <c r="G302" i="118"/>
  <c r="G532" i="118" s="1"/>
  <c r="G762" i="118" s="1"/>
  <c r="G992" i="118" s="1"/>
  <c r="G1222" i="118" s="1"/>
  <c r="G1452" i="118" s="1"/>
  <c r="G1682" i="118" s="1"/>
  <c r="G291" i="118"/>
  <c r="G521" i="118" s="1"/>
  <c r="G751" i="118" s="1"/>
  <c r="G981" i="118" s="1"/>
  <c r="G1211" i="118" s="1"/>
  <c r="G1441" i="118" s="1"/>
  <c r="G1671" i="118" s="1"/>
  <c r="G282" i="118"/>
  <c r="G273" i="118"/>
  <c r="G503" i="118" s="1"/>
  <c r="G733" i="118" s="1"/>
  <c r="G963" i="118" s="1"/>
  <c r="G1193" i="118" s="1"/>
  <c r="G1423" i="118" s="1"/>
  <c r="G1653" i="118" s="1"/>
  <c r="G258" i="118"/>
  <c r="G488" i="118" s="1"/>
  <c r="G718" i="118" s="1"/>
  <c r="G948" i="118" s="1"/>
  <c r="G1178" i="118" s="1"/>
  <c r="G1408" i="118" s="1"/>
  <c r="G1638" i="118" s="1"/>
  <c r="G248" i="118"/>
  <c r="G478" i="118" s="1"/>
  <c r="G708" i="118" s="1"/>
  <c r="G938" i="118" s="1"/>
  <c r="G1168" i="118" s="1"/>
  <c r="G1398" i="118" s="1"/>
  <c r="G1628" i="118" s="1"/>
  <c r="F326" i="118"/>
  <c r="H96" i="118"/>
  <c r="N96" i="118" s="1"/>
  <c r="F273" i="118"/>
  <c r="H43" i="118"/>
  <c r="N43" i="118" s="1"/>
  <c r="G448" i="118"/>
  <c r="G678" i="118" s="1"/>
  <c r="G908" i="118" s="1"/>
  <c r="G1138" i="118" s="1"/>
  <c r="G1368" i="118" s="1"/>
  <c r="G1598" i="118" s="1"/>
  <c r="G1828" i="118" s="1"/>
  <c r="G401" i="118"/>
  <c r="G631" i="118" s="1"/>
  <c r="G861" i="118" s="1"/>
  <c r="G1091" i="118" s="1"/>
  <c r="G1321" i="118" s="1"/>
  <c r="G1551" i="118" s="1"/>
  <c r="G1781" i="118" s="1"/>
  <c r="G352" i="118"/>
  <c r="G582" i="118" s="1"/>
  <c r="G812" i="118" s="1"/>
  <c r="G317" i="118"/>
  <c r="G547" i="118" s="1"/>
  <c r="G777" i="118" s="1"/>
  <c r="G1007" i="118" s="1"/>
  <c r="G1237" i="118" s="1"/>
  <c r="G1467" i="118" s="1"/>
  <c r="G1697" i="118" s="1"/>
  <c r="G270" i="118"/>
  <c r="G500" i="118" s="1"/>
  <c r="G730" i="118" s="1"/>
  <c r="G960" i="118" s="1"/>
  <c r="G1190" i="118" s="1"/>
  <c r="G1420" i="118" s="1"/>
  <c r="G1650" i="118" s="1"/>
  <c r="F317" i="118"/>
  <c r="H87" i="118"/>
  <c r="N87" i="118" s="1"/>
  <c r="H60" i="118"/>
  <c r="N60" i="118" s="1"/>
  <c r="F290" i="118"/>
  <c r="F281" i="118"/>
  <c r="F270" i="118"/>
  <c r="F258" i="118"/>
  <c r="G463" i="118"/>
  <c r="G693" i="118" s="1"/>
  <c r="G923" i="118" s="1"/>
  <c r="G1153" i="118" s="1"/>
  <c r="G1383" i="118" s="1"/>
  <c r="G1613" i="118" s="1"/>
  <c r="G1843" i="118" s="1"/>
  <c r="G455" i="118"/>
  <c r="G685" i="118" s="1"/>
  <c r="G915" i="118" s="1"/>
  <c r="G1145" i="118" s="1"/>
  <c r="G1375" i="118" s="1"/>
  <c r="G1605" i="118" s="1"/>
  <c r="G1835" i="118" s="1"/>
  <c r="G447" i="118"/>
  <c r="G677" i="118" s="1"/>
  <c r="G907" i="118" s="1"/>
  <c r="G1137" i="118" s="1"/>
  <c r="G1367" i="118" s="1"/>
  <c r="G1597" i="118" s="1"/>
  <c r="G1827" i="118" s="1"/>
  <c r="G439" i="118"/>
  <c r="G669" i="118" s="1"/>
  <c r="G899" i="118" s="1"/>
  <c r="G1129" i="118" s="1"/>
  <c r="G1359" i="118" s="1"/>
  <c r="G1589" i="118" s="1"/>
  <c r="G1819" i="118" s="1"/>
  <c r="G431" i="118"/>
  <c r="G661" i="118" s="1"/>
  <c r="G891" i="118" s="1"/>
  <c r="G1121" i="118" s="1"/>
  <c r="G1351" i="118" s="1"/>
  <c r="G1581" i="118" s="1"/>
  <c r="G1811" i="118" s="1"/>
  <c r="G418" i="118"/>
  <c r="G648" i="118" s="1"/>
  <c r="G878" i="118" s="1"/>
  <c r="G1108" i="118" s="1"/>
  <c r="G1338" i="118" s="1"/>
  <c r="G1568" i="118" s="1"/>
  <c r="G1798" i="118" s="1"/>
  <c r="G410" i="118"/>
  <c r="G640" i="118" s="1"/>
  <c r="G870" i="118" s="1"/>
  <c r="G1100" i="118" s="1"/>
  <c r="G1330" i="118" s="1"/>
  <c r="G400" i="118"/>
  <c r="G630" i="118" s="1"/>
  <c r="G860" i="118" s="1"/>
  <c r="G1090" i="118" s="1"/>
  <c r="G1320" i="118" s="1"/>
  <c r="G390" i="118"/>
  <c r="G620" i="118" s="1"/>
  <c r="G850" i="118" s="1"/>
  <c r="G1080" i="118" s="1"/>
  <c r="G1310" i="118" s="1"/>
  <c r="G381" i="118"/>
  <c r="G611" i="118" s="1"/>
  <c r="G841" i="118" s="1"/>
  <c r="G1071" i="118" s="1"/>
  <c r="G1301" i="118" s="1"/>
  <c r="G371" i="118"/>
  <c r="G601" i="118" s="1"/>
  <c r="G831" i="118" s="1"/>
  <c r="G1061" i="118" s="1"/>
  <c r="G360" i="118"/>
  <c r="G590" i="118" s="1"/>
  <c r="G820" i="118" s="1"/>
  <c r="G1050" i="118" s="1"/>
  <c r="G1280" i="118" s="1"/>
  <c r="G1510" i="118" s="1"/>
  <c r="G1740" i="118" s="1"/>
  <c r="G351" i="118"/>
  <c r="G581" i="118" s="1"/>
  <c r="G811" i="118" s="1"/>
  <c r="G341" i="118"/>
  <c r="G571" i="118" s="1"/>
  <c r="G801" i="118" s="1"/>
  <c r="G332" i="118"/>
  <c r="G562" i="118" s="1"/>
  <c r="G792" i="118" s="1"/>
  <c r="G1022" i="118" s="1"/>
  <c r="G1252" i="118" s="1"/>
  <c r="G1482" i="118" s="1"/>
  <c r="G1712" i="118" s="1"/>
  <c r="G324" i="118"/>
  <c r="G554" i="118" s="1"/>
  <c r="G784" i="118" s="1"/>
  <c r="G1014" i="118" s="1"/>
  <c r="G1244" i="118" s="1"/>
  <c r="G1474" i="118" s="1"/>
  <c r="G1704" i="118" s="1"/>
  <c r="G316" i="118"/>
  <c r="G546" i="118" s="1"/>
  <c r="G776" i="118" s="1"/>
  <c r="G1006" i="118" s="1"/>
  <c r="G1236" i="118" s="1"/>
  <c r="G1466" i="118" s="1"/>
  <c r="G1696" i="118" s="1"/>
  <c r="G308" i="118"/>
  <c r="G538" i="118" s="1"/>
  <c r="G768" i="118" s="1"/>
  <c r="G998" i="118" s="1"/>
  <c r="G1228" i="118" s="1"/>
  <c r="G1458" i="118" s="1"/>
  <c r="G1688" i="118" s="1"/>
  <c r="G300" i="118"/>
  <c r="G289" i="118"/>
  <c r="G519" i="118" s="1"/>
  <c r="G749" i="118" s="1"/>
  <c r="G979" i="118" s="1"/>
  <c r="G1209" i="118" s="1"/>
  <c r="G1439" i="118" s="1"/>
  <c r="G1669" i="118" s="1"/>
  <c r="G280" i="118"/>
  <c r="G510" i="118" s="1"/>
  <c r="G740" i="118" s="1"/>
  <c r="G970" i="118" s="1"/>
  <c r="G1200" i="118" s="1"/>
  <c r="G1430" i="118" s="1"/>
  <c r="G1660" i="118" s="1"/>
  <c r="G269" i="118"/>
  <c r="G254" i="118"/>
  <c r="G484" i="118" s="1"/>
  <c r="G714" i="118" s="1"/>
  <c r="G944" i="118" s="1"/>
  <c r="G1174" i="118" s="1"/>
  <c r="G1404" i="118" s="1"/>
  <c r="G1634" i="118" s="1"/>
  <c r="G246" i="118"/>
  <c r="G476" i="118" s="1"/>
  <c r="G706" i="118" s="1"/>
  <c r="G936" i="118" s="1"/>
  <c r="G1166" i="118" s="1"/>
  <c r="G1396" i="118" s="1"/>
  <c r="G1626" i="118" s="1"/>
  <c r="H52" i="118"/>
  <c r="N52" i="118" s="1"/>
  <c r="F282" i="118"/>
  <c r="G419" i="118"/>
  <c r="G649" i="118" s="1"/>
  <c r="G879" i="118" s="1"/>
  <c r="G1109" i="118" s="1"/>
  <c r="G1339" i="118" s="1"/>
  <c r="G1569" i="118" s="1"/>
  <c r="G1799" i="118" s="1"/>
  <c r="G333" i="118"/>
  <c r="G563" i="118" s="1"/>
  <c r="G793" i="118" s="1"/>
  <c r="G1023" i="118" s="1"/>
  <c r="G1253" i="118" s="1"/>
  <c r="G1483" i="118" s="1"/>
  <c r="G1713" i="118" s="1"/>
  <c r="G247" i="118"/>
  <c r="G477" i="118" s="1"/>
  <c r="G707" i="118" s="1"/>
  <c r="G937" i="118" s="1"/>
  <c r="G1167" i="118" s="1"/>
  <c r="G1397" i="118" s="1"/>
  <c r="G1627" i="118" s="1"/>
  <c r="F332" i="118"/>
  <c r="H102" i="118"/>
  <c r="N102" i="118" s="1"/>
  <c r="F308" i="118"/>
  <c r="F289" i="118"/>
  <c r="H59" i="118"/>
  <c r="N59" i="118" s="1"/>
  <c r="F280" i="118"/>
  <c r="H50" i="118"/>
  <c r="N50" i="118" s="1"/>
  <c r="F269" i="118"/>
  <c r="H39" i="118"/>
  <c r="N39" i="118" s="1"/>
  <c r="F255" i="118"/>
  <c r="H25" i="118"/>
  <c r="N25" i="118" s="1"/>
  <c r="F247" i="118"/>
  <c r="H17" i="118"/>
  <c r="N17" i="118" s="1"/>
  <c r="G462" i="118"/>
  <c r="G692" i="118" s="1"/>
  <c r="G922" i="118" s="1"/>
  <c r="G1152" i="118" s="1"/>
  <c r="G1382" i="118" s="1"/>
  <c r="G1612" i="118" s="1"/>
  <c r="G1842" i="118" s="1"/>
  <c r="G454" i="118"/>
  <c r="G684" i="118" s="1"/>
  <c r="G914" i="118" s="1"/>
  <c r="G1144" i="118" s="1"/>
  <c r="G1374" i="118" s="1"/>
  <c r="G1604" i="118" s="1"/>
  <c r="G1834" i="118" s="1"/>
  <c r="G446" i="118"/>
  <c r="G676" i="118" s="1"/>
  <c r="G906" i="118" s="1"/>
  <c r="G1136" i="118" s="1"/>
  <c r="G1366" i="118" s="1"/>
  <c r="G1596" i="118" s="1"/>
  <c r="G1826" i="118" s="1"/>
  <c r="G438" i="118"/>
  <c r="G668" i="118" s="1"/>
  <c r="G898" i="118" s="1"/>
  <c r="G1128" i="118" s="1"/>
  <c r="G1358" i="118" s="1"/>
  <c r="G1588" i="118" s="1"/>
  <c r="G1818" i="118" s="1"/>
  <c r="G429" i="118"/>
  <c r="G659" i="118" s="1"/>
  <c r="G889" i="118" s="1"/>
  <c r="G1119" i="118" s="1"/>
  <c r="G1349" i="118" s="1"/>
  <c r="G1579" i="118" s="1"/>
  <c r="G1809" i="118" s="1"/>
  <c r="G417" i="118"/>
  <c r="G647" i="118" s="1"/>
  <c r="G877" i="118" s="1"/>
  <c r="G1107" i="118" s="1"/>
  <c r="G1337" i="118" s="1"/>
  <c r="G1567" i="118" s="1"/>
  <c r="G1797" i="118" s="1"/>
  <c r="G409" i="118"/>
  <c r="G639" i="118" s="1"/>
  <c r="G869" i="118" s="1"/>
  <c r="G1099" i="118" s="1"/>
  <c r="G1329" i="118" s="1"/>
  <c r="G399" i="118"/>
  <c r="G629" i="118" s="1"/>
  <c r="G859" i="118" s="1"/>
  <c r="G1089" i="118" s="1"/>
  <c r="G1319" i="118" s="1"/>
  <c r="G389" i="118"/>
  <c r="G619" i="118" s="1"/>
  <c r="G849" i="118" s="1"/>
  <c r="G1079" i="118" s="1"/>
  <c r="G1309" i="118" s="1"/>
  <c r="G380" i="118"/>
  <c r="G610" i="118" s="1"/>
  <c r="G840" i="118" s="1"/>
  <c r="G1070" i="118" s="1"/>
  <c r="G1300" i="118" s="1"/>
  <c r="G370" i="118"/>
  <c r="G600" i="118" s="1"/>
  <c r="G830" i="118" s="1"/>
  <c r="G1060" i="118" s="1"/>
  <c r="G359" i="118"/>
  <c r="G589" i="118" s="1"/>
  <c r="G819" i="118" s="1"/>
  <c r="G350" i="118"/>
  <c r="G580" i="118" s="1"/>
  <c r="G810" i="118" s="1"/>
  <c r="G340" i="118"/>
  <c r="G570" i="118" s="1"/>
  <c r="G800" i="118" s="1"/>
  <c r="G331" i="118"/>
  <c r="G561" i="118" s="1"/>
  <c r="G791" i="118" s="1"/>
  <c r="G1021" i="118" s="1"/>
  <c r="G1251" i="118" s="1"/>
  <c r="G1481" i="118" s="1"/>
  <c r="G1711" i="118" s="1"/>
  <c r="G323" i="118"/>
  <c r="G553" i="118" s="1"/>
  <c r="G783" i="118" s="1"/>
  <c r="G1013" i="118" s="1"/>
  <c r="G1243" i="118" s="1"/>
  <c r="G1473" i="118" s="1"/>
  <c r="G1703" i="118" s="1"/>
  <c r="G315" i="118"/>
  <c r="G545" i="118" s="1"/>
  <c r="G775" i="118" s="1"/>
  <c r="G1005" i="118" s="1"/>
  <c r="G1235" i="118" s="1"/>
  <c r="G1465" i="118" s="1"/>
  <c r="G1695" i="118" s="1"/>
  <c r="G307" i="118"/>
  <c r="G537" i="118" s="1"/>
  <c r="G767" i="118" s="1"/>
  <c r="G299" i="118"/>
  <c r="G529" i="118" s="1"/>
  <c r="G287" i="118"/>
  <c r="G517" i="118" s="1"/>
  <c r="G747" i="118" s="1"/>
  <c r="G977" i="118" s="1"/>
  <c r="G1207" i="118" s="1"/>
  <c r="G1437" i="118" s="1"/>
  <c r="G1667" i="118" s="1"/>
  <c r="G279" i="118"/>
  <c r="G509" i="118" s="1"/>
  <c r="G739" i="118" s="1"/>
  <c r="G969" i="118" s="1"/>
  <c r="G1199" i="118" s="1"/>
  <c r="G1429" i="118" s="1"/>
  <c r="G1659" i="118" s="1"/>
  <c r="G253" i="118"/>
  <c r="G483" i="118" s="1"/>
  <c r="G713" i="118" s="1"/>
  <c r="G943" i="118" s="1"/>
  <c r="G1173" i="118" s="1"/>
  <c r="G1403" i="118" s="1"/>
  <c r="G1633" i="118" s="1"/>
  <c r="G245" i="118"/>
  <c r="G475" i="118" s="1"/>
  <c r="G705" i="118" s="1"/>
  <c r="G935" i="118" s="1"/>
  <c r="G1165" i="118" s="1"/>
  <c r="G1395" i="118" s="1"/>
  <c r="G1625" i="118" s="1"/>
  <c r="H80" i="118"/>
  <c r="N80" i="118" s="1"/>
  <c r="F310" i="118"/>
  <c r="F249" i="118"/>
  <c r="H19" i="118"/>
  <c r="N19" i="118" s="1"/>
  <c r="G440" i="118"/>
  <c r="G670" i="118" s="1"/>
  <c r="G900" i="118" s="1"/>
  <c r="G1130" i="118" s="1"/>
  <c r="G1360" i="118" s="1"/>
  <c r="G1590" i="118" s="1"/>
  <c r="G1820" i="118" s="1"/>
  <c r="G392" i="118"/>
  <c r="G622" i="118" s="1"/>
  <c r="G852" i="118" s="1"/>
  <c r="G1082" i="118" s="1"/>
  <c r="G1312" i="118" s="1"/>
  <c r="G343" i="118"/>
  <c r="G573" i="118" s="1"/>
  <c r="G803" i="118" s="1"/>
  <c r="F323" i="118"/>
  <c r="H93" i="118"/>
  <c r="N93" i="118" s="1"/>
  <c r="F299" i="118"/>
  <c r="H69" i="118"/>
  <c r="N69" i="118" s="1"/>
  <c r="F279" i="118"/>
  <c r="F268" i="118"/>
  <c r="F254" i="118"/>
  <c r="F246" i="118"/>
  <c r="G461" i="118"/>
  <c r="G691" i="118" s="1"/>
  <c r="G921" i="118" s="1"/>
  <c r="G1151" i="118" s="1"/>
  <c r="G1381" i="118" s="1"/>
  <c r="G1611" i="118" s="1"/>
  <c r="G1841" i="118" s="1"/>
  <c r="G453" i="118"/>
  <c r="G683" i="118" s="1"/>
  <c r="G913" i="118" s="1"/>
  <c r="G1143" i="118" s="1"/>
  <c r="G1373" i="118" s="1"/>
  <c r="G1603" i="118" s="1"/>
  <c r="G1833" i="118" s="1"/>
  <c r="G445" i="118"/>
  <c r="G675" i="118" s="1"/>
  <c r="G905" i="118" s="1"/>
  <c r="G1135" i="118" s="1"/>
  <c r="G1365" i="118" s="1"/>
  <c r="G1595" i="118" s="1"/>
  <c r="G1825" i="118" s="1"/>
  <c r="G437" i="118"/>
  <c r="G667" i="118" s="1"/>
  <c r="G897" i="118" s="1"/>
  <c r="G1127" i="118" s="1"/>
  <c r="G1357" i="118" s="1"/>
  <c r="G1587" i="118" s="1"/>
  <c r="G1817" i="118" s="1"/>
  <c r="G427" i="118"/>
  <c r="G657" i="118" s="1"/>
  <c r="G887" i="118" s="1"/>
  <c r="G1117" i="118" s="1"/>
  <c r="G1347" i="118" s="1"/>
  <c r="G1577" i="118" s="1"/>
  <c r="G1807" i="118" s="1"/>
  <c r="G416" i="118"/>
  <c r="G646" i="118" s="1"/>
  <c r="G876" i="118" s="1"/>
  <c r="G1106" i="118" s="1"/>
  <c r="G1336" i="118" s="1"/>
  <c r="G407" i="118"/>
  <c r="G637" i="118" s="1"/>
  <c r="G867" i="118" s="1"/>
  <c r="G1097" i="118" s="1"/>
  <c r="G1327" i="118" s="1"/>
  <c r="G398" i="118"/>
  <c r="G628" i="118" s="1"/>
  <c r="G858" i="118" s="1"/>
  <c r="G1088" i="118" s="1"/>
  <c r="G1318" i="118" s="1"/>
  <c r="G388" i="118"/>
  <c r="G618" i="118" s="1"/>
  <c r="G848" i="118" s="1"/>
  <c r="G1078" i="118" s="1"/>
  <c r="G1308" i="118" s="1"/>
  <c r="G378" i="118"/>
  <c r="G608" i="118" s="1"/>
  <c r="G838" i="118" s="1"/>
  <c r="G1068" i="118" s="1"/>
  <c r="G1298" i="118" s="1"/>
  <c r="G1528" i="118" s="1"/>
  <c r="G1758" i="118" s="1"/>
  <c r="G368" i="118"/>
  <c r="G598" i="118" s="1"/>
  <c r="G828" i="118" s="1"/>
  <c r="G1058" i="118" s="1"/>
  <c r="G358" i="118"/>
  <c r="G588" i="118" s="1"/>
  <c r="G818" i="118" s="1"/>
  <c r="G349" i="118"/>
  <c r="G579" i="118" s="1"/>
  <c r="G809" i="118" s="1"/>
  <c r="G339" i="118"/>
  <c r="G569" i="118" s="1"/>
  <c r="G799" i="118" s="1"/>
  <c r="G330" i="118"/>
  <c r="G560" i="118" s="1"/>
  <c r="G790" i="118" s="1"/>
  <c r="G1020" i="118" s="1"/>
  <c r="G1250" i="118" s="1"/>
  <c r="G1480" i="118" s="1"/>
  <c r="G1710" i="118" s="1"/>
  <c r="G322" i="118"/>
  <c r="G552" i="118" s="1"/>
  <c r="G782" i="118" s="1"/>
  <c r="G1012" i="118" s="1"/>
  <c r="G1242" i="118" s="1"/>
  <c r="G1472" i="118" s="1"/>
  <c r="G1702" i="118" s="1"/>
  <c r="G314" i="118"/>
  <c r="G544" i="118" s="1"/>
  <c r="G774" i="118" s="1"/>
  <c r="G1004" i="118" s="1"/>
  <c r="G1234" i="118" s="1"/>
  <c r="G1464" i="118" s="1"/>
  <c r="G1694" i="118" s="1"/>
  <c r="G306" i="118"/>
  <c r="G536" i="118" s="1"/>
  <c r="G297" i="118"/>
  <c r="G527" i="118" s="1"/>
  <c r="G757" i="118" s="1"/>
  <c r="G987" i="118" s="1"/>
  <c r="G1217" i="118" s="1"/>
  <c r="G1447" i="118" s="1"/>
  <c r="G1677" i="118" s="1"/>
  <c r="G286" i="118"/>
  <c r="G266" i="118"/>
  <c r="G496" i="118" s="1"/>
  <c r="G726" i="118" s="1"/>
  <c r="G956" i="118" s="1"/>
  <c r="G1186" i="118" s="1"/>
  <c r="G1416" i="118" s="1"/>
  <c r="G1646" i="118" s="1"/>
  <c r="G252" i="118"/>
  <c r="G482" i="118" s="1"/>
  <c r="G712" i="118" s="1"/>
  <c r="G942" i="118" s="1"/>
  <c r="G1172" i="118" s="1"/>
  <c r="G1402" i="118" s="1"/>
  <c r="G1632" i="118" s="1"/>
  <c r="G243" i="118"/>
  <c r="G473" i="118" s="1"/>
  <c r="G703" i="118" s="1"/>
  <c r="G933" i="118" s="1"/>
  <c r="G1163" i="118" s="1"/>
  <c r="G1393" i="118" s="1"/>
  <c r="G1623" i="118" s="1"/>
  <c r="F291" i="118"/>
  <c r="H61" i="118"/>
  <c r="N61" i="118" s="1"/>
  <c r="G456" i="118"/>
  <c r="G686" i="118" s="1"/>
  <c r="G916" i="118" s="1"/>
  <c r="G1146" i="118" s="1"/>
  <c r="G1376" i="118" s="1"/>
  <c r="G1606" i="118" s="1"/>
  <c r="G1836" i="118" s="1"/>
  <c r="G372" i="118"/>
  <c r="G602" i="118" s="1"/>
  <c r="G832" i="118" s="1"/>
  <c r="G1062" i="118" s="1"/>
  <c r="G301" i="118"/>
  <c r="G531" i="118" s="1"/>
  <c r="G761" i="118" s="1"/>
  <c r="G991" i="118" s="1"/>
  <c r="G1221" i="118" s="1"/>
  <c r="G1451" i="118" s="1"/>
  <c r="G1681" i="118" s="1"/>
  <c r="F314" i="118"/>
  <c r="F286" i="118"/>
  <c r="F277" i="118"/>
  <c r="H47" i="118"/>
  <c r="N47" i="118" s="1"/>
  <c r="F253" i="118"/>
  <c r="H23" i="118"/>
  <c r="N23" i="118" s="1"/>
  <c r="F245" i="118"/>
  <c r="H15" i="118"/>
  <c r="N15" i="118" s="1"/>
  <c r="G460" i="118"/>
  <c r="G690" i="118" s="1"/>
  <c r="G920" i="118" s="1"/>
  <c r="G1150" i="118" s="1"/>
  <c r="G1380" i="118" s="1"/>
  <c r="G1610" i="118" s="1"/>
  <c r="G1840" i="118" s="1"/>
  <c r="G452" i="118"/>
  <c r="G682" i="118" s="1"/>
  <c r="G912" i="118" s="1"/>
  <c r="G1142" i="118" s="1"/>
  <c r="G1372" i="118" s="1"/>
  <c r="G1602" i="118" s="1"/>
  <c r="G1832" i="118" s="1"/>
  <c r="G444" i="118"/>
  <c r="G674" i="118" s="1"/>
  <c r="G904" i="118" s="1"/>
  <c r="G1134" i="118" s="1"/>
  <c r="G1364" i="118" s="1"/>
  <c r="G1594" i="118" s="1"/>
  <c r="G1824" i="118" s="1"/>
  <c r="G436" i="118"/>
  <c r="G666" i="118" s="1"/>
  <c r="G896" i="118" s="1"/>
  <c r="G1126" i="118" s="1"/>
  <c r="G1356" i="118" s="1"/>
  <c r="G1586" i="118" s="1"/>
  <c r="G1816" i="118" s="1"/>
  <c r="G426" i="118"/>
  <c r="G656" i="118" s="1"/>
  <c r="G886" i="118" s="1"/>
  <c r="G1116" i="118" s="1"/>
  <c r="G1346" i="118" s="1"/>
  <c r="G1576" i="118" s="1"/>
  <c r="G415" i="118"/>
  <c r="G645" i="118" s="1"/>
  <c r="G875" i="118" s="1"/>
  <c r="G1105" i="118" s="1"/>
  <c r="G1335" i="118" s="1"/>
  <c r="G406" i="118"/>
  <c r="G636" i="118" s="1"/>
  <c r="G866" i="118" s="1"/>
  <c r="G1096" i="118" s="1"/>
  <c r="G1326" i="118" s="1"/>
  <c r="G397" i="118"/>
  <c r="G627" i="118" s="1"/>
  <c r="G857" i="118" s="1"/>
  <c r="G1087" i="118" s="1"/>
  <c r="G1317" i="118" s="1"/>
  <c r="G386" i="118"/>
  <c r="G616" i="118" s="1"/>
  <c r="G846" i="118" s="1"/>
  <c r="G1076" i="118" s="1"/>
  <c r="G1306" i="118" s="1"/>
  <c r="G377" i="118"/>
  <c r="G607" i="118" s="1"/>
  <c r="G837" i="118" s="1"/>
  <c r="G1067" i="118" s="1"/>
  <c r="G367" i="118"/>
  <c r="G597" i="118" s="1"/>
  <c r="G827" i="118" s="1"/>
  <c r="G1057" i="118" s="1"/>
  <c r="G357" i="118"/>
  <c r="G587" i="118" s="1"/>
  <c r="G817" i="118" s="1"/>
  <c r="G348" i="118"/>
  <c r="G578" i="118" s="1"/>
  <c r="G808" i="118" s="1"/>
  <c r="G337" i="118"/>
  <c r="G567" i="118" s="1"/>
  <c r="G797" i="118" s="1"/>
  <c r="G1027" i="118" s="1"/>
  <c r="G1257" i="118" s="1"/>
  <c r="G1487" i="118" s="1"/>
  <c r="G1717" i="118" s="1"/>
  <c r="G329" i="118"/>
  <c r="G559" i="118" s="1"/>
  <c r="G789" i="118" s="1"/>
  <c r="G1019" i="118" s="1"/>
  <c r="G1249" i="118" s="1"/>
  <c r="G1479" i="118" s="1"/>
  <c r="G1709" i="118" s="1"/>
  <c r="G321" i="118"/>
  <c r="G551" i="118" s="1"/>
  <c r="G781" i="118" s="1"/>
  <c r="G1011" i="118" s="1"/>
  <c r="G1241" i="118" s="1"/>
  <c r="G1471" i="118" s="1"/>
  <c r="G1701" i="118" s="1"/>
  <c r="G313" i="118"/>
  <c r="G543" i="118" s="1"/>
  <c r="G773" i="118" s="1"/>
  <c r="G1003" i="118" s="1"/>
  <c r="G1233" i="118" s="1"/>
  <c r="G1463" i="118" s="1"/>
  <c r="G1693" i="118" s="1"/>
  <c r="G305" i="118"/>
  <c r="G535" i="118" s="1"/>
  <c r="G295" i="118"/>
  <c r="G525" i="118" s="1"/>
  <c r="G755" i="118" s="1"/>
  <c r="G985" i="118" s="1"/>
  <c r="G1215" i="118" s="1"/>
  <c r="G1445" i="118" s="1"/>
  <c r="G1675" i="118" s="1"/>
  <c r="G285" i="118"/>
  <c r="G515" i="118" s="1"/>
  <c r="G745" i="118" s="1"/>
  <c r="G975" i="118" s="1"/>
  <c r="G1205" i="118" s="1"/>
  <c r="G1435" i="118" s="1"/>
  <c r="G1665" i="118" s="1"/>
  <c r="G276" i="118"/>
  <c r="G506" i="118" s="1"/>
  <c r="G736" i="118" s="1"/>
  <c r="G966" i="118" s="1"/>
  <c r="G1196" i="118" s="1"/>
  <c r="G1426" i="118" s="1"/>
  <c r="G1656" i="118" s="1"/>
  <c r="G265" i="118"/>
  <c r="G495" i="118" s="1"/>
  <c r="G725" i="118" s="1"/>
  <c r="G955" i="118" s="1"/>
  <c r="G1185" i="118" s="1"/>
  <c r="G1415" i="118" s="1"/>
  <c r="G1645" i="118" s="1"/>
  <c r="G251" i="118"/>
  <c r="G481" i="118" s="1"/>
  <c r="G711" i="118" s="1"/>
  <c r="G941" i="118" s="1"/>
  <c r="G1171" i="118" s="1"/>
  <c r="G1401" i="118" s="1"/>
  <c r="G1631" i="118" s="1"/>
  <c r="G242" i="118"/>
  <c r="G472" i="118" s="1"/>
  <c r="G702" i="118" s="1"/>
  <c r="G932" i="118" s="1"/>
  <c r="G1162" i="118" s="1"/>
  <c r="G1392" i="118" s="1"/>
  <c r="G1622" i="118" s="1"/>
  <c r="F507" i="118" l="1"/>
  <c r="H84" i="118"/>
  <c r="N84" i="118" s="1"/>
  <c r="F509" i="118"/>
  <c r="H279" i="118"/>
  <c r="N279" i="118" s="1"/>
  <c r="F477" i="118"/>
  <c r="H247" i="118"/>
  <c r="N247" i="118" s="1"/>
  <c r="H289" i="118"/>
  <c r="N289" i="118" s="1"/>
  <c r="F519" i="118"/>
  <c r="F556" i="118"/>
  <c r="H326" i="118"/>
  <c r="N326" i="118" s="1"/>
  <c r="F494" i="118"/>
  <c r="F470" i="118"/>
  <c r="H46" i="118"/>
  <c r="N46" i="118" s="1"/>
  <c r="F313" i="118"/>
  <c r="H83" i="118"/>
  <c r="N83" i="118" s="1"/>
  <c r="F345" i="118"/>
  <c r="H115" i="118"/>
  <c r="N115" i="118" s="1"/>
  <c r="F377" i="118"/>
  <c r="H147" i="118"/>
  <c r="N147" i="118" s="1"/>
  <c r="H179" i="118"/>
  <c r="N179" i="118" s="1"/>
  <c r="F409" i="118"/>
  <c r="H211" i="118"/>
  <c r="N211" i="118" s="1"/>
  <c r="F441" i="118"/>
  <c r="F532" i="118"/>
  <c r="H302" i="118"/>
  <c r="N302" i="118" s="1"/>
  <c r="H286" i="118"/>
  <c r="N286" i="118" s="1"/>
  <c r="F516" i="118"/>
  <c r="F322" i="118"/>
  <c r="H92" i="118"/>
  <c r="N92" i="118" s="1"/>
  <c r="F354" i="118"/>
  <c r="F386" i="118"/>
  <c r="H156" i="118"/>
  <c r="N156" i="118" s="1"/>
  <c r="F418" i="118"/>
  <c r="H188" i="118"/>
  <c r="N188" i="118" s="1"/>
  <c r="F450" i="118"/>
  <c r="H220" i="118"/>
  <c r="N220" i="118" s="1"/>
  <c r="G516" i="118"/>
  <c r="G746" i="118" s="1"/>
  <c r="G976" i="118" s="1"/>
  <c r="G1206" i="118" s="1"/>
  <c r="G1436" i="118" s="1"/>
  <c r="G1666" i="118" s="1"/>
  <c r="O286" i="118"/>
  <c r="P286" i="118" s="1"/>
  <c r="F476" i="118"/>
  <c r="H246" i="118"/>
  <c r="N246" i="118" s="1"/>
  <c r="F287" i="118"/>
  <c r="H57" i="118"/>
  <c r="N57" i="118" s="1"/>
  <c r="H125" i="118"/>
  <c r="N125" i="118" s="1"/>
  <c r="F355" i="118"/>
  <c r="F387" i="118"/>
  <c r="F419" i="118"/>
  <c r="H189" i="118"/>
  <c r="N189" i="118" s="1"/>
  <c r="H221" i="118"/>
  <c r="N221" i="118" s="1"/>
  <c r="F451" i="118"/>
  <c r="H136" i="118"/>
  <c r="N136" i="118" s="1"/>
  <c r="F366" i="118"/>
  <c r="G759" i="118"/>
  <c r="G989" i="118" s="1"/>
  <c r="G1219" i="118" s="1"/>
  <c r="G1449" i="118" s="1"/>
  <c r="G1679" i="118" s="1"/>
  <c r="O529" i="118"/>
  <c r="P529" i="118" s="1"/>
  <c r="F300" i="118"/>
  <c r="H70" i="118"/>
  <c r="N70" i="118" s="1"/>
  <c r="F364" i="118"/>
  <c r="H134" i="118"/>
  <c r="N134" i="118" s="1"/>
  <c r="F396" i="118"/>
  <c r="H166" i="118"/>
  <c r="N166" i="118" s="1"/>
  <c r="F428" i="118"/>
  <c r="F461" i="118"/>
  <c r="H231" i="118"/>
  <c r="N231" i="118" s="1"/>
  <c r="F512" i="118"/>
  <c r="H282" i="118"/>
  <c r="N282" i="118" s="1"/>
  <c r="G530" i="118"/>
  <c r="G760" i="118" s="1"/>
  <c r="G990" i="118" s="1"/>
  <c r="G1220" i="118" s="1"/>
  <c r="G1450" i="118" s="1"/>
  <c r="G1680" i="118" s="1"/>
  <c r="O300" i="118"/>
  <c r="P300" i="118" s="1"/>
  <c r="F488" i="118"/>
  <c r="H258" i="118"/>
  <c r="N258" i="118" s="1"/>
  <c r="F301" i="118"/>
  <c r="H71" i="118"/>
  <c r="N71" i="118" s="1"/>
  <c r="F333" i="118"/>
  <c r="H103" i="118"/>
  <c r="N103" i="118" s="1"/>
  <c r="F365" i="118"/>
  <c r="H135" i="118"/>
  <c r="N135" i="118" s="1"/>
  <c r="H167" i="118"/>
  <c r="N167" i="118" s="1"/>
  <c r="F397" i="118"/>
  <c r="H199" i="118"/>
  <c r="N199" i="118" s="1"/>
  <c r="F429" i="118"/>
  <c r="F462" i="118"/>
  <c r="H232" i="118"/>
  <c r="N232" i="118" s="1"/>
  <c r="F414" i="118"/>
  <c r="H184" i="118"/>
  <c r="N184" i="118" s="1"/>
  <c r="H274" i="118"/>
  <c r="N274" i="118" s="1"/>
  <c r="F504" i="118"/>
  <c r="H113" i="118"/>
  <c r="N113" i="118" s="1"/>
  <c r="F343" i="118"/>
  <c r="F375" i="118"/>
  <c r="H145" i="118"/>
  <c r="N145" i="118" s="1"/>
  <c r="F407" i="118"/>
  <c r="H177" i="118"/>
  <c r="N177" i="118" s="1"/>
  <c r="H209" i="118"/>
  <c r="N209" i="118" s="1"/>
  <c r="F439" i="118"/>
  <c r="F430" i="118"/>
  <c r="G964" i="118"/>
  <c r="O734" i="118"/>
  <c r="P734" i="118" s="1"/>
  <c r="F275" i="118"/>
  <c r="H45" i="118"/>
  <c r="N45" i="118" s="1"/>
  <c r="F312" i="118"/>
  <c r="H82" i="118"/>
  <c r="N82" i="118" s="1"/>
  <c r="F344" i="118"/>
  <c r="H114" i="118"/>
  <c r="N114" i="118" s="1"/>
  <c r="F376" i="118"/>
  <c r="F408" i="118"/>
  <c r="F440" i="118"/>
  <c r="H210" i="118"/>
  <c r="N210" i="118" s="1"/>
  <c r="F506" i="118"/>
  <c r="H276" i="118"/>
  <c r="N276" i="118" s="1"/>
  <c r="H72" i="118"/>
  <c r="N72" i="118" s="1"/>
  <c r="F475" i="118"/>
  <c r="H245" i="118"/>
  <c r="N245" i="118" s="1"/>
  <c r="H56" i="118"/>
  <c r="N56" i="118" s="1"/>
  <c r="H16" i="118"/>
  <c r="N16" i="118" s="1"/>
  <c r="F553" i="118"/>
  <c r="H323" i="118"/>
  <c r="N323" i="118" s="1"/>
  <c r="F485" i="118"/>
  <c r="H255" i="118"/>
  <c r="N255" i="118" s="1"/>
  <c r="F562" i="118"/>
  <c r="H332" i="118"/>
  <c r="N332" i="118" s="1"/>
  <c r="H28" i="118"/>
  <c r="N28" i="118" s="1"/>
  <c r="F541" i="118"/>
  <c r="H311" i="118"/>
  <c r="N311" i="118" s="1"/>
  <c r="F489" i="118"/>
  <c r="H259" i="118"/>
  <c r="N259" i="118" s="1"/>
  <c r="F382" i="118"/>
  <c r="H152" i="118"/>
  <c r="N152" i="118" s="1"/>
  <c r="G284" i="118"/>
  <c r="G514" i="118" s="1"/>
  <c r="G744" i="118" s="1"/>
  <c r="G974" i="118" s="1"/>
  <c r="G1204" i="118" s="1"/>
  <c r="G1434" i="118" s="1"/>
  <c r="G1664" i="118" s="1"/>
  <c r="O54" i="118"/>
  <c r="P54" i="118" s="1"/>
  <c r="H13" i="118"/>
  <c r="N13" i="118" s="1"/>
  <c r="H55" i="118"/>
  <c r="N55" i="118" s="1"/>
  <c r="F321" i="118"/>
  <c r="H91" i="118"/>
  <c r="N91" i="118" s="1"/>
  <c r="F353" i="118"/>
  <c r="H123" i="118"/>
  <c r="N123" i="118" s="1"/>
  <c r="H155" i="118"/>
  <c r="N155" i="118" s="1"/>
  <c r="F385" i="118"/>
  <c r="H187" i="118"/>
  <c r="N187" i="118" s="1"/>
  <c r="F417" i="118"/>
  <c r="H219" i="118"/>
  <c r="N219" i="118" s="1"/>
  <c r="F449" i="118"/>
  <c r="F342" i="118"/>
  <c r="F297" i="118"/>
  <c r="H67" i="118"/>
  <c r="N67" i="118" s="1"/>
  <c r="F330" i="118"/>
  <c r="H100" i="118"/>
  <c r="N100" i="118" s="1"/>
  <c r="F362" i="118"/>
  <c r="H132" i="118"/>
  <c r="N132" i="118" s="1"/>
  <c r="F394" i="118"/>
  <c r="H164" i="118"/>
  <c r="N164" i="118" s="1"/>
  <c r="F426" i="118"/>
  <c r="H196" i="118"/>
  <c r="N196" i="118" s="1"/>
  <c r="F459" i="118"/>
  <c r="H229" i="118"/>
  <c r="N229" i="118" s="1"/>
  <c r="F484" i="118"/>
  <c r="H254" i="118"/>
  <c r="N254" i="118" s="1"/>
  <c r="F331" i="118"/>
  <c r="H101" i="118"/>
  <c r="N101" i="118" s="1"/>
  <c r="F363" i="118"/>
  <c r="F395" i="118"/>
  <c r="F427" i="118"/>
  <c r="H197" i="118"/>
  <c r="N197" i="118" s="1"/>
  <c r="F460" i="118"/>
  <c r="H230" i="118"/>
  <c r="N230" i="118" s="1"/>
  <c r="F390" i="118"/>
  <c r="H160" i="118"/>
  <c r="N160" i="118" s="1"/>
  <c r="O37" i="118"/>
  <c r="P37" i="118" s="1"/>
  <c r="G267" i="118"/>
  <c r="G997" i="118"/>
  <c r="G1227" i="118" s="1"/>
  <c r="G1457" i="118" s="1"/>
  <c r="G1687" i="118" s="1"/>
  <c r="O767" i="118"/>
  <c r="P767" i="118" s="1"/>
  <c r="F538" i="118"/>
  <c r="H308" i="118"/>
  <c r="N308" i="118" s="1"/>
  <c r="F340" i="118"/>
  <c r="H110" i="118"/>
  <c r="N110" i="118" s="1"/>
  <c r="F372" i="118"/>
  <c r="H142" i="118"/>
  <c r="N142" i="118" s="1"/>
  <c r="F404" i="118"/>
  <c r="H174" i="118"/>
  <c r="N174" i="118" s="1"/>
  <c r="F436" i="118"/>
  <c r="H206" i="118"/>
  <c r="N206" i="118" s="1"/>
  <c r="H120" i="118"/>
  <c r="N120" i="118" s="1"/>
  <c r="F350" i="118"/>
  <c r="G499" i="118"/>
  <c r="G729" i="118" s="1"/>
  <c r="G959" i="118" s="1"/>
  <c r="G1189" i="118" s="1"/>
  <c r="G1419" i="118" s="1"/>
  <c r="G1649" i="118" s="1"/>
  <c r="O269" i="118"/>
  <c r="P269" i="118" s="1"/>
  <c r="F500" i="118"/>
  <c r="H270" i="118"/>
  <c r="N270" i="118" s="1"/>
  <c r="F309" i="118"/>
  <c r="H79" i="118"/>
  <c r="N79" i="118" s="1"/>
  <c r="F341" i="118"/>
  <c r="H111" i="118"/>
  <c r="N111" i="118" s="1"/>
  <c r="F373" i="118"/>
  <c r="H143" i="118"/>
  <c r="N143" i="118" s="1"/>
  <c r="F405" i="118"/>
  <c r="H175" i="118"/>
  <c r="N175" i="118" s="1"/>
  <c r="F437" i="118"/>
  <c r="H207" i="118"/>
  <c r="N207" i="118" s="1"/>
  <c r="F463" i="118"/>
  <c r="H233" i="118"/>
  <c r="N233" i="118" s="1"/>
  <c r="G512" i="118"/>
  <c r="G742" i="118" s="1"/>
  <c r="G972" i="118" s="1"/>
  <c r="G1202" i="118" s="1"/>
  <c r="G1432" i="118" s="1"/>
  <c r="G1662" i="118" s="1"/>
  <c r="O282" i="118"/>
  <c r="P282" i="118" s="1"/>
  <c r="G240" i="118"/>
  <c r="H240" i="118" s="1"/>
  <c r="F319" i="118"/>
  <c r="H89" i="118"/>
  <c r="N89" i="118" s="1"/>
  <c r="F351" i="118"/>
  <c r="H121" i="118"/>
  <c r="N121" i="118" s="1"/>
  <c r="F383" i="118"/>
  <c r="H153" i="118"/>
  <c r="N153" i="118" s="1"/>
  <c r="F415" i="118"/>
  <c r="H185" i="118"/>
  <c r="N185" i="118" s="1"/>
  <c r="F447" i="118"/>
  <c r="H217" i="118"/>
  <c r="N217" i="118" s="1"/>
  <c r="F318" i="118"/>
  <c r="H88" i="118"/>
  <c r="N88" i="118" s="1"/>
  <c r="F454" i="118"/>
  <c r="H224" i="118"/>
  <c r="N224" i="118" s="1"/>
  <c r="G743" i="118"/>
  <c r="G973" i="118" s="1"/>
  <c r="G1203" i="118" s="1"/>
  <c r="G1433" i="118" s="1"/>
  <c r="G1663" i="118" s="1"/>
  <c r="O513" i="118"/>
  <c r="P513" i="118" s="1"/>
  <c r="H12" i="118"/>
  <c r="N12" i="118" s="1"/>
  <c r="F242" i="118"/>
  <c r="H54" i="118"/>
  <c r="N54" i="118" s="1"/>
  <c r="H90" i="118"/>
  <c r="N90" i="118" s="1"/>
  <c r="F352" i="118"/>
  <c r="H122" i="118"/>
  <c r="N122" i="118" s="1"/>
  <c r="F384" i="118"/>
  <c r="H154" i="118"/>
  <c r="N154" i="118" s="1"/>
  <c r="F416" i="118"/>
  <c r="H186" i="118"/>
  <c r="N186" i="118" s="1"/>
  <c r="F448" i="118"/>
  <c r="H218" i="118"/>
  <c r="N218" i="118" s="1"/>
  <c r="F473" i="118"/>
  <c r="H243" i="118"/>
  <c r="N243" i="118" s="1"/>
  <c r="F515" i="118"/>
  <c r="H285" i="118"/>
  <c r="N285" i="118" s="1"/>
  <c r="F483" i="118"/>
  <c r="H253" i="118"/>
  <c r="N253" i="118" s="1"/>
  <c r="F521" i="118"/>
  <c r="H291" i="118"/>
  <c r="N291" i="118" s="1"/>
  <c r="H24" i="118"/>
  <c r="N24" i="118" s="1"/>
  <c r="F529" i="118"/>
  <c r="H299" i="118"/>
  <c r="N299" i="118" s="1"/>
  <c r="F499" i="118"/>
  <c r="H269" i="118"/>
  <c r="N269" i="118" s="1"/>
  <c r="H78" i="118"/>
  <c r="N78" i="118" s="1"/>
  <c r="H40" i="118"/>
  <c r="N40" i="118" s="1"/>
  <c r="F513" i="118"/>
  <c r="H283" i="118"/>
  <c r="N283" i="118" s="1"/>
  <c r="F514" i="118"/>
  <c r="H284" i="118"/>
  <c r="N284" i="118" s="1"/>
  <c r="F550" i="118"/>
  <c r="H320" i="118"/>
  <c r="N320" i="118" s="1"/>
  <c r="H22" i="118"/>
  <c r="N22" i="118" s="1"/>
  <c r="F295" i="118"/>
  <c r="H65" i="118"/>
  <c r="N65" i="118" s="1"/>
  <c r="H99" i="118"/>
  <c r="N99" i="118" s="1"/>
  <c r="F361" i="118"/>
  <c r="H163" i="118"/>
  <c r="N163" i="118" s="1"/>
  <c r="F393" i="118"/>
  <c r="F425" i="118"/>
  <c r="F458" i="118"/>
  <c r="H228" i="118"/>
  <c r="N228" i="118" s="1"/>
  <c r="F374" i="118"/>
  <c r="H144" i="118"/>
  <c r="N144" i="118" s="1"/>
  <c r="G765" i="118"/>
  <c r="G995" i="118" s="1"/>
  <c r="G1225" i="118" s="1"/>
  <c r="G1455" i="118" s="1"/>
  <c r="G1685" i="118" s="1"/>
  <c r="O535" i="118"/>
  <c r="P535" i="118" s="1"/>
  <c r="H36" i="118"/>
  <c r="N36" i="118" s="1"/>
  <c r="F266" i="118"/>
  <c r="H76" i="118"/>
  <c r="N76" i="118" s="1"/>
  <c r="F306" i="118"/>
  <c r="F338" i="118"/>
  <c r="F370" i="118"/>
  <c r="H140" i="118"/>
  <c r="N140" i="118" s="1"/>
  <c r="F402" i="118"/>
  <c r="F434" i="118"/>
  <c r="H204" i="118"/>
  <c r="N204" i="118" s="1"/>
  <c r="H104" i="118"/>
  <c r="N104" i="118" s="1"/>
  <c r="F334" i="118"/>
  <c r="G766" i="118"/>
  <c r="G996" i="118" s="1"/>
  <c r="G1226" i="118" s="1"/>
  <c r="G1456" i="118" s="1"/>
  <c r="G1686" i="118" s="1"/>
  <c r="O536" i="118"/>
  <c r="P536" i="118" s="1"/>
  <c r="F307" i="118"/>
  <c r="H77" i="118"/>
  <c r="N77" i="118" s="1"/>
  <c r="H109" i="118"/>
  <c r="N109" i="118" s="1"/>
  <c r="F339" i="118"/>
  <c r="H141" i="118"/>
  <c r="N141" i="118" s="1"/>
  <c r="F371" i="118"/>
  <c r="H173" i="118"/>
  <c r="N173" i="118" s="1"/>
  <c r="F403" i="118"/>
  <c r="F435" i="118"/>
  <c r="H205" i="118"/>
  <c r="N205" i="118" s="1"/>
  <c r="G281" i="118"/>
  <c r="G511" i="118" s="1"/>
  <c r="G741" i="118" s="1"/>
  <c r="G971" i="118" s="1"/>
  <c r="G1201" i="118" s="1"/>
  <c r="G1431" i="118" s="1"/>
  <c r="G1661" i="118" s="1"/>
  <c r="O51" i="118"/>
  <c r="P51" i="118" s="1"/>
  <c r="F438" i="118"/>
  <c r="H208" i="118"/>
  <c r="N208" i="118" s="1"/>
  <c r="F316" i="118"/>
  <c r="H86" i="118"/>
  <c r="N86" i="118" s="1"/>
  <c r="F348" i="118"/>
  <c r="H118" i="118"/>
  <c r="N118" i="118" s="1"/>
  <c r="F380" i="118"/>
  <c r="H150" i="118"/>
  <c r="N150" i="118" s="1"/>
  <c r="F412" i="118"/>
  <c r="H182" i="118"/>
  <c r="N182" i="118" s="1"/>
  <c r="F444" i="118"/>
  <c r="H214" i="118"/>
  <c r="N214" i="118" s="1"/>
  <c r="F422" i="118"/>
  <c r="H192" i="118"/>
  <c r="N192" i="118" s="1"/>
  <c r="H51" i="118"/>
  <c r="N51" i="118" s="1"/>
  <c r="F349" i="118"/>
  <c r="H119" i="118"/>
  <c r="N119" i="118" s="1"/>
  <c r="F381" i="118"/>
  <c r="H151" i="118"/>
  <c r="N151" i="118" s="1"/>
  <c r="F413" i="118"/>
  <c r="H183" i="118"/>
  <c r="N183" i="118" s="1"/>
  <c r="F445" i="118"/>
  <c r="H215" i="118"/>
  <c r="N215" i="118" s="1"/>
  <c r="H250" i="118"/>
  <c r="N250" i="118" s="1"/>
  <c r="F480" i="118"/>
  <c r="F327" i="118"/>
  <c r="H97" i="118"/>
  <c r="N97" i="118" s="1"/>
  <c r="H129" i="118"/>
  <c r="N129" i="118" s="1"/>
  <c r="F359" i="118"/>
  <c r="F391" i="118"/>
  <c r="F423" i="118"/>
  <c r="F455" i="118"/>
  <c r="H225" i="118"/>
  <c r="N225" i="118" s="1"/>
  <c r="H128" i="118"/>
  <c r="N128" i="118" s="1"/>
  <c r="F358" i="118"/>
  <c r="O63" i="118"/>
  <c r="P63" i="118" s="1"/>
  <c r="G293" i="118"/>
  <c r="G523" i="118" s="1"/>
  <c r="G753" i="118" s="1"/>
  <c r="G983" i="118" s="1"/>
  <c r="G1213" i="118" s="1"/>
  <c r="G1443" i="118" s="1"/>
  <c r="G1673" i="118" s="1"/>
  <c r="F251" i="118"/>
  <c r="H21" i="118"/>
  <c r="N21" i="118" s="1"/>
  <c r="H64" i="118"/>
  <c r="N64" i="118" s="1"/>
  <c r="F294" i="118"/>
  <c r="F328" i="118"/>
  <c r="H98" i="118"/>
  <c r="N98" i="118" s="1"/>
  <c r="F360" i="118"/>
  <c r="H130" i="118"/>
  <c r="N130" i="118" s="1"/>
  <c r="F392" i="118"/>
  <c r="H162" i="118"/>
  <c r="N162" i="118" s="1"/>
  <c r="F424" i="118"/>
  <c r="H194" i="118"/>
  <c r="N194" i="118" s="1"/>
  <c r="F456" i="118"/>
  <c r="H226" i="118"/>
  <c r="N226" i="118" s="1"/>
  <c r="F482" i="118"/>
  <c r="H252" i="118"/>
  <c r="N252" i="118" s="1"/>
  <c r="F559" i="118"/>
  <c r="H329" i="118"/>
  <c r="N329" i="118" s="1"/>
  <c r="F498" i="118"/>
  <c r="F479" i="118"/>
  <c r="H249" i="118"/>
  <c r="N249" i="118" s="1"/>
  <c r="F510" i="118"/>
  <c r="H280" i="118"/>
  <c r="N280" i="118" s="1"/>
  <c r="F511" i="118"/>
  <c r="F547" i="118"/>
  <c r="H317" i="118"/>
  <c r="N317" i="118" s="1"/>
  <c r="F503" i="118"/>
  <c r="H273" i="118"/>
  <c r="N273" i="118" s="1"/>
  <c r="F523" i="118"/>
  <c r="H293" i="118"/>
  <c r="N293" i="118" s="1"/>
  <c r="O534" i="118"/>
  <c r="P534" i="118" s="1"/>
  <c r="G764" i="118"/>
  <c r="G994" i="118" s="1"/>
  <c r="G1224" i="118" s="1"/>
  <c r="G1454" i="118" s="1"/>
  <c r="G1684" i="118" s="1"/>
  <c r="H35" i="118"/>
  <c r="N35" i="118" s="1"/>
  <c r="H75" i="118"/>
  <c r="N75" i="118" s="1"/>
  <c r="H107" i="118"/>
  <c r="N107" i="118" s="1"/>
  <c r="F337" i="118"/>
  <c r="F369" i="118"/>
  <c r="F401" i="118"/>
  <c r="H171" i="118"/>
  <c r="N171" i="118" s="1"/>
  <c r="H203" i="118"/>
  <c r="N203" i="118" s="1"/>
  <c r="F433" i="118"/>
  <c r="H216" i="118"/>
  <c r="N216" i="118" s="1"/>
  <c r="F446" i="118"/>
  <c r="H314" i="118"/>
  <c r="N314" i="118" s="1"/>
  <c r="F544" i="118"/>
  <c r="F346" i="118"/>
  <c r="H116" i="118"/>
  <c r="N116" i="118" s="1"/>
  <c r="F378" i="118"/>
  <c r="H148" i="118"/>
  <c r="N148" i="118" s="1"/>
  <c r="F410" i="118"/>
  <c r="H180" i="118"/>
  <c r="N180" i="118" s="1"/>
  <c r="F442" i="118"/>
  <c r="H212" i="118"/>
  <c r="N212" i="118" s="1"/>
  <c r="F406" i="118"/>
  <c r="H176" i="118"/>
  <c r="N176" i="118" s="1"/>
  <c r="G277" i="118"/>
  <c r="G507" i="118" s="1"/>
  <c r="G737" i="118" s="1"/>
  <c r="G967" i="118" s="1"/>
  <c r="G1197" i="118" s="1"/>
  <c r="G1427" i="118" s="1"/>
  <c r="G1657" i="118" s="1"/>
  <c r="O47" i="118"/>
  <c r="P47" i="118" s="1"/>
  <c r="H49" i="118"/>
  <c r="N49" i="118" s="1"/>
  <c r="F315" i="118"/>
  <c r="H85" i="118"/>
  <c r="N85" i="118" s="1"/>
  <c r="F347" i="118"/>
  <c r="F379" i="118"/>
  <c r="H181" i="118"/>
  <c r="N181" i="118" s="1"/>
  <c r="F411" i="118"/>
  <c r="F443" i="118"/>
  <c r="H213" i="118"/>
  <c r="N213" i="118" s="1"/>
  <c r="F540" i="118"/>
  <c r="H310" i="118"/>
  <c r="N310" i="118" s="1"/>
  <c r="F324" i="118"/>
  <c r="H94" i="118"/>
  <c r="N94" i="118" s="1"/>
  <c r="F356" i="118"/>
  <c r="H126" i="118"/>
  <c r="N126" i="118" s="1"/>
  <c r="F388" i="118"/>
  <c r="H158" i="118"/>
  <c r="N158" i="118" s="1"/>
  <c r="F420" i="118"/>
  <c r="H190" i="118"/>
  <c r="N190" i="118" s="1"/>
  <c r="H222" i="118"/>
  <c r="N222" i="118" s="1"/>
  <c r="F452" i="118"/>
  <c r="F248" i="118"/>
  <c r="H18" i="118"/>
  <c r="N18" i="118" s="1"/>
  <c r="F520" i="118"/>
  <c r="H290" i="118"/>
  <c r="N290" i="118" s="1"/>
  <c r="F325" i="118"/>
  <c r="H95" i="118"/>
  <c r="N95" i="118" s="1"/>
  <c r="F357" i="118"/>
  <c r="H127" i="118"/>
  <c r="N127" i="118" s="1"/>
  <c r="F389" i="118"/>
  <c r="H159" i="118"/>
  <c r="N159" i="118" s="1"/>
  <c r="F421" i="118"/>
  <c r="F453" i="118"/>
  <c r="H223" i="118"/>
  <c r="N223" i="118" s="1"/>
  <c r="F260" i="118"/>
  <c r="H30" i="118"/>
  <c r="N30" i="118" s="1"/>
  <c r="F303" i="118"/>
  <c r="H73" i="118"/>
  <c r="N73" i="118" s="1"/>
  <c r="F335" i="118"/>
  <c r="H105" i="118"/>
  <c r="N105" i="118" s="1"/>
  <c r="H137" i="118"/>
  <c r="N137" i="118" s="1"/>
  <c r="F367" i="118"/>
  <c r="H169" i="118"/>
  <c r="N169" i="118" s="1"/>
  <c r="F399" i="118"/>
  <c r="F431" i="118"/>
  <c r="H201" i="118"/>
  <c r="N201" i="118" s="1"/>
  <c r="F464" i="118"/>
  <c r="H234" i="118"/>
  <c r="N234" i="118" s="1"/>
  <c r="F398" i="118"/>
  <c r="H168" i="118"/>
  <c r="N168" i="118" s="1"/>
  <c r="G993" i="118"/>
  <c r="G1223" i="118" s="1"/>
  <c r="G1453" i="118" s="1"/>
  <c r="G1683" i="118" s="1"/>
  <c r="O763" i="118"/>
  <c r="P763" i="118" s="1"/>
  <c r="F534" i="118"/>
  <c r="H304" i="118"/>
  <c r="N304" i="118" s="1"/>
  <c r="F336" i="118"/>
  <c r="H106" i="118"/>
  <c r="N106" i="118" s="1"/>
  <c r="F368" i="118"/>
  <c r="H138" i="118"/>
  <c r="N138" i="118" s="1"/>
  <c r="F400" i="118"/>
  <c r="H170" i="118"/>
  <c r="N170" i="118" s="1"/>
  <c r="F432" i="118"/>
  <c r="H202" i="118"/>
  <c r="N202" i="118" s="1"/>
  <c r="H10" i="118"/>
  <c r="F495" i="118"/>
  <c r="H265" i="118"/>
  <c r="N265" i="118" s="1"/>
  <c r="F535" i="118"/>
  <c r="H305" i="118"/>
  <c r="N305" i="118" s="1"/>
  <c r="N240" i="118" l="1"/>
  <c r="F636" i="118"/>
  <c r="H406" i="118"/>
  <c r="N406" i="118" s="1"/>
  <c r="F753" i="118"/>
  <c r="H523" i="118"/>
  <c r="N523" i="118" s="1"/>
  <c r="F740" i="118"/>
  <c r="H510" i="118"/>
  <c r="N510" i="118" s="1"/>
  <c r="F712" i="118"/>
  <c r="H482" i="118"/>
  <c r="N482" i="118" s="1"/>
  <c r="F590" i="118"/>
  <c r="H360" i="118"/>
  <c r="N360" i="118" s="1"/>
  <c r="F653" i="118"/>
  <c r="F710" i="118"/>
  <c r="H480" i="118"/>
  <c r="N480" i="118" s="1"/>
  <c r="F652" i="118"/>
  <c r="H422" i="118"/>
  <c r="N422" i="118" s="1"/>
  <c r="F578" i="118"/>
  <c r="H348" i="118"/>
  <c r="N348" i="118" s="1"/>
  <c r="F568" i="118"/>
  <c r="F623" i="118"/>
  <c r="H393" i="118"/>
  <c r="N393" i="118" s="1"/>
  <c r="H521" i="118"/>
  <c r="N521" i="118" s="1"/>
  <c r="F751" i="118"/>
  <c r="F678" i="118"/>
  <c r="H448" i="118"/>
  <c r="N448" i="118" s="1"/>
  <c r="F684" i="118"/>
  <c r="H454" i="118"/>
  <c r="F613" i="118"/>
  <c r="H383" i="118"/>
  <c r="N383" i="118" s="1"/>
  <c r="F635" i="118"/>
  <c r="H405" i="118"/>
  <c r="N405" i="118" s="1"/>
  <c r="H500" i="118"/>
  <c r="N500" i="118" s="1"/>
  <c r="F730" i="118"/>
  <c r="F666" i="118"/>
  <c r="H436" i="118"/>
  <c r="N436" i="118" s="1"/>
  <c r="F768" i="118"/>
  <c r="H538" i="118"/>
  <c r="N538" i="118" s="1"/>
  <c r="F620" i="118"/>
  <c r="H390" i="118"/>
  <c r="N390" i="118" s="1"/>
  <c r="H459" i="118"/>
  <c r="F689" i="118"/>
  <c r="F560" i="118"/>
  <c r="H330" i="118"/>
  <c r="N330" i="118" s="1"/>
  <c r="F679" i="118"/>
  <c r="H449" i="118"/>
  <c r="N449" i="118" s="1"/>
  <c r="F792" i="118"/>
  <c r="H562" i="118"/>
  <c r="N562" i="118" s="1"/>
  <c r="F705" i="118"/>
  <c r="H475" i="118"/>
  <c r="N475" i="118" s="1"/>
  <c r="F531" i="118"/>
  <c r="H301" i="118"/>
  <c r="N301" i="118" s="1"/>
  <c r="F742" i="118"/>
  <c r="H512" i="118"/>
  <c r="N512" i="118" s="1"/>
  <c r="F594" i="118"/>
  <c r="H364" i="118"/>
  <c r="N364" i="118" s="1"/>
  <c r="F585" i="118"/>
  <c r="H355" i="118"/>
  <c r="N355" i="118" s="1"/>
  <c r="F587" i="118"/>
  <c r="H357" i="118"/>
  <c r="N357" i="118" s="1"/>
  <c r="F682" i="118"/>
  <c r="H452" i="118"/>
  <c r="F673" i="118"/>
  <c r="H443" i="118"/>
  <c r="N443" i="118" s="1"/>
  <c r="F545" i="118"/>
  <c r="H315" i="118"/>
  <c r="N315" i="118" s="1"/>
  <c r="F576" i="118"/>
  <c r="H346" i="118"/>
  <c r="N346" i="118" s="1"/>
  <c r="H433" i="118"/>
  <c r="N433" i="118" s="1"/>
  <c r="F663" i="118"/>
  <c r="H381" i="118"/>
  <c r="N381" i="118" s="1"/>
  <c r="F611" i="118"/>
  <c r="F536" i="118"/>
  <c r="H306" i="118"/>
  <c r="N306" i="118" s="1"/>
  <c r="F472" i="118"/>
  <c r="H242" i="118"/>
  <c r="N242" i="118" s="1"/>
  <c r="F551" i="118"/>
  <c r="H321" i="118"/>
  <c r="N321" i="118" s="1"/>
  <c r="F612" i="118"/>
  <c r="H382" i="118"/>
  <c r="N382" i="118" s="1"/>
  <c r="F606" i="118"/>
  <c r="F627" i="118"/>
  <c r="H397" i="118"/>
  <c r="N397" i="118" s="1"/>
  <c r="F584" i="118"/>
  <c r="F762" i="118"/>
  <c r="H532" i="118"/>
  <c r="N532" i="118" s="1"/>
  <c r="F575" i="118"/>
  <c r="H345" i="118"/>
  <c r="N345" i="118" s="1"/>
  <c r="F662" i="118"/>
  <c r="H432" i="118"/>
  <c r="N432" i="118" s="1"/>
  <c r="H534" i="118"/>
  <c r="N534" i="118" s="1"/>
  <c r="F764" i="118"/>
  <c r="F694" i="118"/>
  <c r="H464" i="118"/>
  <c r="F565" i="118"/>
  <c r="H335" i="118"/>
  <c r="N335" i="118" s="1"/>
  <c r="F554" i="118"/>
  <c r="H324" i="118"/>
  <c r="N324" i="118" s="1"/>
  <c r="F641" i="118"/>
  <c r="H411" i="118"/>
  <c r="N411" i="118" s="1"/>
  <c r="F774" i="118"/>
  <c r="H544" i="118"/>
  <c r="N544" i="118" s="1"/>
  <c r="F733" i="118"/>
  <c r="H503" i="118"/>
  <c r="N503" i="118" s="1"/>
  <c r="F709" i="118"/>
  <c r="H479" i="118"/>
  <c r="N479" i="118" s="1"/>
  <c r="F686" i="118"/>
  <c r="H456" i="118"/>
  <c r="F558" i="118"/>
  <c r="H328" i="118"/>
  <c r="N328" i="118" s="1"/>
  <c r="F674" i="118"/>
  <c r="H444" i="118"/>
  <c r="N444" i="118" s="1"/>
  <c r="F546" i="118"/>
  <c r="H316" i="118"/>
  <c r="N316" i="118" s="1"/>
  <c r="F665" i="118"/>
  <c r="H435" i="118"/>
  <c r="N435" i="118" s="1"/>
  <c r="F537" i="118"/>
  <c r="H307" i="118"/>
  <c r="N307" i="118" s="1"/>
  <c r="F664" i="118"/>
  <c r="H434" i="118"/>
  <c r="N434" i="118" s="1"/>
  <c r="F604" i="118"/>
  <c r="H374" i="118"/>
  <c r="N374" i="118" s="1"/>
  <c r="F591" i="118"/>
  <c r="F713" i="118"/>
  <c r="H483" i="118"/>
  <c r="N483" i="118" s="1"/>
  <c r="F646" i="118"/>
  <c r="H416" i="118"/>
  <c r="N416" i="118" s="1"/>
  <c r="F548" i="118"/>
  <c r="H318" i="118"/>
  <c r="N318" i="118" s="1"/>
  <c r="F581" i="118"/>
  <c r="H351" i="118"/>
  <c r="N351" i="118" s="1"/>
  <c r="H373" i="118"/>
  <c r="N373" i="118" s="1"/>
  <c r="F603" i="118"/>
  <c r="F634" i="118"/>
  <c r="H404" i="118"/>
  <c r="N404" i="118" s="1"/>
  <c r="F690" i="118"/>
  <c r="H460" i="118"/>
  <c r="F561" i="118"/>
  <c r="H331" i="118"/>
  <c r="N331" i="118" s="1"/>
  <c r="F656" i="118"/>
  <c r="H426" i="118"/>
  <c r="N426" i="118" s="1"/>
  <c r="F527" i="118"/>
  <c r="H297" i="118"/>
  <c r="N297" i="118" s="1"/>
  <c r="F647" i="118"/>
  <c r="H417" i="118"/>
  <c r="N417" i="118" s="1"/>
  <c r="H485" i="118"/>
  <c r="N485" i="118" s="1"/>
  <c r="F715" i="118"/>
  <c r="H407" i="118"/>
  <c r="N407" i="118" s="1"/>
  <c r="F637" i="118"/>
  <c r="F718" i="118"/>
  <c r="H488" i="118"/>
  <c r="N488" i="118" s="1"/>
  <c r="F691" i="118"/>
  <c r="H461" i="118"/>
  <c r="F530" i="118"/>
  <c r="H300" i="118"/>
  <c r="N300" i="118" s="1"/>
  <c r="H451" i="118"/>
  <c r="N451" i="118" s="1"/>
  <c r="F681" i="118"/>
  <c r="F671" i="118"/>
  <c r="H441" i="118"/>
  <c r="N441" i="118" s="1"/>
  <c r="F700" i="118"/>
  <c r="F707" i="118"/>
  <c r="H477" i="118"/>
  <c r="N477" i="118" s="1"/>
  <c r="F586" i="118"/>
  <c r="H356" i="118"/>
  <c r="N356" i="118" s="1"/>
  <c r="F683" i="118"/>
  <c r="H453" i="118"/>
  <c r="F555" i="118"/>
  <c r="H325" i="118"/>
  <c r="N325" i="118" s="1"/>
  <c r="F672" i="118"/>
  <c r="H442" i="118"/>
  <c r="N442" i="118" s="1"/>
  <c r="F524" i="118"/>
  <c r="H294" i="118"/>
  <c r="N294" i="118" s="1"/>
  <c r="H358" i="118"/>
  <c r="N358" i="118" s="1"/>
  <c r="F588" i="118"/>
  <c r="F621" i="118"/>
  <c r="F579" i="118"/>
  <c r="H349" i="118"/>
  <c r="N349" i="118" s="1"/>
  <c r="F633" i="118"/>
  <c r="H403" i="118"/>
  <c r="N403" i="118" s="1"/>
  <c r="F496" i="118"/>
  <c r="H266" i="118"/>
  <c r="N266" i="118" s="1"/>
  <c r="F780" i="118"/>
  <c r="H550" i="118"/>
  <c r="N550" i="118" s="1"/>
  <c r="F729" i="118"/>
  <c r="H499" i="118"/>
  <c r="N499" i="118" s="1"/>
  <c r="H489" i="118"/>
  <c r="N489" i="118" s="1"/>
  <c r="F719" i="118"/>
  <c r="H506" i="118"/>
  <c r="N506" i="118" s="1"/>
  <c r="F736" i="118"/>
  <c r="F574" i="118"/>
  <c r="H344" i="118"/>
  <c r="N344" i="118" s="1"/>
  <c r="F517" i="118"/>
  <c r="H287" i="118"/>
  <c r="N287" i="118" s="1"/>
  <c r="F680" i="118"/>
  <c r="H450" i="118"/>
  <c r="N450" i="118" s="1"/>
  <c r="F552" i="118"/>
  <c r="H322" i="118"/>
  <c r="N322" i="118" s="1"/>
  <c r="F543" i="118"/>
  <c r="H313" i="118"/>
  <c r="N313" i="118" s="1"/>
  <c r="F630" i="118"/>
  <c r="H400" i="118"/>
  <c r="N400" i="118" s="1"/>
  <c r="F661" i="118"/>
  <c r="H431" i="118"/>
  <c r="N431" i="118" s="1"/>
  <c r="F533" i="118"/>
  <c r="H303" i="118"/>
  <c r="N303" i="118" s="1"/>
  <c r="F650" i="118"/>
  <c r="H420" i="118"/>
  <c r="N420" i="118" s="1"/>
  <c r="F631" i="118"/>
  <c r="H401" i="118"/>
  <c r="N401" i="118" s="1"/>
  <c r="F777" i="118"/>
  <c r="H547" i="118"/>
  <c r="N547" i="118" s="1"/>
  <c r="F728" i="118"/>
  <c r="F654" i="118"/>
  <c r="H424" i="118"/>
  <c r="N424" i="118" s="1"/>
  <c r="F589" i="118"/>
  <c r="H359" i="118"/>
  <c r="N359" i="118" s="1"/>
  <c r="F642" i="118"/>
  <c r="H412" i="118"/>
  <c r="N412" i="118" s="1"/>
  <c r="F632" i="118"/>
  <c r="F745" i="118"/>
  <c r="H515" i="118"/>
  <c r="N515" i="118" s="1"/>
  <c r="F614" i="118"/>
  <c r="H384" i="118"/>
  <c r="N384" i="118" s="1"/>
  <c r="H447" i="118"/>
  <c r="N447" i="118" s="1"/>
  <c r="F677" i="118"/>
  <c r="F549" i="118"/>
  <c r="H319" i="118"/>
  <c r="N319" i="118" s="1"/>
  <c r="F693" i="118"/>
  <c r="H463" i="118"/>
  <c r="F571" i="118"/>
  <c r="H341" i="118"/>
  <c r="N341" i="118" s="1"/>
  <c r="F602" i="118"/>
  <c r="H372" i="118"/>
  <c r="N372" i="118" s="1"/>
  <c r="H427" i="118"/>
  <c r="N427" i="118" s="1"/>
  <c r="F657" i="118"/>
  <c r="F714" i="118"/>
  <c r="H484" i="118"/>
  <c r="N484" i="118" s="1"/>
  <c r="F624" i="118"/>
  <c r="H394" i="118"/>
  <c r="N394" i="118" s="1"/>
  <c r="F615" i="118"/>
  <c r="H385" i="118"/>
  <c r="N385" i="118" s="1"/>
  <c r="F783" i="118"/>
  <c r="H553" i="118"/>
  <c r="N553" i="118" s="1"/>
  <c r="G1194" i="118"/>
  <c r="O964" i="118"/>
  <c r="P964" i="118" s="1"/>
  <c r="H375" i="118"/>
  <c r="N375" i="118" s="1"/>
  <c r="F605" i="118"/>
  <c r="F644" i="118"/>
  <c r="H414" i="118"/>
  <c r="N414" i="118" s="1"/>
  <c r="F595" i="118"/>
  <c r="H365" i="118"/>
  <c r="N365" i="118" s="1"/>
  <c r="F658" i="118"/>
  <c r="F746" i="118"/>
  <c r="H516" i="118"/>
  <c r="N516" i="118" s="1"/>
  <c r="H409" i="118"/>
  <c r="N409" i="118" s="1"/>
  <c r="F639" i="118"/>
  <c r="F724" i="118"/>
  <c r="F739" i="118"/>
  <c r="H509" i="118"/>
  <c r="N509" i="118" s="1"/>
  <c r="N10" i="118"/>
  <c r="F628" i="118"/>
  <c r="H398" i="118"/>
  <c r="N398" i="118" s="1"/>
  <c r="F765" i="118"/>
  <c r="H535" i="118"/>
  <c r="N535" i="118" s="1"/>
  <c r="H399" i="118"/>
  <c r="N399" i="118" s="1"/>
  <c r="F629" i="118"/>
  <c r="F651" i="118"/>
  <c r="H520" i="118"/>
  <c r="N520" i="118" s="1"/>
  <c r="F750" i="118"/>
  <c r="F609" i="118"/>
  <c r="F640" i="118"/>
  <c r="H410" i="118"/>
  <c r="N410" i="118" s="1"/>
  <c r="F599" i="118"/>
  <c r="H281" i="118"/>
  <c r="N281" i="118" s="1"/>
  <c r="F675" i="118"/>
  <c r="H445" i="118"/>
  <c r="N445" i="118" s="1"/>
  <c r="F601" i="118"/>
  <c r="H371" i="118"/>
  <c r="N371" i="118" s="1"/>
  <c r="F688" i="118"/>
  <c r="H458" i="118"/>
  <c r="F744" i="118"/>
  <c r="H514" i="118"/>
  <c r="N514" i="118" s="1"/>
  <c r="F759" i="118"/>
  <c r="H529" i="118"/>
  <c r="N529" i="118" s="1"/>
  <c r="H350" i="118"/>
  <c r="N350" i="118" s="1"/>
  <c r="F580" i="118"/>
  <c r="G497" i="118"/>
  <c r="G727" i="118" s="1"/>
  <c r="G957" i="118" s="1"/>
  <c r="G1187" i="118" s="1"/>
  <c r="G1417" i="118" s="1"/>
  <c r="G1647" i="118" s="1"/>
  <c r="O267" i="118"/>
  <c r="P267" i="118" s="1"/>
  <c r="F572" i="118"/>
  <c r="H541" i="118"/>
  <c r="N541" i="118" s="1"/>
  <c r="F771" i="118"/>
  <c r="F670" i="118"/>
  <c r="H440" i="118"/>
  <c r="N440" i="118" s="1"/>
  <c r="F542" i="118"/>
  <c r="H312" i="118"/>
  <c r="N312" i="118" s="1"/>
  <c r="H343" i="118"/>
  <c r="N343" i="118" s="1"/>
  <c r="F573" i="118"/>
  <c r="F649" i="118"/>
  <c r="H419" i="118"/>
  <c r="N419" i="118" s="1"/>
  <c r="F706" i="118"/>
  <c r="H476" i="118"/>
  <c r="N476" i="118" s="1"/>
  <c r="H418" i="118"/>
  <c r="N418" i="118" s="1"/>
  <c r="F648" i="118"/>
  <c r="F566" i="118"/>
  <c r="H336" i="118"/>
  <c r="N336" i="118" s="1"/>
  <c r="F598" i="118"/>
  <c r="H368" i="118"/>
  <c r="N368" i="118" s="1"/>
  <c r="F490" i="118"/>
  <c r="H260" i="118"/>
  <c r="N260" i="118" s="1"/>
  <c r="F618" i="118"/>
  <c r="H388" i="118"/>
  <c r="N388" i="118" s="1"/>
  <c r="F770" i="118"/>
  <c r="H540" i="118"/>
  <c r="N540" i="118" s="1"/>
  <c r="F577" i="118"/>
  <c r="F741" i="118"/>
  <c r="H511" i="118"/>
  <c r="N511" i="118" s="1"/>
  <c r="F789" i="118"/>
  <c r="H559" i="118"/>
  <c r="N559" i="118" s="1"/>
  <c r="F622" i="118"/>
  <c r="H392" i="118"/>
  <c r="N392" i="118" s="1"/>
  <c r="F481" i="118"/>
  <c r="H251" i="118"/>
  <c r="N251" i="118" s="1"/>
  <c r="F610" i="118"/>
  <c r="H380" i="118"/>
  <c r="N380" i="118" s="1"/>
  <c r="F668" i="118"/>
  <c r="H438" i="118"/>
  <c r="N438" i="118" s="1"/>
  <c r="F600" i="118"/>
  <c r="H370" i="118"/>
  <c r="N370" i="118" s="1"/>
  <c r="F655" i="118"/>
  <c r="F525" i="118"/>
  <c r="H295" i="118"/>
  <c r="N295" i="118" s="1"/>
  <c r="F703" i="118"/>
  <c r="H473" i="118"/>
  <c r="N473" i="118" s="1"/>
  <c r="F582" i="118"/>
  <c r="H352" i="118"/>
  <c r="N352" i="118" s="1"/>
  <c r="F645" i="118"/>
  <c r="H415" i="118"/>
  <c r="N415" i="118" s="1"/>
  <c r="G470" i="118"/>
  <c r="H470" i="118" s="1"/>
  <c r="F667" i="118"/>
  <c r="H437" i="118"/>
  <c r="N437" i="118" s="1"/>
  <c r="F539" i="118"/>
  <c r="H309" i="118"/>
  <c r="N309" i="118" s="1"/>
  <c r="F570" i="118"/>
  <c r="H340" i="118"/>
  <c r="N340" i="118" s="1"/>
  <c r="F625" i="118"/>
  <c r="F592" i="118"/>
  <c r="H362" i="118"/>
  <c r="N362" i="118" s="1"/>
  <c r="F660" i="118"/>
  <c r="F692" i="118"/>
  <c r="H462" i="118"/>
  <c r="F563" i="118"/>
  <c r="H333" i="118"/>
  <c r="N333" i="118" s="1"/>
  <c r="F626" i="118"/>
  <c r="H396" i="118"/>
  <c r="N396" i="118" s="1"/>
  <c r="H556" i="118"/>
  <c r="N556" i="118" s="1"/>
  <c r="F786" i="118"/>
  <c r="H277" i="118"/>
  <c r="N277" i="118" s="1"/>
  <c r="F725" i="118"/>
  <c r="H495" i="118"/>
  <c r="N495" i="118" s="1"/>
  <c r="F597" i="118"/>
  <c r="H367" i="118"/>
  <c r="N367" i="118" s="1"/>
  <c r="H389" i="118"/>
  <c r="N389" i="118" s="1"/>
  <c r="F619" i="118"/>
  <c r="F478" i="118"/>
  <c r="H248" i="118"/>
  <c r="N248" i="118" s="1"/>
  <c r="F608" i="118"/>
  <c r="H378" i="118"/>
  <c r="N378" i="118" s="1"/>
  <c r="H446" i="118"/>
  <c r="N446" i="118" s="1"/>
  <c r="F676" i="118"/>
  <c r="F567" i="118"/>
  <c r="H337" i="118"/>
  <c r="N337" i="118" s="1"/>
  <c r="F685" i="118"/>
  <c r="H455" i="118"/>
  <c r="F557" i="118"/>
  <c r="H327" i="118"/>
  <c r="N327" i="118" s="1"/>
  <c r="H413" i="118"/>
  <c r="N413" i="118" s="1"/>
  <c r="F643" i="118"/>
  <c r="H339" i="118"/>
  <c r="N339" i="118" s="1"/>
  <c r="F569" i="118"/>
  <c r="F564" i="118"/>
  <c r="H334" i="118"/>
  <c r="N334" i="118" s="1"/>
  <c r="F743" i="118"/>
  <c r="H513" i="118"/>
  <c r="N513" i="118" s="1"/>
  <c r="F593" i="118"/>
  <c r="F583" i="118"/>
  <c r="H353" i="118"/>
  <c r="N353" i="118" s="1"/>
  <c r="F638" i="118"/>
  <c r="F505" i="118"/>
  <c r="H275" i="118"/>
  <c r="N275" i="118" s="1"/>
  <c r="F669" i="118"/>
  <c r="H439" i="118"/>
  <c r="N439" i="118" s="1"/>
  <c r="F734" i="118"/>
  <c r="H504" i="118"/>
  <c r="N504" i="118" s="1"/>
  <c r="H429" i="118"/>
  <c r="N429" i="118" s="1"/>
  <c r="F659" i="118"/>
  <c r="H366" i="118"/>
  <c r="N366" i="118" s="1"/>
  <c r="F596" i="118"/>
  <c r="F617" i="118"/>
  <c r="F616" i="118"/>
  <c r="H386" i="118"/>
  <c r="N386" i="118" s="1"/>
  <c r="F607" i="118"/>
  <c r="H377" i="118"/>
  <c r="N377" i="118" s="1"/>
  <c r="F749" i="118"/>
  <c r="H519" i="118"/>
  <c r="N519" i="118" s="1"/>
  <c r="F737" i="118"/>
  <c r="H507" i="118"/>
  <c r="N507" i="118" s="1"/>
  <c r="N470" i="118" l="1"/>
  <c r="H616" i="118"/>
  <c r="N616" i="118" s="1"/>
  <c r="F846" i="118"/>
  <c r="F964" i="118"/>
  <c r="H734" i="118"/>
  <c r="N734" i="118" s="1"/>
  <c r="F813" i="118"/>
  <c r="H583" i="118"/>
  <c r="N583" i="118" s="1"/>
  <c r="H567" i="118"/>
  <c r="N567" i="118" s="1"/>
  <c r="F797" i="118"/>
  <c r="F878" i="118"/>
  <c r="H648" i="118"/>
  <c r="N648" i="118" s="1"/>
  <c r="F829" i="118"/>
  <c r="F881" i="118"/>
  <c r="F976" i="118"/>
  <c r="H746" i="118"/>
  <c r="N746" i="118" s="1"/>
  <c r="F854" i="118"/>
  <c r="H624" i="118"/>
  <c r="N624" i="118" s="1"/>
  <c r="F801" i="118"/>
  <c r="H571" i="118"/>
  <c r="N571" i="118" s="1"/>
  <c r="F844" i="118"/>
  <c r="H614" i="118"/>
  <c r="N614" i="118" s="1"/>
  <c r="H589" i="118"/>
  <c r="N589" i="118" s="1"/>
  <c r="F819" i="118"/>
  <c r="F861" i="118"/>
  <c r="H631" i="118"/>
  <c r="N631" i="118" s="1"/>
  <c r="F860" i="118"/>
  <c r="H630" i="118"/>
  <c r="N630" i="118" s="1"/>
  <c r="F747" i="118"/>
  <c r="H517" i="118"/>
  <c r="N517" i="118" s="1"/>
  <c r="H729" i="118"/>
  <c r="N729" i="118" s="1"/>
  <c r="F959" i="118"/>
  <c r="H579" i="118"/>
  <c r="N579" i="118" s="1"/>
  <c r="F809" i="118"/>
  <c r="F902" i="118"/>
  <c r="H672" i="118"/>
  <c r="N672" i="118" s="1"/>
  <c r="H707" i="118"/>
  <c r="N707" i="118" s="1"/>
  <c r="F937" i="118"/>
  <c r="F945" i="118"/>
  <c r="H715" i="118"/>
  <c r="N715" i="118" s="1"/>
  <c r="F994" i="118"/>
  <c r="H764" i="118"/>
  <c r="N764" i="118" s="1"/>
  <c r="F893" i="118"/>
  <c r="H663" i="118"/>
  <c r="N663" i="118" s="1"/>
  <c r="H643" i="118"/>
  <c r="N643" i="118" s="1"/>
  <c r="F873" i="118"/>
  <c r="H676" i="118"/>
  <c r="N676" i="118" s="1"/>
  <c r="F906" i="118"/>
  <c r="F856" i="118"/>
  <c r="H626" i="118"/>
  <c r="N626" i="118" s="1"/>
  <c r="F822" i="118"/>
  <c r="H592" i="118"/>
  <c r="N592" i="118" s="1"/>
  <c r="F897" i="118"/>
  <c r="H667" i="118"/>
  <c r="N667" i="118" s="1"/>
  <c r="H703" i="118"/>
  <c r="N703" i="118" s="1"/>
  <c r="F933" i="118"/>
  <c r="F898" i="118"/>
  <c r="H668" i="118"/>
  <c r="N668" i="118" s="1"/>
  <c r="F1019" i="118"/>
  <c r="H789" i="118"/>
  <c r="N789" i="118" s="1"/>
  <c r="F848" i="118"/>
  <c r="H618" i="118"/>
  <c r="N618" i="118" s="1"/>
  <c r="F772" i="118"/>
  <c r="H542" i="118"/>
  <c r="N542" i="118" s="1"/>
  <c r="F918" i="118"/>
  <c r="H688" i="118"/>
  <c r="H629" i="118"/>
  <c r="N629" i="118" s="1"/>
  <c r="F859" i="118"/>
  <c r="F760" i="118"/>
  <c r="H530" i="118"/>
  <c r="N530" i="118" s="1"/>
  <c r="F791" i="118"/>
  <c r="H561" i="118"/>
  <c r="N561" i="118" s="1"/>
  <c r="F811" i="118"/>
  <c r="H581" i="118"/>
  <c r="N581" i="118" s="1"/>
  <c r="F821" i="118"/>
  <c r="H665" i="118"/>
  <c r="N665" i="118" s="1"/>
  <c r="F895" i="118"/>
  <c r="F916" i="118"/>
  <c r="H686" i="118"/>
  <c r="F871" i="118"/>
  <c r="H641" i="118"/>
  <c r="N641" i="118" s="1"/>
  <c r="F814" i="118"/>
  <c r="F781" i="118"/>
  <c r="H551" i="118"/>
  <c r="N551" i="118" s="1"/>
  <c r="F912" i="118"/>
  <c r="H682" i="118"/>
  <c r="F972" i="118"/>
  <c r="H742" i="118"/>
  <c r="N742" i="118" s="1"/>
  <c r="H679" i="118"/>
  <c r="N679" i="118" s="1"/>
  <c r="F909" i="118"/>
  <c r="F998" i="118"/>
  <c r="H768" i="118"/>
  <c r="N768" i="118" s="1"/>
  <c r="F843" i="118"/>
  <c r="H613" i="118"/>
  <c r="N613" i="118" s="1"/>
  <c r="F853" i="118"/>
  <c r="H623" i="118"/>
  <c r="N623" i="118" s="1"/>
  <c r="F940" i="118"/>
  <c r="H710" i="118"/>
  <c r="N710" i="118" s="1"/>
  <c r="F970" i="118"/>
  <c r="H740" i="118"/>
  <c r="N740" i="118" s="1"/>
  <c r="H737" i="118"/>
  <c r="N737" i="118" s="1"/>
  <c r="F967" i="118"/>
  <c r="F847" i="118"/>
  <c r="H669" i="118"/>
  <c r="N669" i="118" s="1"/>
  <c r="F899" i="118"/>
  <c r="F823" i="118"/>
  <c r="F827" i="118"/>
  <c r="H597" i="118"/>
  <c r="N597" i="118" s="1"/>
  <c r="G700" i="118"/>
  <c r="F810" i="118"/>
  <c r="H580" i="118"/>
  <c r="N580" i="118" s="1"/>
  <c r="F870" i="118"/>
  <c r="H640" i="118"/>
  <c r="N640" i="118" s="1"/>
  <c r="F969" i="118"/>
  <c r="H739" i="118"/>
  <c r="N739" i="118" s="1"/>
  <c r="F888" i="118"/>
  <c r="G1424" i="118"/>
  <c r="G1654" i="118" s="1"/>
  <c r="O1194" i="118"/>
  <c r="P1194" i="118" s="1"/>
  <c r="H714" i="118"/>
  <c r="N714" i="118" s="1"/>
  <c r="F944" i="118"/>
  <c r="F923" i="118"/>
  <c r="H693" i="118"/>
  <c r="F975" i="118"/>
  <c r="H745" i="118"/>
  <c r="N745" i="118" s="1"/>
  <c r="F884" i="118"/>
  <c r="H654" i="118"/>
  <c r="N654" i="118" s="1"/>
  <c r="F880" i="118"/>
  <c r="H650" i="118"/>
  <c r="N650" i="118" s="1"/>
  <c r="H543" i="118"/>
  <c r="N543" i="118" s="1"/>
  <c r="F773" i="118"/>
  <c r="F804" i="118"/>
  <c r="H574" i="118"/>
  <c r="N574" i="118" s="1"/>
  <c r="F1010" i="118"/>
  <c r="H780" i="118"/>
  <c r="N780" i="118" s="1"/>
  <c r="F851" i="118"/>
  <c r="H555" i="118"/>
  <c r="N555" i="118" s="1"/>
  <c r="F785" i="118"/>
  <c r="F798" i="118"/>
  <c r="F883" i="118"/>
  <c r="F826" i="118"/>
  <c r="H596" i="118"/>
  <c r="N596" i="118" s="1"/>
  <c r="F793" i="118"/>
  <c r="H563" i="118"/>
  <c r="N563" i="118" s="1"/>
  <c r="F855" i="118"/>
  <c r="F755" i="118"/>
  <c r="H525" i="118"/>
  <c r="N525" i="118" s="1"/>
  <c r="F840" i="118"/>
  <c r="H610" i="118"/>
  <c r="N610" i="118" s="1"/>
  <c r="F971" i="118"/>
  <c r="H741" i="118"/>
  <c r="N741" i="118" s="1"/>
  <c r="H490" i="118"/>
  <c r="N490" i="118" s="1"/>
  <c r="F720" i="118"/>
  <c r="F936" i="118"/>
  <c r="H706" i="118"/>
  <c r="N706" i="118" s="1"/>
  <c r="H670" i="118"/>
  <c r="N670" i="118" s="1"/>
  <c r="F900" i="118"/>
  <c r="H601" i="118"/>
  <c r="N601" i="118" s="1"/>
  <c r="F831" i="118"/>
  <c r="F954" i="118"/>
  <c r="F887" i="118"/>
  <c r="H657" i="118"/>
  <c r="N657" i="118" s="1"/>
  <c r="H736" i="118"/>
  <c r="N736" i="118" s="1"/>
  <c r="F966" i="118"/>
  <c r="H588" i="118"/>
  <c r="N588" i="118" s="1"/>
  <c r="F818" i="118"/>
  <c r="F930" i="118"/>
  <c r="H700" i="118"/>
  <c r="H691" i="118"/>
  <c r="F921" i="118"/>
  <c r="F877" i="118"/>
  <c r="H647" i="118"/>
  <c r="N647" i="118" s="1"/>
  <c r="H690" i="118"/>
  <c r="F920" i="118"/>
  <c r="F778" i="118"/>
  <c r="H548" i="118"/>
  <c r="N548" i="118" s="1"/>
  <c r="F834" i="118"/>
  <c r="H604" i="118"/>
  <c r="N604" i="118" s="1"/>
  <c r="F776" i="118"/>
  <c r="H546" i="118"/>
  <c r="N546" i="118" s="1"/>
  <c r="H709" i="118"/>
  <c r="N709" i="118" s="1"/>
  <c r="F939" i="118"/>
  <c r="F784" i="118"/>
  <c r="H554" i="118"/>
  <c r="N554" i="118" s="1"/>
  <c r="H662" i="118"/>
  <c r="N662" i="118" s="1"/>
  <c r="F892" i="118"/>
  <c r="F857" i="118"/>
  <c r="H627" i="118"/>
  <c r="N627" i="118" s="1"/>
  <c r="F702" i="118"/>
  <c r="H472" i="118"/>
  <c r="N472" i="118" s="1"/>
  <c r="H576" i="118"/>
  <c r="N576" i="118" s="1"/>
  <c r="F806" i="118"/>
  <c r="F817" i="118"/>
  <c r="H587" i="118"/>
  <c r="N587" i="118" s="1"/>
  <c r="F761" i="118"/>
  <c r="H531" i="118"/>
  <c r="N531" i="118" s="1"/>
  <c r="H560" i="118"/>
  <c r="N560" i="118" s="1"/>
  <c r="F790" i="118"/>
  <c r="H666" i="118"/>
  <c r="N666" i="118" s="1"/>
  <c r="F896" i="118"/>
  <c r="F914" i="118"/>
  <c r="H684" i="118"/>
  <c r="H753" i="118"/>
  <c r="N753" i="118" s="1"/>
  <c r="F983" i="118"/>
  <c r="H749" i="118"/>
  <c r="N749" i="118" s="1"/>
  <c r="F979" i="118"/>
  <c r="F735" i="118"/>
  <c r="H505" i="118"/>
  <c r="N505" i="118" s="1"/>
  <c r="H743" i="118"/>
  <c r="N743" i="118" s="1"/>
  <c r="F973" i="118"/>
  <c r="F787" i="118"/>
  <c r="H557" i="118"/>
  <c r="N557" i="118" s="1"/>
  <c r="F838" i="118"/>
  <c r="H608" i="118"/>
  <c r="N608" i="118" s="1"/>
  <c r="H725" i="118"/>
  <c r="N725" i="118" s="1"/>
  <c r="F955" i="118"/>
  <c r="F807" i="118"/>
  <c r="F1001" i="118"/>
  <c r="H771" i="118"/>
  <c r="N771" i="118" s="1"/>
  <c r="F839" i="118"/>
  <c r="H765" i="118"/>
  <c r="N765" i="118" s="1"/>
  <c r="F995" i="118"/>
  <c r="F825" i="118"/>
  <c r="H595" i="118"/>
  <c r="N595" i="118" s="1"/>
  <c r="F1013" i="118"/>
  <c r="H783" i="118"/>
  <c r="N783" i="118" s="1"/>
  <c r="F779" i="118"/>
  <c r="H549" i="118"/>
  <c r="N549" i="118" s="1"/>
  <c r="F862" i="118"/>
  <c r="F958" i="118"/>
  <c r="F763" i="118"/>
  <c r="H533" i="118"/>
  <c r="N533" i="118" s="1"/>
  <c r="F782" i="118"/>
  <c r="H552" i="118"/>
  <c r="N552" i="118" s="1"/>
  <c r="F726" i="118"/>
  <c r="H496" i="118"/>
  <c r="N496" i="118" s="1"/>
  <c r="F913" i="118"/>
  <c r="H683" i="118"/>
  <c r="H689" i="118"/>
  <c r="F919" i="118"/>
  <c r="H730" i="118"/>
  <c r="N730" i="118" s="1"/>
  <c r="F960" i="118"/>
  <c r="H659" i="118"/>
  <c r="N659" i="118" s="1"/>
  <c r="F889" i="118"/>
  <c r="F922" i="118"/>
  <c r="H692" i="118"/>
  <c r="H570" i="118"/>
  <c r="N570" i="118" s="1"/>
  <c r="F800" i="118"/>
  <c r="F875" i="118"/>
  <c r="H645" i="118"/>
  <c r="N645" i="118" s="1"/>
  <c r="F885" i="118"/>
  <c r="H481" i="118"/>
  <c r="N481" i="118" s="1"/>
  <c r="F711" i="118"/>
  <c r="H598" i="118"/>
  <c r="N598" i="118" s="1"/>
  <c r="F828" i="118"/>
  <c r="H649" i="118"/>
  <c r="N649" i="118" s="1"/>
  <c r="F879" i="118"/>
  <c r="H759" i="118"/>
  <c r="N759" i="118" s="1"/>
  <c r="F989" i="118"/>
  <c r="F905" i="118"/>
  <c r="H675" i="118"/>
  <c r="N675" i="118" s="1"/>
  <c r="F980" i="118"/>
  <c r="H750" i="118"/>
  <c r="N750" i="118" s="1"/>
  <c r="F869" i="118"/>
  <c r="H639" i="118"/>
  <c r="N639" i="118" s="1"/>
  <c r="H677" i="118"/>
  <c r="N677" i="118" s="1"/>
  <c r="F907" i="118"/>
  <c r="H719" i="118"/>
  <c r="N719" i="118" s="1"/>
  <c r="F949" i="118"/>
  <c r="H671" i="118"/>
  <c r="N671" i="118" s="1"/>
  <c r="F901" i="118"/>
  <c r="F948" i="118"/>
  <c r="H718" i="118"/>
  <c r="N718" i="118" s="1"/>
  <c r="H527" i="118"/>
  <c r="N527" i="118" s="1"/>
  <c r="F757" i="118"/>
  <c r="F864" i="118"/>
  <c r="H634" i="118"/>
  <c r="N634" i="118" s="1"/>
  <c r="F876" i="118"/>
  <c r="H646" i="118"/>
  <c r="N646" i="118" s="1"/>
  <c r="F894" i="118"/>
  <c r="H664" i="118"/>
  <c r="N664" i="118" s="1"/>
  <c r="H674" i="118"/>
  <c r="N674" i="118" s="1"/>
  <c r="F904" i="118"/>
  <c r="H733" i="118"/>
  <c r="N733" i="118" s="1"/>
  <c r="F963" i="118"/>
  <c r="H565" i="118"/>
  <c r="N565" i="118" s="1"/>
  <c r="F795" i="118"/>
  <c r="F805" i="118"/>
  <c r="H575" i="118"/>
  <c r="N575" i="118" s="1"/>
  <c r="F836" i="118"/>
  <c r="F766" i="118"/>
  <c r="H536" i="118"/>
  <c r="N536" i="118" s="1"/>
  <c r="F775" i="118"/>
  <c r="H545" i="118"/>
  <c r="N545" i="118" s="1"/>
  <c r="F815" i="118"/>
  <c r="H585" i="118"/>
  <c r="N585" i="118" s="1"/>
  <c r="F935" i="118"/>
  <c r="H705" i="118"/>
  <c r="N705" i="118" s="1"/>
  <c r="H678" i="118"/>
  <c r="N678" i="118" s="1"/>
  <c r="F908" i="118"/>
  <c r="F808" i="118"/>
  <c r="H578" i="118"/>
  <c r="N578" i="118" s="1"/>
  <c r="F820" i="118"/>
  <c r="H590" i="118"/>
  <c r="N590" i="118" s="1"/>
  <c r="F866" i="118"/>
  <c r="H636" i="118"/>
  <c r="N636" i="118" s="1"/>
  <c r="F837" i="118"/>
  <c r="H607" i="118"/>
  <c r="N607" i="118" s="1"/>
  <c r="F868" i="118"/>
  <c r="F794" i="118"/>
  <c r="H564" i="118"/>
  <c r="N564" i="118" s="1"/>
  <c r="H685" i="118"/>
  <c r="F915" i="118"/>
  <c r="F708" i="118"/>
  <c r="H478" i="118"/>
  <c r="N478" i="118" s="1"/>
  <c r="F1016" i="118"/>
  <c r="H786" i="118"/>
  <c r="N786" i="118" s="1"/>
  <c r="F890" i="118"/>
  <c r="F803" i="118"/>
  <c r="H573" i="118"/>
  <c r="N573" i="118" s="1"/>
  <c r="F802" i="118"/>
  <c r="F858" i="118"/>
  <c r="H628" i="118"/>
  <c r="N628" i="118" s="1"/>
  <c r="F874" i="118"/>
  <c r="H644" i="118"/>
  <c r="N644" i="118" s="1"/>
  <c r="F845" i="118"/>
  <c r="H615" i="118"/>
  <c r="N615" i="118" s="1"/>
  <c r="F832" i="118"/>
  <c r="H602" i="118"/>
  <c r="N602" i="118" s="1"/>
  <c r="F872" i="118"/>
  <c r="H642" i="118"/>
  <c r="N642" i="118" s="1"/>
  <c r="F1007" i="118"/>
  <c r="H777" i="118"/>
  <c r="N777" i="118" s="1"/>
  <c r="H661" i="118"/>
  <c r="N661" i="118" s="1"/>
  <c r="F891" i="118"/>
  <c r="F910" i="118"/>
  <c r="H680" i="118"/>
  <c r="N680" i="118" s="1"/>
  <c r="F863" i="118"/>
  <c r="H633" i="118"/>
  <c r="N633" i="118" s="1"/>
  <c r="F754" i="118"/>
  <c r="H524" i="118"/>
  <c r="N524" i="118" s="1"/>
  <c r="F816" i="118"/>
  <c r="H586" i="118"/>
  <c r="N586" i="118" s="1"/>
  <c r="H681" i="118"/>
  <c r="N681" i="118" s="1"/>
  <c r="F911" i="118"/>
  <c r="F867" i="118"/>
  <c r="H637" i="118"/>
  <c r="N637" i="118" s="1"/>
  <c r="F833" i="118"/>
  <c r="H603" i="118"/>
  <c r="N603" i="118" s="1"/>
  <c r="F841" i="118"/>
  <c r="H611" i="118"/>
  <c r="N611" i="118" s="1"/>
  <c r="F981" i="118"/>
  <c r="H751" i="118"/>
  <c r="N751" i="118" s="1"/>
  <c r="F799" i="118"/>
  <c r="H569" i="118"/>
  <c r="N569" i="118" s="1"/>
  <c r="F849" i="118"/>
  <c r="H619" i="118"/>
  <c r="N619" i="118" s="1"/>
  <c r="F769" i="118"/>
  <c r="H539" i="118"/>
  <c r="N539" i="118" s="1"/>
  <c r="F812" i="118"/>
  <c r="H582" i="118"/>
  <c r="N582" i="118" s="1"/>
  <c r="F830" i="118"/>
  <c r="H600" i="118"/>
  <c r="N600" i="118" s="1"/>
  <c r="F852" i="118"/>
  <c r="H622" i="118"/>
  <c r="N622" i="118" s="1"/>
  <c r="H770" i="118"/>
  <c r="N770" i="118" s="1"/>
  <c r="F1000" i="118"/>
  <c r="F796" i="118"/>
  <c r="H566" i="118"/>
  <c r="N566" i="118" s="1"/>
  <c r="F974" i="118"/>
  <c r="H744" i="118"/>
  <c r="N744" i="118" s="1"/>
  <c r="H605" i="118"/>
  <c r="N605" i="118" s="1"/>
  <c r="F835" i="118"/>
  <c r="F886" i="118"/>
  <c r="H656" i="118"/>
  <c r="N656" i="118" s="1"/>
  <c r="F943" i="118"/>
  <c r="H713" i="118"/>
  <c r="N713" i="118" s="1"/>
  <c r="H537" i="118"/>
  <c r="N537" i="118" s="1"/>
  <c r="F767" i="118"/>
  <c r="H558" i="118"/>
  <c r="N558" i="118" s="1"/>
  <c r="F788" i="118"/>
  <c r="F1004" i="118"/>
  <c r="H774" i="118"/>
  <c r="N774" i="118" s="1"/>
  <c r="F924" i="118"/>
  <c r="H694" i="118"/>
  <c r="H762" i="118"/>
  <c r="N762" i="118" s="1"/>
  <c r="F992" i="118"/>
  <c r="F842" i="118"/>
  <c r="H612" i="118"/>
  <c r="N612" i="118" s="1"/>
  <c r="F903" i="118"/>
  <c r="H673" i="118"/>
  <c r="N673" i="118" s="1"/>
  <c r="F824" i="118"/>
  <c r="H594" i="118"/>
  <c r="N594" i="118" s="1"/>
  <c r="F1022" i="118"/>
  <c r="H792" i="118"/>
  <c r="N792" i="118" s="1"/>
  <c r="F850" i="118"/>
  <c r="H620" i="118"/>
  <c r="N620" i="118" s="1"/>
  <c r="F865" i="118"/>
  <c r="H635" i="118"/>
  <c r="N635" i="118" s="1"/>
  <c r="F882" i="118"/>
  <c r="H652" i="118"/>
  <c r="N652" i="118" s="1"/>
  <c r="F942" i="118"/>
  <c r="H712" i="118"/>
  <c r="N712" i="118" s="1"/>
  <c r="F1063" i="118" l="1"/>
  <c r="H833" i="118"/>
  <c r="N833" i="118" s="1"/>
  <c r="F1104" i="118"/>
  <c r="H874" i="118"/>
  <c r="N874" i="118" s="1"/>
  <c r="H815" i="118"/>
  <c r="F1099" i="118"/>
  <c r="H869" i="118"/>
  <c r="N869" i="118" s="1"/>
  <c r="F1105" i="118"/>
  <c r="H875" i="118"/>
  <c r="N875" i="118" s="1"/>
  <c r="F1112" i="118"/>
  <c r="H882" i="118"/>
  <c r="N882" i="118" s="1"/>
  <c r="F1054" i="118"/>
  <c r="H824" i="118"/>
  <c r="N824" i="118" s="1"/>
  <c r="H924" i="118"/>
  <c r="F1154" i="118"/>
  <c r="F1173" i="118"/>
  <c r="H943" i="118"/>
  <c r="N943" i="118" s="1"/>
  <c r="F1097" i="118"/>
  <c r="H867" i="118"/>
  <c r="N867" i="118" s="1"/>
  <c r="H863" i="118"/>
  <c r="N863" i="118" s="1"/>
  <c r="F1093" i="118"/>
  <c r="F1102" i="118"/>
  <c r="H872" i="118"/>
  <c r="N872" i="118" s="1"/>
  <c r="F1088" i="118"/>
  <c r="H858" i="118"/>
  <c r="N858" i="118" s="1"/>
  <c r="F1246" i="118"/>
  <c r="H1016" i="118"/>
  <c r="N1016" i="118" s="1"/>
  <c r="H808" i="118"/>
  <c r="H775" i="118"/>
  <c r="N775" i="118" s="1"/>
  <c r="F1005" i="118"/>
  <c r="F1106" i="118"/>
  <c r="H876" i="118"/>
  <c r="N876" i="118" s="1"/>
  <c r="F1210" i="118"/>
  <c r="H980" i="118"/>
  <c r="N980" i="118" s="1"/>
  <c r="F993" i="118"/>
  <c r="H763" i="118"/>
  <c r="N763" i="118" s="1"/>
  <c r="H1013" i="118"/>
  <c r="N1013" i="118" s="1"/>
  <c r="F1243" i="118"/>
  <c r="F1231" i="118"/>
  <c r="H1001" i="118"/>
  <c r="N1001" i="118" s="1"/>
  <c r="H787" i="118"/>
  <c r="N787" i="118" s="1"/>
  <c r="F1017" i="118"/>
  <c r="F991" i="118"/>
  <c r="H761" i="118"/>
  <c r="N761" i="118" s="1"/>
  <c r="F1087" i="118"/>
  <c r="H857" i="118"/>
  <c r="N857" i="118" s="1"/>
  <c r="H776" i="118"/>
  <c r="N776" i="118" s="1"/>
  <c r="F1006" i="118"/>
  <c r="F1107" i="118"/>
  <c r="H877" i="118"/>
  <c r="N877" i="118" s="1"/>
  <c r="H966" i="118"/>
  <c r="N966" i="118" s="1"/>
  <c r="F1196" i="118"/>
  <c r="F1130" i="118"/>
  <c r="H900" i="118"/>
  <c r="N900" i="118" s="1"/>
  <c r="H944" i="118"/>
  <c r="N944" i="118" s="1"/>
  <c r="F1174" i="118"/>
  <c r="H895" i="118"/>
  <c r="N895" i="118" s="1"/>
  <c r="F1125" i="118"/>
  <c r="H873" i="118"/>
  <c r="N873" i="118" s="1"/>
  <c r="F1103" i="118"/>
  <c r="F1167" i="118"/>
  <c r="H937" i="118"/>
  <c r="N937" i="118" s="1"/>
  <c r="F1026" i="118"/>
  <c r="H796" i="118"/>
  <c r="N796" i="118" s="1"/>
  <c r="H812" i="118"/>
  <c r="F1141" i="118"/>
  <c r="H911" i="118"/>
  <c r="N911" i="118" s="1"/>
  <c r="F1138" i="118"/>
  <c r="H908" i="118"/>
  <c r="N908" i="118" s="1"/>
  <c r="H963" i="118"/>
  <c r="N963" i="118" s="1"/>
  <c r="F1193" i="118"/>
  <c r="F1179" i="118"/>
  <c r="H949" i="118"/>
  <c r="N949" i="118" s="1"/>
  <c r="H711" i="118"/>
  <c r="N711" i="118" s="1"/>
  <c r="F941" i="118"/>
  <c r="H973" i="118"/>
  <c r="N973" i="118" s="1"/>
  <c r="F1203" i="118"/>
  <c r="F1122" i="118"/>
  <c r="H892" i="118"/>
  <c r="N892" i="118" s="1"/>
  <c r="F1151" i="118"/>
  <c r="H921" i="118"/>
  <c r="F1070" i="118"/>
  <c r="H840" i="118"/>
  <c r="N840" i="118" s="1"/>
  <c r="H826" i="118"/>
  <c r="N826" i="118" s="1"/>
  <c r="F1056" i="118"/>
  <c r="F1110" i="118"/>
  <c r="H880" i="118"/>
  <c r="N880" i="118" s="1"/>
  <c r="F1100" i="118"/>
  <c r="H870" i="118"/>
  <c r="N870" i="118" s="1"/>
  <c r="F1200" i="118"/>
  <c r="H970" i="118"/>
  <c r="N970" i="118" s="1"/>
  <c r="F1228" i="118"/>
  <c r="H998" i="118"/>
  <c r="N998" i="118" s="1"/>
  <c r="H781" i="118"/>
  <c r="N781" i="118" s="1"/>
  <c r="F1011" i="118"/>
  <c r="F990" i="118"/>
  <c r="H760" i="118"/>
  <c r="N760" i="118" s="1"/>
  <c r="F1078" i="118"/>
  <c r="H848" i="118"/>
  <c r="N848" i="118" s="1"/>
  <c r="F1127" i="118"/>
  <c r="H897" i="118"/>
  <c r="N897" i="118" s="1"/>
  <c r="F977" i="118"/>
  <c r="H747" i="118"/>
  <c r="N747" i="118" s="1"/>
  <c r="F1074" i="118"/>
  <c r="H844" i="118"/>
  <c r="N844" i="118" s="1"/>
  <c r="H813" i="118"/>
  <c r="F1178" i="118"/>
  <c r="H948" i="118"/>
  <c r="N948" i="118" s="1"/>
  <c r="F1068" i="118"/>
  <c r="H838" i="118"/>
  <c r="N838" i="118" s="1"/>
  <c r="F1133" i="118"/>
  <c r="H903" i="118"/>
  <c r="N903" i="118" s="1"/>
  <c r="H1004" i="118"/>
  <c r="N1004" i="118" s="1"/>
  <c r="F1234" i="118"/>
  <c r="H886" i="118"/>
  <c r="N886" i="118" s="1"/>
  <c r="F1116" i="118"/>
  <c r="F1230" i="118"/>
  <c r="H1000" i="118"/>
  <c r="N1000" i="118" s="1"/>
  <c r="F1211" i="118"/>
  <c r="H981" i="118"/>
  <c r="N981" i="118" s="1"/>
  <c r="H910" i="118"/>
  <c r="N910" i="118" s="1"/>
  <c r="F1140" i="118"/>
  <c r="F1062" i="118"/>
  <c r="H832" i="118"/>
  <c r="N832" i="118" s="1"/>
  <c r="F938" i="118"/>
  <c r="H708" i="118"/>
  <c r="N708" i="118" s="1"/>
  <c r="F1067" i="118"/>
  <c r="H837" i="118"/>
  <c r="N837" i="118" s="1"/>
  <c r="F996" i="118"/>
  <c r="H766" i="118"/>
  <c r="N766" i="118" s="1"/>
  <c r="F1094" i="118"/>
  <c r="H864" i="118"/>
  <c r="N864" i="118" s="1"/>
  <c r="H905" i="118"/>
  <c r="N905" i="118" s="1"/>
  <c r="F1135" i="118"/>
  <c r="F1152" i="118"/>
  <c r="H922" i="118"/>
  <c r="F1143" i="118"/>
  <c r="H913" i="118"/>
  <c r="F1188" i="118"/>
  <c r="F1055" i="118"/>
  <c r="H825" i="118"/>
  <c r="N825" i="118" s="1"/>
  <c r="F1144" i="118"/>
  <c r="H914" i="118"/>
  <c r="H817" i="118"/>
  <c r="F1064" i="118"/>
  <c r="H834" i="118"/>
  <c r="N834" i="118" s="1"/>
  <c r="F1129" i="118"/>
  <c r="H899" i="118"/>
  <c r="N899" i="118" s="1"/>
  <c r="F1139" i="118"/>
  <c r="H909" i="118"/>
  <c r="N909" i="118" s="1"/>
  <c r="F1089" i="118"/>
  <c r="H859" i="118"/>
  <c r="N859" i="118" s="1"/>
  <c r="F1252" i="118"/>
  <c r="H1022" i="118"/>
  <c r="N1022" i="118" s="1"/>
  <c r="F984" i="118"/>
  <c r="H754" i="118"/>
  <c r="N754" i="118" s="1"/>
  <c r="H805" i="118"/>
  <c r="F1095" i="118"/>
  <c r="H865" i="118"/>
  <c r="N865" i="118" s="1"/>
  <c r="F1018" i="118"/>
  <c r="H788" i="118"/>
  <c r="N788" i="118" s="1"/>
  <c r="H835" i="118"/>
  <c r="N835" i="118" s="1"/>
  <c r="F1065" i="118"/>
  <c r="F999" i="118"/>
  <c r="H769" i="118"/>
  <c r="N769" i="118" s="1"/>
  <c r="F1121" i="118"/>
  <c r="H891" i="118"/>
  <c r="N891" i="118" s="1"/>
  <c r="F1145" i="118"/>
  <c r="H915" i="118"/>
  <c r="F1134" i="118"/>
  <c r="H904" i="118"/>
  <c r="N904" i="118" s="1"/>
  <c r="F987" i="118"/>
  <c r="H757" i="118"/>
  <c r="N757" i="118" s="1"/>
  <c r="F1137" i="118"/>
  <c r="H907" i="118"/>
  <c r="N907" i="118" s="1"/>
  <c r="H989" i="118"/>
  <c r="N989" i="118" s="1"/>
  <c r="F1219" i="118"/>
  <c r="F1119" i="118"/>
  <c r="H889" i="118"/>
  <c r="N889" i="118" s="1"/>
  <c r="F1225" i="118"/>
  <c r="H995" i="118"/>
  <c r="N995" i="118" s="1"/>
  <c r="F1185" i="118"/>
  <c r="H955" i="118"/>
  <c r="N955" i="118" s="1"/>
  <c r="F1126" i="118"/>
  <c r="H896" i="118"/>
  <c r="N896" i="118" s="1"/>
  <c r="H806" i="118"/>
  <c r="N700" i="118"/>
  <c r="F1117" i="118"/>
  <c r="H887" i="118"/>
  <c r="N887" i="118" s="1"/>
  <c r="F1166" i="118"/>
  <c r="H936" i="118"/>
  <c r="N936" i="118" s="1"/>
  <c r="H755" i="118"/>
  <c r="N755" i="118" s="1"/>
  <c r="F985" i="118"/>
  <c r="H1010" i="118"/>
  <c r="N1010" i="118" s="1"/>
  <c r="F1240" i="118"/>
  <c r="F1114" i="118"/>
  <c r="H884" i="118"/>
  <c r="N884" i="118" s="1"/>
  <c r="H810" i="118"/>
  <c r="F1170" i="118"/>
  <c r="H940" i="118"/>
  <c r="N940" i="118" s="1"/>
  <c r="F1249" i="118"/>
  <c r="H1019" i="118"/>
  <c r="N1019" i="118" s="1"/>
  <c r="F1052" i="118"/>
  <c r="H822" i="118"/>
  <c r="N822" i="118" s="1"/>
  <c r="F1123" i="118"/>
  <c r="H893" i="118"/>
  <c r="N893" i="118" s="1"/>
  <c r="H902" i="118"/>
  <c r="N902" i="118" s="1"/>
  <c r="F1132" i="118"/>
  <c r="H860" i="118"/>
  <c r="N860" i="118" s="1"/>
  <c r="F1090" i="118"/>
  <c r="H801" i="118"/>
  <c r="F1194" i="118"/>
  <c r="H964" i="118"/>
  <c r="N964" i="118" s="1"/>
  <c r="F1024" i="118"/>
  <c r="H794" i="118"/>
  <c r="N794" i="118" s="1"/>
  <c r="F1080" i="118"/>
  <c r="H850" i="118"/>
  <c r="N850" i="118" s="1"/>
  <c r="F1072" i="118"/>
  <c r="H842" i="118"/>
  <c r="N842" i="118" s="1"/>
  <c r="H841" i="118"/>
  <c r="N841" i="118" s="1"/>
  <c r="F1071" i="118"/>
  <c r="H816" i="118"/>
  <c r="H845" i="118"/>
  <c r="N845" i="118" s="1"/>
  <c r="F1075" i="118"/>
  <c r="H803" i="118"/>
  <c r="F1096" i="118"/>
  <c r="H866" i="118"/>
  <c r="N866" i="118" s="1"/>
  <c r="H935" i="118"/>
  <c r="N935" i="118" s="1"/>
  <c r="F1165" i="118"/>
  <c r="F1066" i="118"/>
  <c r="H726" i="118"/>
  <c r="N726" i="118" s="1"/>
  <c r="F956" i="118"/>
  <c r="F965" i="118"/>
  <c r="H735" i="118"/>
  <c r="N735" i="118" s="1"/>
  <c r="F1014" i="118"/>
  <c r="H784" i="118"/>
  <c r="N784" i="118" s="1"/>
  <c r="H778" i="118"/>
  <c r="N778" i="118" s="1"/>
  <c r="F1008" i="118"/>
  <c r="F1184" i="118"/>
  <c r="F950" i="118"/>
  <c r="H720" i="118"/>
  <c r="N720" i="118" s="1"/>
  <c r="G930" i="118"/>
  <c r="H809" i="118"/>
  <c r="F1076" i="118"/>
  <c r="H846" i="118"/>
  <c r="N846" i="118" s="1"/>
  <c r="H992" i="118"/>
  <c r="N992" i="118" s="1"/>
  <c r="F1222" i="118"/>
  <c r="H767" i="118"/>
  <c r="N767" i="118" s="1"/>
  <c r="F997" i="118"/>
  <c r="F1082" i="118"/>
  <c r="H852" i="118"/>
  <c r="N852" i="118" s="1"/>
  <c r="F1079" i="118"/>
  <c r="H849" i="118"/>
  <c r="N849" i="118" s="1"/>
  <c r="F1109" i="118"/>
  <c r="H879" i="118"/>
  <c r="N879" i="118" s="1"/>
  <c r="F1190" i="118"/>
  <c r="H960" i="118"/>
  <c r="N960" i="118" s="1"/>
  <c r="F1209" i="118"/>
  <c r="H979" i="118"/>
  <c r="N979" i="118" s="1"/>
  <c r="F1020" i="118"/>
  <c r="H790" i="118"/>
  <c r="N790" i="118" s="1"/>
  <c r="H939" i="118"/>
  <c r="N939" i="118" s="1"/>
  <c r="F1169" i="118"/>
  <c r="F1150" i="118"/>
  <c r="H920" i="118"/>
  <c r="F1160" i="118"/>
  <c r="H804" i="118"/>
  <c r="F1205" i="118"/>
  <c r="H975" i="118"/>
  <c r="N975" i="118" s="1"/>
  <c r="F1083" i="118"/>
  <c r="H853" i="118"/>
  <c r="N853" i="118" s="1"/>
  <c r="F1202" i="118"/>
  <c r="H972" i="118"/>
  <c r="N972" i="118" s="1"/>
  <c r="F1101" i="118"/>
  <c r="H871" i="118"/>
  <c r="N871" i="118" s="1"/>
  <c r="H811" i="118"/>
  <c r="F1148" i="118"/>
  <c r="H918" i="118"/>
  <c r="F1128" i="118"/>
  <c r="H898" i="118"/>
  <c r="N898" i="118" s="1"/>
  <c r="H856" i="118"/>
  <c r="N856" i="118" s="1"/>
  <c r="F1086" i="118"/>
  <c r="F1224" i="118"/>
  <c r="H994" i="118"/>
  <c r="N994" i="118" s="1"/>
  <c r="F1091" i="118"/>
  <c r="H861" i="118"/>
  <c r="N861" i="118" s="1"/>
  <c r="F1084" i="118"/>
  <c r="H854" i="118"/>
  <c r="N854" i="118" s="1"/>
  <c r="F1108" i="118"/>
  <c r="H878" i="118"/>
  <c r="N878" i="118" s="1"/>
  <c r="H818" i="118"/>
  <c r="H831" i="118"/>
  <c r="N831" i="118" s="1"/>
  <c r="F1061" i="118"/>
  <c r="F1015" i="118"/>
  <c r="H785" i="118"/>
  <c r="N785" i="118" s="1"/>
  <c r="H773" i="118"/>
  <c r="N773" i="118" s="1"/>
  <c r="F1003" i="118"/>
  <c r="H967" i="118"/>
  <c r="N967" i="118" s="1"/>
  <c r="F1197" i="118"/>
  <c r="H933" i="118"/>
  <c r="N933" i="118" s="1"/>
  <c r="F1163" i="118"/>
  <c r="F1136" i="118"/>
  <c r="H906" i="118"/>
  <c r="N906" i="118" s="1"/>
  <c r="F1189" i="118"/>
  <c r="H959" i="118"/>
  <c r="N959" i="118" s="1"/>
  <c r="H819" i="118"/>
  <c r="H797" i="118"/>
  <c r="N797" i="118" s="1"/>
  <c r="F1027" i="118"/>
  <c r="H942" i="118"/>
  <c r="N942" i="118" s="1"/>
  <c r="F1172" i="118"/>
  <c r="F1237" i="118"/>
  <c r="H1007" i="118"/>
  <c r="N1007" i="118" s="1"/>
  <c r="F1050" i="118"/>
  <c r="H820" i="118"/>
  <c r="N820" i="118" s="1"/>
  <c r="F1124" i="118"/>
  <c r="H894" i="118"/>
  <c r="N894" i="118" s="1"/>
  <c r="F1012" i="118"/>
  <c r="H782" i="118"/>
  <c r="N782" i="118" s="1"/>
  <c r="F1009" i="118"/>
  <c r="H779" i="118"/>
  <c r="N779" i="118" s="1"/>
  <c r="F932" i="118"/>
  <c r="H702" i="118"/>
  <c r="N702" i="118" s="1"/>
  <c r="F1204" i="118"/>
  <c r="H974" i="118"/>
  <c r="N974" i="118" s="1"/>
  <c r="F1060" i="118"/>
  <c r="H830" i="118"/>
  <c r="N830" i="118" s="1"/>
  <c r="H799" i="118"/>
  <c r="F1025" i="118"/>
  <c r="H795" i="118"/>
  <c r="N795" i="118" s="1"/>
  <c r="F1131" i="118"/>
  <c r="H901" i="118"/>
  <c r="N901" i="118" s="1"/>
  <c r="F1058" i="118"/>
  <c r="H828" i="118"/>
  <c r="N828" i="118" s="1"/>
  <c r="H800" i="118"/>
  <c r="H919" i="118"/>
  <c r="F1149" i="118"/>
  <c r="F1213" i="118"/>
  <c r="H983" i="118"/>
  <c r="N983" i="118" s="1"/>
  <c r="F1201" i="118"/>
  <c r="H971" i="118"/>
  <c r="N971" i="118" s="1"/>
  <c r="F1023" i="118"/>
  <c r="H793" i="118"/>
  <c r="N793" i="118" s="1"/>
  <c r="F1153" i="118"/>
  <c r="H923" i="118"/>
  <c r="H969" i="118"/>
  <c r="N969" i="118" s="1"/>
  <c r="F1199" i="118"/>
  <c r="H827" i="118"/>
  <c r="N827" i="118" s="1"/>
  <c r="F1057" i="118"/>
  <c r="F1073" i="118"/>
  <c r="H843" i="118"/>
  <c r="N843" i="118" s="1"/>
  <c r="F1142" i="118"/>
  <c r="H912" i="118"/>
  <c r="F1146" i="118"/>
  <c r="H916" i="118"/>
  <c r="H791" i="118"/>
  <c r="N791" i="118" s="1"/>
  <c r="F1021" i="118"/>
  <c r="F1002" i="118"/>
  <c r="H772" i="118"/>
  <c r="N772" i="118" s="1"/>
  <c r="F1175" i="118"/>
  <c r="H945" i="118"/>
  <c r="N945" i="118" s="1"/>
  <c r="F1206" i="118"/>
  <c r="H976" i="118"/>
  <c r="N976" i="118" s="1"/>
  <c r="F1358" i="118" l="1"/>
  <c r="H1128" i="118"/>
  <c r="N1128" i="118" s="1"/>
  <c r="F1241" i="118"/>
  <c r="H1011" i="118"/>
  <c r="N1011" i="118" s="1"/>
  <c r="F1355" i="118"/>
  <c r="H1125" i="118"/>
  <c r="N1125" i="118" s="1"/>
  <c r="F1426" i="118"/>
  <c r="H1196" i="118"/>
  <c r="N1196" i="118" s="1"/>
  <c r="H1154" i="118"/>
  <c r="F1384" i="118"/>
  <c r="H1015" i="118"/>
  <c r="N1015" i="118" s="1"/>
  <c r="F1245" i="118"/>
  <c r="F1320" i="118"/>
  <c r="H1090" i="118"/>
  <c r="N1090" i="118" s="1"/>
  <c r="F1449" i="118"/>
  <c r="H1219" i="118"/>
  <c r="N1219" i="118" s="1"/>
  <c r="H1213" i="118"/>
  <c r="N1213" i="118" s="1"/>
  <c r="F1443" i="118"/>
  <c r="G1160" i="118"/>
  <c r="F1482" i="118"/>
  <c r="H1252" i="118"/>
  <c r="N1252" i="118" s="1"/>
  <c r="F1359" i="118"/>
  <c r="H1129" i="118"/>
  <c r="N1129" i="118" s="1"/>
  <c r="F1373" i="118"/>
  <c r="H1143" i="118"/>
  <c r="H1062" i="118"/>
  <c r="F1408" i="118"/>
  <c r="H1178" i="118"/>
  <c r="N1178" i="118" s="1"/>
  <c r="H977" i="118"/>
  <c r="N977" i="118" s="1"/>
  <c r="F1207" i="118"/>
  <c r="F1330" i="118"/>
  <c r="H1100" i="118"/>
  <c r="N1100" i="118" s="1"/>
  <c r="F1381" i="118"/>
  <c r="H1151" i="118"/>
  <c r="F1409" i="118"/>
  <c r="H1179" i="118"/>
  <c r="N1179" i="118" s="1"/>
  <c r="H991" i="118"/>
  <c r="N991" i="118" s="1"/>
  <c r="F1221" i="118"/>
  <c r="H993" i="118"/>
  <c r="N993" i="118" s="1"/>
  <c r="F1223" i="118"/>
  <c r="F1332" i="118"/>
  <c r="H1102" i="118"/>
  <c r="N1102" i="118" s="1"/>
  <c r="F1329" i="118"/>
  <c r="H1099" i="118"/>
  <c r="N1099" i="118" s="1"/>
  <c r="H1204" i="118"/>
  <c r="N1204" i="118" s="1"/>
  <c r="F1434" i="118"/>
  <c r="F1226" i="118"/>
  <c r="H996" i="118"/>
  <c r="N996" i="118" s="1"/>
  <c r="F1379" i="118"/>
  <c r="H1149" i="118"/>
  <c r="F1321" i="118"/>
  <c r="H1091" i="118"/>
  <c r="N1091" i="118" s="1"/>
  <c r="F1378" i="118"/>
  <c r="H1148" i="118"/>
  <c r="F1313" i="118"/>
  <c r="H1083" i="118"/>
  <c r="N1083" i="118" s="1"/>
  <c r="F1452" i="118"/>
  <c r="H1222" i="118"/>
  <c r="N1222" i="118" s="1"/>
  <c r="H1008" i="118"/>
  <c r="N1008" i="118" s="1"/>
  <c r="F1238" i="118"/>
  <c r="F1186" i="118"/>
  <c r="H956" i="118"/>
  <c r="N956" i="118" s="1"/>
  <c r="F1301" i="118"/>
  <c r="H1071" i="118"/>
  <c r="N1071" i="118" s="1"/>
  <c r="F1362" i="118"/>
  <c r="H1132" i="118"/>
  <c r="N1132" i="118" s="1"/>
  <c r="F1370" i="118"/>
  <c r="H1140" i="118"/>
  <c r="N1140" i="118" s="1"/>
  <c r="F1464" i="118"/>
  <c r="H1234" i="118"/>
  <c r="N1234" i="118" s="1"/>
  <c r="F1423" i="118"/>
  <c r="H1193" i="118"/>
  <c r="N1193" i="118" s="1"/>
  <c r="F1404" i="118"/>
  <c r="H1174" i="118"/>
  <c r="N1174" i="118" s="1"/>
  <c r="F1247" i="118"/>
  <c r="H1017" i="118"/>
  <c r="N1017" i="118" s="1"/>
  <c r="F1323" i="118"/>
  <c r="H1093" i="118"/>
  <c r="N1093" i="118" s="1"/>
  <c r="F1374" i="118"/>
  <c r="H1144" i="118"/>
  <c r="F1405" i="118"/>
  <c r="H1175" i="118"/>
  <c r="N1175" i="118" s="1"/>
  <c r="H1142" i="118"/>
  <c r="F1372" i="118"/>
  <c r="F1383" i="118"/>
  <c r="H1153" i="118"/>
  <c r="F1255" i="118"/>
  <c r="H1025" i="118"/>
  <c r="N1025" i="118" s="1"/>
  <c r="F1162" i="118"/>
  <c r="H932" i="118"/>
  <c r="N932" i="118" s="1"/>
  <c r="F1280" i="118"/>
  <c r="H1050" i="118"/>
  <c r="N1050" i="118" s="1"/>
  <c r="F1427" i="118"/>
  <c r="H1197" i="118"/>
  <c r="N1197" i="118" s="1"/>
  <c r="H930" i="118"/>
  <c r="F1250" i="118"/>
  <c r="H1020" i="118"/>
  <c r="N1020" i="118" s="1"/>
  <c r="F1326" i="118"/>
  <c r="H1096" i="118"/>
  <c r="N1096" i="118" s="1"/>
  <c r="F1254" i="118"/>
  <c r="H1024" i="118"/>
  <c r="N1024" i="118" s="1"/>
  <c r="H1114" i="118"/>
  <c r="N1114" i="118" s="1"/>
  <c r="F1344" i="118"/>
  <c r="F1347" i="118"/>
  <c r="H1117" i="118"/>
  <c r="N1117" i="118" s="1"/>
  <c r="F1415" i="118"/>
  <c r="H1185" i="118"/>
  <c r="N1185" i="118" s="1"/>
  <c r="F1367" i="118"/>
  <c r="H1137" i="118"/>
  <c r="N1137" i="118" s="1"/>
  <c r="H1121" i="118"/>
  <c r="N1121" i="118" s="1"/>
  <c r="F1351" i="118"/>
  <c r="H1095" i="118"/>
  <c r="N1095" i="118" s="1"/>
  <c r="F1325" i="118"/>
  <c r="H1152" i="118"/>
  <c r="F1382" i="118"/>
  <c r="H1067" i="118"/>
  <c r="F1357" i="118"/>
  <c r="H1127" i="118"/>
  <c r="N1127" i="118" s="1"/>
  <c r="H1228" i="118"/>
  <c r="N1228" i="118" s="1"/>
  <c r="F1458" i="118"/>
  <c r="H1110" i="118"/>
  <c r="N1110" i="118" s="1"/>
  <c r="F1340" i="118"/>
  <c r="F1352" i="118"/>
  <c r="H1122" i="118"/>
  <c r="N1122" i="118" s="1"/>
  <c r="F1256" i="118"/>
  <c r="H1026" i="118"/>
  <c r="N1026" i="118" s="1"/>
  <c r="F1337" i="118"/>
  <c r="H1107" i="118"/>
  <c r="N1107" i="118" s="1"/>
  <c r="F1440" i="118"/>
  <c r="H1210" i="118"/>
  <c r="N1210" i="118" s="1"/>
  <c r="H1054" i="118"/>
  <c r="F1429" i="118"/>
  <c r="H1199" i="118"/>
  <c r="N1199" i="118" s="1"/>
  <c r="F1366" i="118"/>
  <c r="H1136" i="118"/>
  <c r="N1136" i="118" s="1"/>
  <c r="F1227" i="118"/>
  <c r="H997" i="118"/>
  <c r="N997" i="118" s="1"/>
  <c r="F1346" i="118"/>
  <c r="H1116" i="118"/>
  <c r="N1116" i="118" s="1"/>
  <c r="F1354" i="118"/>
  <c r="H1124" i="118"/>
  <c r="N1124" i="118" s="1"/>
  <c r="F1248" i="118"/>
  <c r="H1018" i="118"/>
  <c r="N1018" i="118" s="1"/>
  <c r="F1454" i="118"/>
  <c r="H1224" i="118"/>
  <c r="N1224" i="118" s="1"/>
  <c r="F1470" i="118"/>
  <c r="H1240" i="118"/>
  <c r="N1240" i="118" s="1"/>
  <c r="F1365" i="118"/>
  <c r="H1135" i="118"/>
  <c r="N1135" i="118" s="1"/>
  <c r="F1286" i="118"/>
  <c r="H1056" i="118"/>
  <c r="F1433" i="118"/>
  <c r="H1203" i="118"/>
  <c r="N1203" i="118" s="1"/>
  <c r="F1236" i="118"/>
  <c r="H1006" i="118"/>
  <c r="N1006" i="118" s="1"/>
  <c r="H1202" i="118"/>
  <c r="N1202" i="118" s="1"/>
  <c r="F1432" i="118"/>
  <c r="F1395" i="118"/>
  <c r="H1165" i="118"/>
  <c r="N1165" i="118" s="1"/>
  <c r="F1436" i="118"/>
  <c r="H1206" i="118"/>
  <c r="N1206" i="118" s="1"/>
  <c r="H1163" i="118"/>
  <c r="N1163" i="118" s="1"/>
  <c r="F1393" i="118"/>
  <c r="F1339" i="118"/>
  <c r="H1109" i="118"/>
  <c r="N1109" i="118" s="1"/>
  <c r="F1356" i="118"/>
  <c r="H1126" i="118"/>
  <c r="N1126" i="118" s="1"/>
  <c r="H1002" i="118"/>
  <c r="N1002" i="118" s="1"/>
  <c r="F1232" i="118"/>
  <c r="F1303" i="118"/>
  <c r="H1073" i="118"/>
  <c r="N1073" i="118" s="1"/>
  <c r="F1253" i="118"/>
  <c r="H1023" i="118"/>
  <c r="N1023" i="118" s="1"/>
  <c r="F1239" i="118"/>
  <c r="H1009" i="118"/>
  <c r="N1009" i="118" s="1"/>
  <c r="F1467" i="118"/>
  <c r="H1237" i="118"/>
  <c r="N1237" i="118" s="1"/>
  <c r="F1233" i="118"/>
  <c r="H1003" i="118"/>
  <c r="N1003" i="118" s="1"/>
  <c r="F1316" i="118"/>
  <c r="H1086" i="118"/>
  <c r="N1086" i="118" s="1"/>
  <c r="F1439" i="118"/>
  <c r="H1209" i="118"/>
  <c r="N1209" i="118" s="1"/>
  <c r="F1309" i="118"/>
  <c r="H1079" i="118"/>
  <c r="N1079" i="118" s="1"/>
  <c r="F1306" i="118"/>
  <c r="H1076" i="118"/>
  <c r="N1076" i="118" s="1"/>
  <c r="F1244" i="118"/>
  <c r="H1014" i="118"/>
  <c r="N1014" i="118" s="1"/>
  <c r="F1302" i="118"/>
  <c r="H1072" i="118"/>
  <c r="N1072" i="118" s="1"/>
  <c r="F1424" i="118"/>
  <c r="H1194" i="118"/>
  <c r="N1194" i="118" s="1"/>
  <c r="F1353" i="118"/>
  <c r="H1123" i="118"/>
  <c r="N1123" i="118" s="1"/>
  <c r="F1455" i="118"/>
  <c r="H1225" i="118"/>
  <c r="N1225" i="118" s="1"/>
  <c r="F1217" i="118"/>
  <c r="H987" i="118"/>
  <c r="N987" i="118" s="1"/>
  <c r="F1229" i="118"/>
  <c r="H999" i="118"/>
  <c r="N999" i="118" s="1"/>
  <c r="F1319" i="118"/>
  <c r="H1089" i="118"/>
  <c r="N1089" i="118" s="1"/>
  <c r="H1064" i="118"/>
  <c r="H1055" i="118"/>
  <c r="F1168" i="118"/>
  <c r="H938" i="118"/>
  <c r="N938" i="118" s="1"/>
  <c r="H1211" i="118"/>
  <c r="N1211" i="118" s="1"/>
  <c r="F1441" i="118"/>
  <c r="F1363" i="118"/>
  <c r="H1133" i="118"/>
  <c r="N1133" i="118" s="1"/>
  <c r="H1078" i="118"/>
  <c r="N1078" i="118" s="1"/>
  <c r="F1308" i="118"/>
  <c r="F1430" i="118"/>
  <c r="H1200" i="118"/>
  <c r="N1200" i="118" s="1"/>
  <c r="H1138" i="118"/>
  <c r="N1138" i="118" s="1"/>
  <c r="F1368" i="118"/>
  <c r="F1397" i="118"/>
  <c r="H1167" i="118"/>
  <c r="N1167" i="118" s="1"/>
  <c r="F1461" i="118"/>
  <c r="H1231" i="118"/>
  <c r="N1231" i="118" s="1"/>
  <c r="F1336" i="118"/>
  <c r="H1106" i="118"/>
  <c r="N1106" i="118" s="1"/>
  <c r="F1476" i="118"/>
  <c r="H1246" i="118"/>
  <c r="N1246" i="118" s="1"/>
  <c r="H1097" i="118"/>
  <c r="N1097" i="118" s="1"/>
  <c r="F1327" i="118"/>
  <c r="F1342" i="118"/>
  <c r="H1112" i="118"/>
  <c r="N1112" i="118" s="1"/>
  <c r="F1334" i="118"/>
  <c r="H1104" i="118"/>
  <c r="N1104" i="118" s="1"/>
  <c r="F1399" i="118"/>
  <c r="H1169" i="118"/>
  <c r="N1169" i="118" s="1"/>
  <c r="H1131" i="118"/>
  <c r="N1131" i="118" s="1"/>
  <c r="F1361" i="118"/>
  <c r="H1061" i="118"/>
  <c r="F1414" i="118"/>
  <c r="F1479" i="118"/>
  <c r="H1249" i="118"/>
  <c r="N1249" i="118" s="1"/>
  <c r="H1166" i="118"/>
  <c r="N1166" i="118" s="1"/>
  <c r="F1396" i="118"/>
  <c r="H1160" i="118"/>
  <c r="F1390" i="118"/>
  <c r="H1101" i="118"/>
  <c r="N1101" i="118" s="1"/>
  <c r="F1331" i="118"/>
  <c r="F1305" i="118"/>
  <c r="H1075" i="118"/>
  <c r="N1075" i="118" s="1"/>
  <c r="F1215" i="118"/>
  <c r="H985" i="118"/>
  <c r="N985" i="118" s="1"/>
  <c r="H1065" i="118"/>
  <c r="H941" i="118"/>
  <c r="N941" i="118" s="1"/>
  <c r="F1171" i="118"/>
  <c r="F1333" i="118"/>
  <c r="H1103" i="118"/>
  <c r="N1103" i="118" s="1"/>
  <c r="F1473" i="118"/>
  <c r="H1243" i="118"/>
  <c r="N1243" i="118" s="1"/>
  <c r="F1235" i="118"/>
  <c r="H1005" i="118"/>
  <c r="N1005" i="118" s="1"/>
  <c r="F1314" i="118"/>
  <c r="H1084" i="118"/>
  <c r="N1084" i="118" s="1"/>
  <c r="H1146" i="118"/>
  <c r="F1376" i="118"/>
  <c r="F1257" i="118"/>
  <c r="H1027" i="118"/>
  <c r="N1027" i="118" s="1"/>
  <c r="F1375" i="118"/>
  <c r="H1145" i="118"/>
  <c r="F1251" i="118"/>
  <c r="H1021" i="118"/>
  <c r="N1021" i="118" s="1"/>
  <c r="H1057" i="118"/>
  <c r="F1402" i="118"/>
  <c r="H1172" i="118"/>
  <c r="N1172" i="118" s="1"/>
  <c r="F1419" i="118"/>
  <c r="H1189" i="118"/>
  <c r="N1189" i="118" s="1"/>
  <c r="H1108" i="118"/>
  <c r="N1108" i="118" s="1"/>
  <c r="F1338" i="118"/>
  <c r="F1435" i="118"/>
  <c r="H1205" i="118"/>
  <c r="N1205" i="118" s="1"/>
  <c r="H1201" i="118"/>
  <c r="N1201" i="118" s="1"/>
  <c r="F1431" i="118"/>
  <c r="H1058" i="118"/>
  <c r="H1060" i="118"/>
  <c r="F1242" i="118"/>
  <c r="H1012" i="118"/>
  <c r="N1012" i="118" s="1"/>
  <c r="H1150" i="118"/>
  <c r="F1380" i="118"/>
  <c r="H1190" i="118"/>
  <c r="N1190" i="118" s="1"/>
  <c r="F1420" i="118"/>
  <c r="F1312" i="118"/>
  <c r="H1082" i="118"/>
  <c r="N1082" i="118" s="1"/>
  <c r="F1180" i="118"/>
  <c r="H950" i="118"/>
  <c r="N950" i="118" s="1"/>
  <c r="F1195" i="118"/>
  <c r="H965" i="118"/>
  <c r="N965" i="118" s="1"/>
  <c r="F1296" i="118"/>
  <c r="F1310" i="118"/>
  <c r="H1080" i="118"/>
  <c r="N1080" i="118" s="1"/>
  <c r="H1052" i="118"/>
  <c r="F1400" i="118"/>
  <c r="H1170" i="118"/>
  <c r="N1170" i="118" s="1"/>
  <c r="F1349" i="118"/>
  <c r="H1119" i="118"/>
  <c r="N1119" i="118" s="1"/>
  <c r="F1364" i="118"/>
  <c r="H1134" i="118"/>
  <c r="N1134" i="118" s="1"/>
  <c r="F1214" i="118"/>
  <c r="H984" i="118"/>
  <c r="N984" i="118" s="1"/>
  <c r="H1139" i="118"/>
  <c r="N1139" i="118" s="1"/>
  <c r="F1369" i="118"/>
  <c r="F1418" i="118"/>
  <c r="F1324" i="118"/>
  <c r="H1094" i="118"/>
  <c r="N1094" i="118" s="1"/>
  <c r="H1230" i="118"/>
  <c r="N1230" i="118" s="1"/>
  <c r="F1460" i="118"/>
  <c r="F1298" i="118"/>
  <c r="H1068" i="118"/>
  <c r="N1068" i="118" s="1"/>
  <c r="F1304" i="118"/>
  <c r="H1074" i="118"/>
  <c r="N1074" i="118" s="1"/>
  <c r="F1220" i="118"/>
  <c r="H990" i="118"/>
  <c r="N990" i="118" s="1"/>
  <c r="F1300" i="118"/>
  <c r="H1070" i="118"/>
  <c r="N1070" i="118" s="1"/>
  <c r="H1141" i="118"/>
  <c r="N1141" i="118" s="1"/>
  <c r="F1371" i="118"/>
  <c r="F1360" i="118"/>
  <c r="H1130" i="118"/>
  <c r="N1130" i="118" s="1"/>
  <c r="F1317" i="118"/>
  <c r="H1087" i="118"/>
  <c r="N1087" i="118" s="1"/>
  <c r="F1318" i="118"/>
  <c r="H1088" i="118"/>
  <c r="N1088" i="118" s="1"/>
  <c r="F1403" i="118"/>
  <c r="H1173" i="118"/>
  <c r="N1173" i="118" s="1"/>
  <c r="F1335" i="118"/>
  <c r="H1105" i="118"/>
  <c r="N1105" i="118" s="1"/>
  <c r="H1063" i="118"/>
  <c r="F1547" i="118" l="1"/>
  <c r="H1317" i="118"/>
  <c r="H1220" i="118"/>
  <c r="N1220" i="118" s="1"/>
  <c r="F1450" i="118"/>
  <c r="H1324" i="118"/>
  <c r="H1364" i="118"/>
  <c r="N1364" i="118" s="1"/>
  <c r="F1594" i="118"/>
  <c r="H1310" i="118"/>
  <c r="F1568" i="118"/>
  <c r="H1338" i="118"/>
  <c r="N1338" i="118" s="1"/>
  <c r="F1606" i="118"/>
  <c r="H1376" i="118"/>
  <c r="F1620" i="118"/>
  <c r="F1644" i="118"/>
  <c r="H1353" i="118"/>
  <c r="N1353" i="118" s="1"/>
  <c r="F1583" i="118"/>
  <c r="H1306" i="118"/>
  <c r="H1233" i="118"/>
  <c r="N1233" i="118" s="1"/>
  <c r="F1463" i="118"/>
  <c r="H1303" i="118"/>
  <c r="F1623" i="118"/>
  <c r="H1623" i="118" s="1"/>
  <c r="N1623" i="118" s="1"/>
  <c r="H1393" i="118"/>
  <c r="N1393" i="118" s="1"/>
  <c r="F1581" i="118"/>
  <c r="H1351" i="118"/>
  <c r="N1351" i="118" s="1"/>
  <c r="H1344" i="118"/>
  <c r="N1344" i="118" s="1"/>
  <c r="F1574" i="118"/>
  <c r="N930" i="118"/>
  <c r="F1634" i="118"/>
  <c r="H1634" i="118" s="1"/>
  <c r="N1634" i="118" s="1"/>
  <c r="H1404" i="118"/>
  <c r="N1404" i="118" s="1"/>
  <c r="F1656" i="118"/>
  <c r="H1656" i="118" s="1"/>
  <c r="N1656" i="118" s="1"/>
  <c r="H1426" i="118"/>
  <c r="N1426" i="118" s="1"/>
  <c r="H1312" i="118"/>
  <c r="H1251" i="118"/>
  <c r="N1251" i="118" s="1"/>
  <c r="F1481" i="118"/>
  <c r="H1333" i="118"/>
  <c r="F1445" i="118"/>
  <c r="H1215" i="118"/>
  <c r="N1215" i="118" s="1"/>
  <c r="N1160" i="118"/>
  <c r="H1334" i="118"/>
  <c r="H1336" i="118"/>
  <c r="F1660" i="118"/>
  <c r="H1660" i="118" s="1"/>
  <c r="N1660" i="118" s="1"/>
  <c r="H1430" i="118"/>
  <c r="N1430" i="118" s="1"/>
  <c r="H1168" i="118"/>
  <c r="N1168" i="118" s="1"/>
  <c r="F1398" i="118"/>
  <c r="F1462" i="118"/>
  <c r="H1232" i="118"/>
  <c r="N1232" i="118" s="1"/>
  <c r="F1466" i="118"/>
  <c r="H1236" i="118"/>
  <c r="N1236" i="118" s="1"/>
  <c r="F1584" i="118"/>
  <c r="H1354" i="118"/>
  <c r="N1354" i="118" s="1"/>
  <c r="H1429" i="118"/>
  <c r="N1429" i="118" s="1"/>
  <c r="F1659" i="118"/>
  <c r="H1659" i="118" s="1"/>
  <c r="N1659" i="118" s="1"/>
  <c r="F1486" i="118"/>
  <c r="H1256" i="118"/>
  <c r="N1256" i="118" s="1"/>
  <c r="F1587" i="118"/>
  <c r="H1357" i="118"/>
  <c r="N1357" i="118" s="1"/>
  <c r="H1255" i="118"/>
  <c r="N1255" i="118" s="1"/>
  <c r="F1485" i="118"/>
  <c r="F1604" i="118"/>
  <c r="H1374" i="118"/>
  <c r="H1362" i="118"/>
  <c r="N1362" i="118" s="1"/>
  <c r="F1592" i="118"/>
  <c r="H1452" i="118"/>
  <c r="N1452" i="118" s="1"/>
  <c r="F1682" i="118"/>
  <c r="H1682" i="118" s="1"/>
  <c r="N1682" i="118" s="1"/>
  <c r="H1379" i="118"/>
  <c r="F1609" i="118"/>
  <c r="H1329" i="118"/>
  <c r="F1639" i="118"/>
  <c r="H1639" i="118" s="1"/>
  <c r="N1639" i="118" s="1"/>
  <c r="H1409" i="118"/>
  <c r="N1409" i="118" s="1"/>
  <c r="F1638" i="118"/>
  <c r="H1638" i="118" s="1"/>
  <c r="N1638" i="118" s="1"/>
  <c r="H1408" i="118"/>
  <c r="N1408" i="118" s="1"/>
  <c r="H1482" i="118"/>
  <c r="N1482" i="118" s="1"/>
  <c r="F1712" i="118"/>
  <c r="H1712" i="118" s="1"/>
  <c r="N1712" i="118" s="1"/>
  <c r="F1550" i="118"/>
  <c r="H1320" i="118"/>
  <c r="F1590" i="118"/>
  <c r="H1360" i="118"/>
  <c r="N1360" i="118" s="1"/>
  <c r="H1304" i="118"/>
  <c r="F1579" i="118"/>
  <c r="H1349" i="118"/>
  <c r="N1349" i="118" s="1"/>
  <c r="F1650" i="118"/>
  <c r="H1650" i="118" s="1"/>
  <c r="N1650" i="118" s="1"/>
  <c r="H1420" i="118"/>
  <c r="N1420" i="118" s="1"/>
  <c r="F1401" i="118"/>
  <c r="H1171" i="118"/>
  <c r="N1171" i="118" s="1"/>
  <c r="H1308" i="118"/>
  <c r="H1229" i="118"/>
  <c r="N1229" i="118" s="1"/>
  <c r="F1459" i="118"/>
  <c r="F1654" i="118"/>
  <c r="H1654" i="118" s="1"/>
  <c r="N1654" i="118" s="1"/>
  <c r="H1424" i="118"/>
  <c r="N1424" i="118" s="1"/>
  <c r="H1309" i="118"/>
  <c r="H1467" i="118"/>
  <c r="N1467" i="118" s="1"/>
  <c r="F1697" i="118"/>
  <c r="H1697" i="118" s="1"/>
  <c r="N1697" i="118" s="1"/>
  <c r="H1470" i="118"/>
  <c r="N1470" i="118" s="1"/>
  <c r="F1700" i="118"/>
  <c r="H1700" i="118" s="1"/>
  <c r="N1700" i="118" s="1"/>
  <c r="F1653" i="118"/>
  <c r="H1653" i="118" s="1"/>
  <c r="N1653" i="118" s="1"/>
  <c r="H1423" i="118"/>
  <c r="N1423" i="118" s="1"/>
  <c r="F1475" i="118"/>
  <c r="H1245" i="118"/>
  <c r="N1245" i="118" s="1"/>
  <c r="F1585" i="118"/>
  <c r="H1355" i="118"/>
  <c r="N1355" i="118" s="1"/>
  <c r="F1648" i="118"/>
  <c r="F1601" i="118"/>
  <c r="H1371" i="118"/>
  <c r="N1371" i="118" s="1"/>
  <c r="F1599" i="118"/>
  <c r="H1369" i="118"/>
  <c r="N1369" i="118" s="1"/>
  <c r="F1649" i="118"/>
  <c r="H1649" i="118" s="1"/>
  <c r="N1649" i="118" s="1"/>
  <c r="H1419" i="118"/>
  <c r="N1419" i="118" s="1"/>
  <c r="H1314" i="118"/>
  <c r="F1626" i="118"/>
  <c r="H1626" i="118" s="1"/>
  <c r="N1626" i="118" s="1"/>
  <c r="H1396" i="118"/>
  <c r="N1396" i="118" s="1"/>
  <c r="H1361" i="118"/>
  <c r="N1361" i="118" s="1"/>
  <c r="F1591" i="118"/>
  <c r="F1572" i="118"/>
  <c r="H1342" i="118"/>
  <c r="N1342" i="118" s="1"/>
  <c r="H1461" i="118"/>
  <c r="N1461" i="118" s="1"/>
  <c r="F1691" i="118"/>
  <c r="H1691" i="118" s="1"/>
  <c r="N1691" i="118" s="1"/>
  <c r="H1436" i="118"/>
  <c r="N1436" i="118" s="1"/>
  <c r="F1666" i="118"/>
  <c r="H1666" i="118" s="1"/>
  <c r="N1666" i="118" s="1"/>
  <c r="F1663" i="118"/>
  <c r="H1663" i="118" s="1"/>
  <c r="N1663" i="118" s="1"/>
  <c r="H1433" i="118"/>
  <c r="N1433" i="118" s="1"/>
  <c r="F1576" i="118"/>
  <c r="H1346" i="118"/>
  <c r="N1346" i="118" s="1"/>
  <c r="F1582" i="118"/>
  <c r="H1352" i="118"/>
  <c r="N1352" i="118" s="1"/>
  <c r="H1367" i="118"/>
  <c r="N1367" i="118" s="1"/>
  <c r="F1597" i="118"/>
  <c r="F1484" i="118"/>
  <c r="H1254" i="118"/>
  <c r="N1254" i="118" s="1"/>
  <c r="F1657" i="118"/>
  <c r="H1657" i="118" s="1"/>
  <c r="N1657" i="118" s="1"/>
  <c r="H1427" i="118"/>
  <c r="N1427" i="118" s="1"/>
  <c r="F1613" i="118"/>
  <c r="H1383" i="118"/>
  <c r="H1301" i="118"/>
  <c r="H1313" i="118"/>
  <c r="F1456" i="118"/>
  <c r="H1226" i="118"/>
  <c r="N1226" i="118" s="1"/>
  <c r="H1332" i="118"/>
  <c r="H1381" i="118"/>
  <c r="F1611" i="118"/>
  <c r="G1390" i="118"/>
  <c r="H1403" i="118"/>
  <c r="N1403" i="118" s="1"/>
  <c r="F1633" i="118"/>
  <c r="H1633" i="118" s="1"/>
  <c r="N1633" i="118" s="1"/>
  <c r="H1298" i="118"/>
  <c r="N1298" i="118" s="1"/>
  <c r="F1528" i="118"/>
  <c r="F1630" i="118"/>
  <c r="H1630" i="118" s="1"/>
  <c r="N1630" i="118" s="1"/>
  <c r="H1400" i="118"/>
  <c r="N1400" i="118" s="1"/>
  <c r="H1195" i="118"/>
  <c r="N1195" i="118" s="1"/>
  <c r="F1425" i="118"/>
  <c r="H1380" i="118"/>
  <c r="F1610" i="118"/>
  <c r="F1661" i="118"/>
  <c r="H1661" i="118" s="1"/>
  <c r="N1661" i="118" s="1"/>
  <c r="H1431" i="118"/>
  <c r="N1431" i="118" s="1"/>
  <c r="H1305" i="118"/>
  <c r="H1327" i="118"/>
  <c r="F1447" i="118"/>
  <c r="H1217" i="118"/>
  <c r="N1217" i="118" s="1"/>
  <c r="H1302" i="118"/>
  <c r="F1669" i="118"/>
  <c r="H1669" i="118" s="1"/>
  <c r="N1669" i="118" s="1"/>
  <c r="H1439" i="118"/>
  <c r="N1439" i="118" s="1"/>
  <c r="H1239" i="118"/>
  <c r="N1239" i="118" s="1"/>
  <c r="F1469" i="118"/>
  <c r="F1684" i="118"/>
  <c r="H1684" i="118" s="1"/>
  <c r="N1684" i="118" s="1"/>
  <c r="H1454" i="118"/>
  <c r="N1454" i="118" s="1"/>
  <c r="H1340" i="118"/>
  <c r="N1340" i="118" s="1"/>
  <c r="F1570" i="118"/>
  <c r="F1612" i="118"/>
  <c r="H1382" i="118"/>
  <c r="F1602" i="118"/>
  <c r="H1372" i="118"/>
  <c r="H1323" i="118"/>
  <c r="H1434" i="118"/>
  <c r="N1434" i="118" s="1"/>
  <c r="F1664" i="118"/>
  <c r="H1664" i="118" s="1"/>
  <c r="N1664" i="118" s="1"/>
  <c r="F1453" i="118"/>
  <c r="H1223" i="118"/>
  <c r="N1223" i="118" s="1"/>
  <c r="H1443" i="118"/>
  <c r="N1443" i="118" s="1"/>
  <c r="F1673" i="118"/>
  <c r="H1673" i="118" s="1"/>
  <c r="N1673" i="118" s="1"/>
  <c r="F1614" i="118"/>
  <c r="H1384" i="118"/>
  <c r="H1335" i="118"/>
  <c r="F1690" i="118"/>
  <c r="H1690" i="118" s="1"/>
  <c r="N1690" i="118" s="1"/>
  <c r="H1460" i="118"/>
  <c r="N1460" i="118" s="1"/>
  <c r="H1402" i="118"/>
  <c r="N1402" i="118" s="1"/>
  <c r="F1632" i="118"/>
  <c r="H1632" i="118" s="1"/>
  <c r="N1632" i="118" s="1"/>
  <c r="H1375" i="118"/>
  <c r="F1605" i="118"/>
  <c r="F1465" i="118"/>
  <c r="H1235" i="118"/>
  <c r="N1235" i="118" s="1"/>
  <c r="H1331" i="118"/>
  <c r="H1397" i="118"/>
  <c r="N1397" i="118" s="1"/>
  <c r="F1627" i="118"/>
  <c r="H1627" i="118" s="1"/>
  <c r="N1627" i="118" s="1"/>
  <c r="F1593" i="118"/>
  <c r="H1363" i="118"/>
  <c r="N1363" i="118" s="1"/>
  <c r="F1586" i="118"/>
  <c r="H1356" i="118"/>
  <c r="N1356" i="118" s="1"/>
  <c r="F1625" i="118"/>
  <c r="H1625" i="118" s="1"/>
  <c r="N1625" i="118" s="1"/>
  <c r="H1395" i="118"/>
  <c r="N1395" i="118" s="1"/>
  <c r="F1516" i="118"/>
  <c r="H1227" i="118"/>
  <c r="N1227" i="118" s="1"/>
  <c r="F1457" i="118"/>
  <c r="F1670" i="118"/>
  <c r="H1670" i="118" s="1"/>
  <c r="N1670" i="118" s="1"/>
  <c r="H1440" i="118"/>
  <c r="N1440" i="118" s="1"/>
  <c r="F1645" i="118"/>
  <c r="H1645" i="118" s="1"/>
  <c r="N1645" i="118" s="1"/>
  <c r="H1415" i="118"/>
  <c r="N1415" i="118" s="1"/>
  <c r="H1326" i="118"/>
  <c r="F1510" i="118"/>
  <c r="H1280" i="118"/>
  <c r="N1280" i="118" s="1"/>
  <c r="H1464" i="118"/>
  <c r="N1464" i="118" s="1"/>
  <c r="F1694" i="118"/>
  <c r="H1694" i="118" s="1"/>
  <c r="N1694" i="118" s="1"/>
  <c r="F1416" i="118"/>
  <c r="H1186" i="118"/>
  <c r="N1186" i="118" s="1"/>
  <c r="F1608" i="118"/>
  <c r="H1378" i="118"/>
  <c r="H1330" i="118"/>
  <c r="H1373" i="118"/>
  <c r="F1603" i="118"/>
  <c r="H1241" i="118"/>
  <c r="N1241" i="118" s="1"/>
  <c r="F1471" i="118"/>
  <c r="F1548" i="118"/>
  <c r="H1318" i="118"/>
  <c r="H1300" i="118"/>
  <c r="F1444" i="118"/>
  <c r="H1214" i="118"/>
  <c r="N1214" i="118" s="1"/>
  <c r="H1180" i="118"/>
  <c r="N1180" i="118" s="1"/>
  <c r="F1410" i="118"/>
  <c r="F1709" i="118"/>
  <c r="H1709" i="118" s="1"/>
  <c r="N1709" i="118" s="1"/>
  <c r="H1479" i="118"/>
  <c r="N1479" i="118" s="1"/>
  <c r="F1598" i="118"/>
  <c r="H1368" i="118"/>
  <c r="N1368" i="118" s="1"/>
  <c r="H1441" i="118"/>
  <c r="N1441" i="118" s="1"/>
  <c r="F1671" i="118"/>
  <c r="H1671" i="118" s="1"/>
  <c r="N1671" i="118" s="1"/>
  <c r="H1455" i="118"/>
  <c r="N1455" i="118" s="1"/>
  <c r="F1685" i="118"/>
  <c r="H1685" i="118" s="1"/>
  <c r="N1685" i="118" s="1"/>
  <c r="H1244" i="118"/>
  <c r="N1244" i="118" s="1"/>
  <c r="F1474" i="118"/>
  <c r="H1316" i="118"/>
  <c r="F1546" i="118"/>
  <c r="H1253" i="118"/>
  <c r="N1253" i="118" s="1"/>
  <c r="F1483" i="118"/>
  <c r="F1662" i="118"/>
  <c r="H1662" i="118" s="1"/>
  <c r="N1662" i="118" s="1"/>
  <c r="H1432" i="118"/>
  <c r="N1432" i="118" s="1"/>
  <c r="H1458" i="118"/>
  <c r="N1458" i="118" s="1"/>
  <c r="F1688" i="118"/>
  <c r="H1688" i="118" s="1"/>
  <c r="N1688" i="118" s="1"/>
  <c r="H1325" i="118"/>
  <c r="F1477" i="118"/>
  <c r="H1247" i="118"/>
  <c r="N1247" i="118" s="1"/>
  <c r="F1468" i="118"/>
  <c r="H1238" i="118"/>
  <c r="N1238" i="118" s="1"/>
  <c r="H1221" i="118"/>
  <c r="N1221" i="118" s="1"/>
  <c r="F1451" i="118"/>
  <c r="H1207" i="118"/>
  <c r="N1207" i="118" s="1"/>
  <c r="F1437" i="118"/>
  <c r="F1472" i="118"/>
  <c r="H1242" i="118"/>
  <c r="N1242" i="118" s="1"/>
  <c r="F1665" i="118"/>
  <c r="H1665" i="118" s="1"/>
  <c r="N1665" i="118" s="1"/>
  <c r="H1435" i="118"/>
  <c r="N1435" i="118" s="1"/>
  <c r="H1257" i="118"/>
  <c r="N1257" i="118" s="1"/>
  <c r="F1487" i="118"/>
  <c r="F1703" i="118"/>
  <c r="H1703" i="118" s="1"/>
  <c r="N1703" i="118" s="1"/>
  <c r="H1473" i="118"/>
  <c r="N1473" i="118" s="1"/>
  <c r="F1629" i="118"/>
  <c r="H1629" i="118" s="1"/>
  <c r="N1629" i="118" s="1"/>
  <c r="H1399" i="118"/>
  <c r="N1399" i="118" s="1"/>
  <c r="H1476" i="118"/>
  <c r="N1476" i="118" s="1"/>
  <c r="F1706" i="118"/>
  <c r="H1706" i="118" s="1"/>
  <c r="N1706" i="118" s="1"/>
  <c r="H1319" i="118"/>
  <c r="F1549" i="118"/>
  <c r="F1569" i="118"/>
  <c r="H1339" i="118"/>
  <c r="N1339" i="118" s="1"/>
  <c r="H1365" i="118"/>
  <c r="N1365" i="118" s="1"/>
  <c r="F1595" i="118"/>
  <c r="F1478" i="118"/>
  <c r="H1248" i="118"/>
  <c r="N1248" i="118" s="1"/>
  <c r="H1366" i="118"/>
  <c r="N1366" i="118" s="1"/>
  <c r="F1596" i="118"/>
  <c r="F1567" i="118"/>
  <c r="H1337" i="118"/>
  <c r="N1337" i="118" s="1"/>
  <c r="F1577" i="118"/>
  <c r="H1347" i="118"/>
  <c r="N1347" i="118" s="1"/>
  <c r="F1480" i="118"/>
  <c r="H1250" i="118"/>
  <c r="N1250" i="118" s="1"/>
  <c r="F1392" i="118"/>
  <c r="H1162" i="118"/>
  <c r="N1162" i="118" s="1"/>
  <c r="F1635" i="118"/>
  <c r="H1635" i="118" s="1"/>
  <c r="N1635" i="118" s="1"/>
  <c r="H1405" i="118"/>
  <c r="N1405" i="118" s="1"/>
  <c r="F1600" i="118"/>
  <c r="H1370" i="118"/>
  <c r="N1370" i="118" s="1"/>
  <c r="F1551" i="118"/>
  <c r="H1321" i="118"/>
  <c r="N1321" i="118" s="1"/>
  <c r="F1589" i="118"/>
  <c r="H1359" i="118"/>
  <c r="N1359" i="118" s="1"/>
  <c r="F1679" i="118"/>
  <c r="H1679" i="118" s="1"/>
  <c r="N1679" i="118" s="1"/>
  <c r="H1449" i="118"/>
  <c r="N1449" i="118" s="1"/>
  <c r="H1358" i="118"/>
  <c r="N1358" i="118" s="1"/>
  <c r="F1588" i="118"/>
  <c r="F1778" i="118" l="1"/>
  <c r="H1608" i="118"/>
  <c r="F1838" i="118"/>
  <c r="H1838" i="118" s="1"/>
  <c r="F1746" i="118"/>
  <c r="H1614" i="118"/>
  <c r="F1844" i="118"/>
  <c r="H1844" i="118" s="1"/>
  <c r="H1601" i="118"/>
  <c r="N1601" i="118" s="1"/>
  <c r="F1831" i="118"/>
  <c r="H1831" i="118" s="1"/>
  <c r="N1831" i="118" s="1"/>
  <c r="F1631" i="118"/>
  <c r="H1631" i="118" s="1"/>
  <c r="N1631" i="118" s="1"/>
  <c r="H1401" i="118"/>
  <c r="N1401" i="118" s="1"/>
  <c r="H1445" i="118"/>
  <c r="N1445" i="118" s="1"/>
  <c r="F1675" i="118"/>
  <c r="H1675" i="118" s="1"/>
  <c r="N1675" i="118" s="1"/>
  <c r="H1581" i="118"/>
  <c r="N1581" i="118" s="1"/>
  <c r="F1811" i="118"/>
  <c r="H1811" i="118" s="1"/>
  <c r="F1781" i="118"/>
  <c r="H1781" i="118" s="1"/>
  <c r="N1781" i="118" s="1"/>
  <c r="H1551" i="118"/>
  <c r="N1551" i="118" s="1"/>
  <c r="F1640" i="118"/>
  <c r="H1640" i="118" s="1"/>
  <c r="N1640" i="118" s="1"/>
  <c r="H1410" i="118"/>
  <c r="N1410" i="118" s="1"/>
  <c r="F1701" i="118"/>
  <c r="H1701" i="118" s="1"/>
  <c r="N1701" i="118" s="1"/>
  <c r="H1471" i="118"/>
  <c r="N1471" i="118" s="1"/>
  <c r="H1447" i="118"/>
  <c r="N1447" i="118" s="1"/>
  <c r="F1677" i="118"/>
  <c r="H1677" i="118" s="1"/>
  <c r="N1677" i="118" s="1"/>
  <c r="H1610" i="118"/>
  <c r="F1840" i="118"/>
  <c r="H1840" i="118" s="1"/>
  <c r="F1843" i="118"/>
  <c r="H1843" i="118" s="1"/>
  <c r="H1613" i="118"/>
  <c r="H1587" i="118"/>
  <c r="N1587" i="118" s="1"/>
  <c r="F1817" i="118"/>
  <c r="H1817" i="118" s="1"/>
  <c r="N1817" i="118" s="1"/>
  <c r="F1696" i="118"/>
  <c r="H1696" i="118" s="1"/>
  <c r="N1696" i="118" s="1"/>
  <c r="H1466" i="118"/>
  <c r="N1466" i="118" s="1"/>
  <c r="F1813" i="118"/>
  <c r="H1813" i="118" s="1"/>
  <c r="N1813" i="118" s="1"/>
  <c r="H1583" i="118"/>
  <c r="N1583" i="118" s="1"/>
  <c r="F1836" i="118"/>
  <c r="H1836" i="118" s="1"/>
  <c r="H1606" i="118"/>
  <c r="F1698" i="118"/>
  <c r="H1698" i="118" s="1"/>
  <c r="N1698" i="118" s="1"/>
  <c r="H1468" i="118"/>
  <c r="N1468" i="118" s="1"/>
  <c r="F1646" i="118"/>
  <c r="H1646" i="118" s="1"/>
  <c r="N1646" i="118" s="1"/>
  <c r="H1416" i="118"/>
  <c r="N1416" i="118" s="1"/>
  <c r="F1832" i="118"/>
  <c r="H1832" i="118" s="1"/>
  <c r="H1602" i="118"/>
  <c r="H1469" i="118"/>
  <c r="N1469" i="118" s="1"/>
  <c r="F1699" i="118"/>
  <c r="H1699" i="118" s="1"/>
  <c r="N1699" i="118" s="1"/>
  <c r="H1582" i="118"/>
  <c r="N1582" i="118" s="1"/>
  <c r="F1812" i="118"/>
  <c r="H1812" i="118" s="1"/>
  <c r="N1812" i="118" s="1"/>
  <c r="H1459" i="118"/>
  <c r="N1459" i="118" s="1"/>
  <c r="F1689" i="118"/>
  <c r="H1689" i="118" s="1"/>
  <c r="N1689" i="118" s="1"/>
  <c r="F1822" i="118"/>
  <c r="H1822" i="118" s="1"/>
  <c r="N1822" i="118" s="1"/>
  <c r="H1592" i="118"/>
  <c r="N1592" i="118" s="1"/>
  <c r="F1830" i="118"/>
  <c r="H1830" i="118" s="1"/>
  <c r="N1830" i="118" s="1"/>
  <c r="H1600" i="118"/>
  <c r="N1600" i="118" s="1"/>
  <c r="F1807" i="118"/>
  <c r="H1807" i="118" s="1"/>
  <c r="N1807" i="118" s="1"/>
  <c r="H1577" i="118"/>
  <c r="N1577" i="118" s="1"/>
  <c r="F1713" i="118"/>
  <c r="H1713" i="118" s="1"/>
  <c r="N1713" i="118" s="1"/>
  <c r="H1483" i="118"/>
  <c r="N1483" i="118" s="1"/>
  <c r="F1833" i="118"/>
  <c r="H1833" i="118" s="1"/>
  <c r="H1603" i="118"/>
  <c r="H1425" i="118"/>
  <c r="N1425" i="118" s="1"/>
  <c r="F1655" i="118"/>
  <c r="H1655" i="118" s="1"/>
  <c r="N1655" i="118" s="1"/>
  <c r="F1686" i="118"/>
  <c r="H1686" i="118" s="1"/>
  <c r="N1686" i="118" s="1"/>
  <c r="H1456" i="118"/>
  <c r="N1456" i="118" s="1"/>
  <c r="H1590" i="118"/>
  <c r="N1590" i="118" s="1"/>
  <c r="F1820" i="118"/>
  <c r="H1820" i="118" s="1"/>
  <c r="N1820" i="118" s="1"/>
  <c r="F1716" i="118"/>
  <c r="H1716" i="118" s="1"/>
  <c r="N1716" i="118" s="1"/>
  <c r="H1486" i="118"/>
  <c r="N1486" i="118" s="1"/>
  <c r="F1692" i="118"/>
  <c r="H1692" i="118" s="1"/>
  <c r="N1692" i="118" s="1"/>
  <c r="H1462" i="118"/>
  <c r="N1462" i="118" s="1"/>
  <c r="H1481" i="118"/>
  <c r="N1481" i="118" s="1"/>
  <c r="F1711" i="118"/>
  <c r="H1711" i="118" s="1"/>
  <c r="N1711" i="118" s="1"/>
  <c r="F1798" i="118"/>
  <c r="H1798" i="118" s="1"/>
  <c r="N1798" i="118" s="1"/>
  <c r="H1568" i="118"/>
  <c r="N1568" i="118" s="1"/>
  <c r="F1680" i="118"/>
  <c r="H1680" i="118" s="1"/>
  <c r="N1680" i="118" s="1"/>
  <c r="H1450" i="118"/>
  <c r="N1450" i="118" s="1"/>
  <c r="H1472" i="118"/>
  <c r="N1472" i="118" s="1"/>
  <c r="F1702" i="118"/>
  <c r="H1702" i="118" s="1"/>
  <c r="N1702" i="118" s="1"/>
  <c r="F1707" i="118"/>
  <c r="H1707" i="118" s="1"/>
  <c r="N1707" i="118" s="1"/>
  <c r="H1477" i="118"/>
  <c r="N1477" i="118" s="1"/>
  <c r="F1674" i="118"/>
  <c r="H1674" i="118" s="1"/>
  <c r="N1674" i="118" s="1"/>
  <c r="H1444" i="118"/>
  <c r="N1444" i="118" s="1"/>
  <c r="F1816" i="118"/>
  <c r="H1816" i="118" s="1"/>
  <c r="N1816" i="118" s="1"/>
  <c r="H1586" i="118"/>
  <c r="N1586" i="118" s="1"/>
  <c r="H1453" i="118"/>
  <c r="N1453" i="118" s="1"/>
  <c r="F1683" i="118"/>
  <c r="H1683" i="118" s="1"/>
  <c r="N1683" i="118" s="1"/>
  <c r="H1612" i="118"/>
  <c r="F1842" i="118"/>
  <c r="H1842" i="118" s="1"/>
  <c r="G1620" i="118"/>
  <c r="F1806" i="118"/>
  <c r="H1576" i="118"/>
  <c r="H1572" i="118"/>
  <c r="F1815" i="118"/>
  <c r="H1815" i="118" s="1"/>
  <c r="N1815" i="118" s="1"/>
  <c r="H1585" i="118"/>
  <c r="N1585" i="118" s="1"/>
  <c r="H1398" i="118"/>
  <c r="N1398" i="118" s="1"/>
  <c r="F1628" i="118"/>
  <c r="H1628" i="118" s="1"/>
  <c r="N1628" i="118" s="1"/>
  <c r="F1710" i="118"/>
  <c r="H1710" i="118" s="1"/>
  <c r="N1710" i="118" s="1"/>
  <c r="H1480" i="118"/>
  <c r="N1480" i="118" s="1"/>
  <c r="F1825" i="118"/>
  <c r="H1825" i="118" s="1"/>
  <c r="N1825" i="118" s="1"/>
  <c r="H1595" i="118"/>
  <c r="N1595" i="118" s="1"/>
  <c r="F1797" i="118"/>
  <c r="H1797" i="118" s="1"/>
  <c r="N1797" i="118" s="1"/>
  <c r="H1567" i="118"/>
  <c r="N1567" i="118" s="1"/>
  <c r="F1799" i="118"/>
  <c r="H1799" i="118" s="1"/>
  <c r="N1799" i="118" s="1"/>
  <c r="H1569" i="118"/>
  <c r="N1569" i="118" s="1"/>
  <c r="F1667" i="118"/>
  <c r="H1667" i="118" s="1"/>
  <c r="N1667" i="118" s="1"/>
  <c r="H1437" i="118"/>
  <c r="N1437" i="118" s="1"/>
  <c r="F1776" i="118"/>
  <c r="F1687" i="118"/>
  <c r="H1687" i="118" s="1"/>
  <c r="N1687" i="118" s="1"/>
  <c r="H1457" i="118"/>
  <c r="N1457" i="118" s="1"/>
  <c r="F1695" i="118"/>
  <c r="H1695" i="118" s="1"/>
  <c r="N1695" i="118" s="1"/>
  <c r="H1465" i="118"/>
  <c r="N1465" i="118" s="1"/>
  <c r="F1800" i="118"/>
  <c r="H1800" i="118" s="1"/>
  <c r="N1800" i="118" s="1"/>
  <c r="H1570" i="118"/>
  <c r="N1570" i="118" s="1"/>
  <c r="F1714" i="118"/>
  <c r="H1714" i="118" s="1"/>
  <c r="N1714" i="118" s="1"/>
  <c r="H1484" i="118"/>
  <c r="N1484" i="118" s="1"/>
  <c r="F1821" i="118"/>
  <c r="H1821" i="118" s="1"/>
  <c r="N1821" i="118" s="1"/>
  <c r="H1591" i="118"/>
  <c r="N1591" i="118" s="1"/>
  <c r="F1780" i="118"/>
  <c r="H1604" i="118"/>
  <c r="F1834" i="118"/>
  <c r="H1834" i="118" s="1"/>
  <c r="H1574" i="118"/>
  <c r="F1693" i="118"/>
  <c r="H1693" i="118" s="1"/>
  <c r="N1693" i="118" s="1"/>
  <c r="H1463" i="118"/>
  <c r="N1463" i="118" s="1"/>
  <c r="H1390" i="118"/>
  <c r="F1708" i="118"/>
  <c r="H1708" i="118" s="1"/>
  <c r="N1708" i="118" s="1"/>
  <c r="H1478" i="118"/>
  <c r="N1478" i="118" s="1"/>
  <c r="H1588" i="118"/>
  <c r="N1588" i="118" s="1"/>
  <c r="F1818" i="118"/>
  <c r="H1818" i="118" s="1"/>
  <c r="N1818" i="118" s="1"/>
  <c r="H1596" i="118"/>
  <c r="N1596" i="118" s="1"/>
  <c r="F1826" i="118"/>
  <c r="H1826" i="118" s="1"/>
  <c r="N1826" i="118" s="1"/>
  <c r="F1779" i="118"/>
  <c r="F1717" i="118"/>
  <c r="H1717" i="118" s="1"/>
  <c r="N1717" i="118" s="1"/>
  <c r="H1487" i="118"/>
  <c r="N1487" i="118" s="1"/>
  <c r="F1828" i="118"/>
  <c r="H1828" i="118" s="1"/>
  <c r="N1828" i="118" s="1"/>
  <c r="H1598" i="118"/>
  <c r="N1598" i="118" s="1"/>
  <c r="H1510" i="118"/>
  <c r="N1510" i="118" s="1"/>
  <c r="F1740" i="118"/>
  <c r="H1740" i="118" s="1"/>
  <c r="N1740" i="118" s="1"/>
  <c r="F1823" i="118"/>
  <c r="H1823" i="118" s="1"/>
  <c r="N1823" i="118" s="1"/>
  <c r="H1593" i="118"/>
  <c r="N1593" i="118" s="1"/>
  <c r="F1835" i="118"/>
  <c r="H1835" i="118" s="1"/>
  <c r="H1605" i="118"/>
  <c r="H1611" i="118"/>
  <c r="F1841" i="118"/>
  <c r="H1841" i="118" s="1"/>
  <c r="H1597" i="118"/>
  <c r="N1597" i="118" s="1"/>
  <c r="F1827" i="118"/>
  <c r="H1827" i="118" s="1"/>
  <c r="N1827" i="118" s="1"/>
  <c r="H1599" i="118"/>
  <c r="N1599" i="118" s="1"/>
  <c r="F1829" i="118"/>
  <c r="H1829" i="118" s="1"/>
  <c r="N1829" i="118" s="1"/>
  <c r="F1705" i="118"/>
  <c r="H1705" i="118" s="1"/>
  <c r="N1705" i="118" s="1"/>
  <c r="H1475" i="118"/>
  <c r="N1475" i="118" s="1"/>
  <c r="F1839" i="118"/>
  <c r="H1839" i="118" s="1"/>
  <c r="H1609" i="118"/>
  <c r="F1715" i="118"/>
  <c r="H1715" i="118" s="1"/>
  <c r="N1715" i="118" s="1"/>
  <c r="H1485" i="118"/>
  <c r="N1485" i="118" s="1"/>
  <c r="F1777" i="118"/>
  <c r="F1819" i="118"/>
  <c r="H1819" i="118" s="1"/>
  <c r="N1819" i="118" s="1"/>
  <c r="H1589" i="118"/>
  <c r="N1589" i="118" s="1"/>
  <c r="F1622" i="118"/>
  <c r="H1622" i="118" s="1"/>
  <c r="N1622" i="118" s="1"/>
  <c r="H1392" i="118"/>
  <c r="N1392" i="118" s="1"/>
  <c r="H1451" i="118"/>
  <c r="N1451" i="118" s="1"/>
  <c r="F1681" i="118"/>
  <c r="H1681" i="118" s="1"/>
  <c r="N1681" i="118" s="1"/>
  <c r="H1474" i="118"/>
  <c r="N1474" i="118" s="1"/>
  <c r="F1704" i="118"/>
  <c r="H1704" i="118" s="1"/>
  <c r="N1704" i="118" s="1"/>
  <c r="F1758" i="118"/>
  <c r="H1758" i="118" s="1"/>
  <c r="N1758" i="118" s="1"/>
  <c r="H1528" i="118"/>
  <c r="N1528" i="118" s="1"/>
  <c r="F1809" i="118"/>
  <c r="H1809" i="118" s="1"/>
  <c r="H1579" i="118"/>
  <c r="N1579" i="118" s="1"/>
  <c r="F1814" i="118"/>
  <c r="H1814" i="118" s="1"/>
  <c r="N1814" i="118" s="1"/>
  <c r="H1584" i="118"/>
  <c r="N1584" i="118" s="1"/>
  <c r="H1620" i="118"/>
  <c r="F1824" i="118"/>
  <c r="H1824" i="118" s="1"/>
  <c r="N1824" i="118" s="1"/>
  <c r="H1594" i="118"/>
  <c r="N1594" i="118" s="1"/>
  <c r="N1390" i="118" l="1"/>
  <c r="N1620" i="118"/>
  <c r="F1802" i="118"/>
  <c r="M1092" i="118" l="1"/>
  <c r="F1031" i="118"/>
  <c r="M1267" i="118"/>
  <c r="F1043" i="118"/>
  <c r="M821" i="118"/>
  <c r="M823" i="118"/>
  <c r="F1288" i="118"/>
  <c r="M836" i="118"/>
  <c r="M839" i="118"/>
  <c r="F1534" i="118"/>
  <c r="M1537" i="118"/>
  <c r="M851" i="118"/>
  <c r="F1085" i="118"/>
  <c r="M1318" i="118"/>
  <c r="M1552" i="118"/>
  <c r="F1098" i="118"/>
  <c r="F1561" i="118"/>
  <c r="M1734" i="118"/>
  <c r="F1034" i="118"/>
  <c r="F1046" i="118"/>
  <c r="M1281" i="118"/>
  <c r="M1283" i="118"/>
  <c r="F1291" i="118"/>
  <c r="M1296" i="118"/>
  <c r="M1069" i="118"/>
  <c r="F1535" i="118"/>
  <c r="M1767" i="118"/>
  <c r="M1081" i="118"/>
  <c r="M1319" i="118"/>
  <c r="M1782" i="118"/>
  <c r="F1562" i="118"/>
  <c r="M881" i="118"/>
  <c r="M883" i="118"/>
  <c r="M885" i="118"/>
  <c r="M888" i="118"/>
  <c r="M890" i="118"/>
  <c r="M1722" i="118"/>
  <c r="F1042" i="118"/>
  <c r="F1560" i="118"/>
  <c r="M1497" i="118"/>
  <c r="F1035" i="118"/>
  <c r="M1727" i="118"/>
  <c r="F1047" i="118"/>
  <c r="M1511" i="118"/>
  <c r="M1513" i="118"/>
  <c r="F1059" i="118"/>
  <c r="F1292" i="118"/>
  <c r="M1526" i="118"/>
  <c r="M1529" i="118"/>
  <c r="F1536" i="118"/>
  <c r="M1541" i="118"/>
  <c r="M855" i="118"/>
  <c r="M1320" i="118"/>
  <c r="F1553" i="118"/>
  <c r="M868" i="118"/>
  <c r="F1563" i="118"/>
  <c r="M1111" i="118"/>
  <c r="M1113" i="118"/>
  <c r="M1115" i="118"/>
  <c r="M1118" i="118"/>
  <c r="M1120" i="118"/>
  <c r="F1526" i="118"/>
  <c r="M1077" i="118"/>
  <c r="F1113" i="118"/>
  <c r="F1036" i="118"/>
  <c r="F1048" i="118"/>
  <c r="M1741" i="118"/>
  <c r="M1743" i="118"/>
  <c r="F1293" i="118"/>
  <c r="M1756" i="118"/>
  <c r="M1759" i="118"/>
  <c r="F1539" i="118"/>
  <c r="M1771" i="118"/>
  <c r="M1085" i="118"/>
  <c r="F1554" i="118"/>
  <c r="M1098" i="118"/>
  <c r="F1564" i="118"/>
  <c r="M1341" i="118"/>
  <c r="M1343" i="118"/>
  <c r="M1345" i="118"/>
  <c r="M1348" i="118"/>
  <c r="M1350" i="118"/>
  <c r="F1030" i="118"/>
  <c r="M1749" i="118"/>
  <c r="M1317" i="118"/>
  <c r="F1111" i="118"/>
  <c r="I1155" i="118"/>
  <c r="I1385" i="118"/>
  <c r="F1038" i="118"/>
  <c r="M1032" i="118"/>
  <c r="F1039" i="118"/>
  <c r="M1044" i="118"/>
  <c r="F1049" i="118"/>
  <c r="F1282" i="118"/>
  <c r="F1284" i="118"/>
  <c r="M829" i="118"/>
  <c r="F1294" i="118"/>
  <c r="F1297" i="118"/>
  <c r="F1530" i="118"/>
  <c r="F1077" i="118"/>
  <c r="F1540" i="118"/>
  <c r="M1545" i="118"/>
  <c r="F1092" i="118"/>
  <c r="F1555" i="118"/>
  <c r="M1558" i="118"/>
  <c r="F1565" i="118"/>
  <c r="M1801" i="118"/>
  <c r="M1803" i="118"/>
  <c r="M1805" i="118"/>
  <c r="M1578" i="118"/>
  <c r="M1580" i="118"/>
  <c r="F1533" i="118"/>
  <c r="F1115" i="118"/>
  <c r="F1120" i="118"/>
  <c r="I1845" i="118"/>
  <c r="M1262" i="118"/>
  <c r="F1285" i="118"/>
  <c r="M1289" i="118"/>
  <c r="F1295" i="118"/>
  <c r="F1531" i="118"/>
  <c r="F1543" i="118"/>
  <c r="M1775" i="118"/>
  <c r="F1556" i="118"/>
  <c r="M1788" i="118"/>
  <c r="F1566" i="118"/>
  <c r="M1576" i="118"/>
  <c r="M1811" i="118"/>
  <c r="N1811" i="118" s="1"/>
  <c r="M1037" i="118"/>
  <c r="F1287" i="118"/>
  <c r="F1118" i="118"/>
  <c r="I1615" i="118"/>
  <c r="F1040" i="118"/>
  <c r="M1274" i="118"/>
  <c r="F1029" i="118"/>
  <c r="M1492" i="118"/>
  <c r="F1041" i="118"/>
  <c r="M1504" i="118"/>
  <c r="F1051" i="118"/>
  <c r="F1053" i="118"/>
  <c r="M1056" i="118"/>
  <c r="M1519" i="118"/>
  <c r="F1069" i="118"/>
  <c r="F1532" i="118"/>
  <c r="M847" i="118"/>
  <c r="F1081" i="118"/>
  <c r="F1544" i="118"/>
  <c r="M1316" i="118"/>
  <c r="M862" i="118"/>
  <c r="F1557" i="118"/>
  <c r="F1559" i="118"/>
  <c r="M1574" i="118"/>
  <c r="G1804" i="118" s="1"/>
  <c r="M1329" i="118" l="1"/>
  <c r="M800" i="118"/>
  <c r="F1044" i="118"/>
  <c r="M1303" i="118"/>
  <c r="M816" i="118"/>
  <c r="M1326" i="118"/>
  <c r="F1789" i="118"/>
  <c r="F1271" i="118"/>
  <c r="F1796" i="118"/>
  <c r="F1525" i="118"/>
  <c r="G363" i="118"/>
  <c r="H133" i="118"/>
  <c r="N133" i="118" s="1"/>
  <c r="F1792" i="118"/>
  <c r="F1765" i="118"/>
  <c r="F1791" i="118"/>
  <c r="F1764" i="118"/>
  <c r="F1273" i="118"/>
  <c r="F1261" i="118"/>
  <c r="F1785" i="118"/>
  <c r="F1770" i="118"/>
  <c r="F1524" i="118"/>
  <c r="F1512" i="118"/>
  <c r="F1269" i="118"/>
  <c r="F1794" i="118"/>
  <c r="F1783" i="118"/>
  <c r="F1328" i="118"/>
  <c r="F1290" i="118"/>
  <c r="M1333" i="118"/>
  <c r="M1332" i="118"/>
  <c r="M1304" i="118"/>
  <c r="F1283" i="118"/>
  <c r="F1028" i="118"/>
  <c r="M1063" i="118"/>
  <c r="M1305" i="118"/>
  <c r="M805" i="118"/>
  <c r="M1572" i="118"/>
  <c r="M818" i="118"/>
  <c r="F1787" i="118"/>
  <c r="F1774" i="118"/>
  <c r="F1762" i="118"/>
  <c r="F1270" i="118"/>
  <c r="F1348" i="118"/>
  <c r="G1806" i="118"/>
  <c r="H1806" i="118" s="1"/>
  <c r="N1806" i="118" s="1"/>
  <c r="N1576" i="118"/>
  <c r="F1773" i="118"/>
  <c r="F1350" i="118"/>
  <c r="F1322" i="118"/>
  <c r="F1307" i="118"/>
  <c r="M1028" i="118"/>
  <c r="F1756" i="118"/>
  <c r="G1550" i="118"/>
  <c r="N1320" i="118"/>
  <c r="F1538" i="118"/>
  <c r="F1521" i="118"/>
  <c r="M813" i="118"/>
  <c r="M1312" i="118"/>
  <c r="G1542" i="118" s="1"/>
  <c r="G1772" i="118" s="1"/>
  <c r="M1064" i="118"/>
  <c r="M812" i="118"/>
  <c r="M1054" i="118"/>
  <c r="M806" i="118"/>
  <c r="M1325" i="118"/>
  <c r="M1058" i="118"/>
  <c r="F1311" i="118"/>
  <c r="F1299" i="118"/>
  <c r="F1281" i="118"/>
  <c r="M1718" i="118"/>
  <c r="F1279" i="118"/>
  <c r="F1793" i="118"/>
  <c r="F1522" i="118"/>
  <c r="F1277" i="118"/>
  <c r="F1790" i="118"/>
  <c r="M1301" i="118"/>
  <c r="M1323" i="118"/>
  <c r="F1037" i="118"/>
  <c r="M810" i="118"/>
  <c r="M1313" i="118"/>
  <c r="M1065" i="118"/>
  <c r="M801" i="118"/>
  <c r="M1334" i="118"/>
  <c r="M1061" i="118"/>
  <c r="M808" i="118"/>
  <c r="F1804" i="118"/>
  <c r="H1804" i="118" s="1"/>
  <c r="N1804" i="118" s="1"/>
  <c r="N1574" i="118"/>
  <c r="F1786" i="118"/>
  <c r="F1345" i="118"/>
  <c r="M1488" i="118"/>
  <c r="M1615" i="118" s="1"/>
  <c r="J1615" i="118"/>
  <c r="F1341" i="118"/>
  <c r="F1343" i="118"/>
  <c r="F1289" i="118"/>
  <c r="F1276" i="118"/>
  <c r="F1518" i="118"/>
  <c r="M1300" i="118"/>
  <c r="M1308" i="118"/>
  <c r="G1538" i="118" s="1"/>
  <c r="G1768" i="118" s="1"/>
  <c r="M1060" i="118"/>
  <c r="G1290" i="118" s="1"/>
  <c r="G1520" i="118" s="1"/>
  <c r="G1750" i="118" s="1"/>
  <c r="F1032" i="118"/>
  <c r="M1314" i="118"/>
  <c r="M1052" i="118"/>
  <c r="M1331" i="118"/>
  <c r="M811" i="118"/>
  <c r="M1336" i="118"/>
  <c r="M1302" i="118"/>
  <c r="M819" i="118"/>
  <c r="F1517" i="118"/>
  <c r="F1795" i="118"/>
  <c r="F1760" i="118"/>
  <c r="F1260" i="118"/>
  <c r="F1523" i="118"/>
  <c r="F1278" i="118"/>
  <c r="F1766" i="118"/>
  <c r="G1549" i="118"/>
  <c r="N1319" i="118"/>
  <c r="G1548" i="118"/>
  <c r="N1318" i="118"/>
  <c r="F1045" i="118"/>
  <c r="F1033" i="118"/>
  <c r="M1306" i="118"/>
  <c r="M1062" i="118"/>
  <c r="M1330" i="118"/>
  <c r="M1055" i="118"/>
  <c r="M1324" i="118"/>
  <c r="M804" i="118"/>
  <c r="F1259" i="118"/>
  <c r="F1761" i="118"/>
  <c r="F1515" i="118"/>
  <c r="F1542" i="118"/>
  <c r="N1312" i="118"/>
  <c r="G1547" i="118"/>
  <c r="N1317" i="118"/>
  <c r="F1264" i="118"/>
  <c r="M815" i="118"/>
  <c r="G1045" i="118" s="1"/>
  <c r="G1275" i="118" s="1"/>
  <c r="G1505" i="118" s="1"/>
  <c r="G1735" i="118" s="1"/>
  <c r="M803" i="118"/>
  <c r="G1033" i="118" s="1"/>
  <c r="G1263" i="118" s="1"/>
  <c r="G1493" i="118" s="1"/>
  <c r="G1723" i="118" s="1"/>
  <c r="M1310" i="118"/>
  <c r="M817" i="118"/>
  <c r="M1309" i="118"/>
  <c r="M1327" i="118"/>
  <c r="M1335" i="118"/>
  <c r="M1067" i="118"/>
  <c r="M809" i="118"/>
  <c r="M1809" i="118"/>
  <c r="N1809" i="118" s="1"/>
  <c r="M1057" i="118"/>
  <c r="G1546" i="118"/>
  <c r="N1316" i="118"/>
  <c r="G1286" i="118"/>
  <c r="N1056" i="118"/>
  <c r="M1258" i="118"/>
  <c r="J1385" i="118"/>
  <c r="F1763" i="118"/>
  <c r="F1527" i="118"/>
  <c r="F1514" i="118"/>
  <c r="F1268" i="118"/>
  <c r="F1784" i="118"/>
  <c r="F1769" i="118"/>
  <c r="F1266" i="118"/>
  <c r="F1265" i="118"/>
  <c r="F1272" i="118"/>
  <c r="F1315" i="118"/>
  <c r="F1545" i="118" l="1"/>
  <c r="G1776" i="118"/>
  <c r="H1776" i="118" s="1"/>
  <c r="N1776" i="118" s="1"/>
  <c r="H1546" i="118"/>
  <c r="N1546" i="118" s="1"/>
  <c r="G1292" i="118"/>
  <c r="N1062" i="118"/>
  <c r="F1747" i="118"/>
  <c r="G421" i="118"/>
  <c r="H191" i="118"/>
  <c r="N191" i="118" s="1"/>
  <c r="G391" i="118"/>
  <c r="H161" i="118"/>
  <c r="N161" i="118" s="1"/>
  <c r="G1038" i="118"/>
  <c r="N808" i="118"/>
  <c r="G428" i="118"/>
  <c r="H198" i="118"/>
  <c r="N198" i="118" s="1"/>
  <c r="F1267" i="118"/>
  <c r="G1284" i="118"/>
  <c r="N1054" i="118"/>
  <c r="G376" i="118"/>
  <c r="H146" i="118"/>
  <c r="N146" i="118" s="1"/>
  <c r="G1802" i="118"/>
  <c r="H1802" i="118" s="1"/>
  <c r="N1802" i="118" s="1"/>
  <c r="N1572" i="118"/>
  <c r="G1293" i="118"/>
  <c r="N1063" i="118"/>
  <c r="G1562" i="118"/>
  <c r="N1332" i="118"/>
  <c r="F1754" i="118"/>
  <c r="G1556" i="118"/>
  <c r="N1326" i="118"/>
  <c r="F1274" i="118"/>
  <c r="F1502" i="118"/>
  <c r="G342" i="118"/>
  <c r="H112" i="118"/>
  <c r="N112" i="118" s="1"/>
  <c r="G1039" i="118"/>
  <c r="N809" i="118"/>
  <c r="G1539" i="118"/>
  <c r="N1309" i="118"/>
  <c r="G408" i="118"/>
  <c r="H178" i="118"/>
  <c r="N178" i="118" s="1"/>
  <c r="G1778" i="118"/>
  <c r="H1778" i="118" s="1"/>
  <c r="N1778" i="118" s="1"/>
  <c r="H1548" i="118"/>
  <c r="N1548" i="118" s="1"/>
  <c r="F1753" i="118"/>
  <c r="F1506" i="118"/>
  <c r="F1509" i="118"/>
  <c r="F1541" i="118"/>
  <c r="G1780" i="118"/>
  <c r="H1780" i="118" s="1"/>
  <c r="N1780" i="118" s="1"/>
  <c r="H1550" i="118"/>
  <c r="N1550" i="118" s="1"/>
  <c r="F1552" i="118"/>
  <c r="F1578" i="118"/>
  <c r="F1503" i="118"/>
  <c r="F1501" i="118"/>
  <c r="F1494" i="118"/>
  <c r="G1536" i="118"/>
  <c r="N1306" i="118"/>
  <c r="G369" i="118"/>
  <c r="H139" i="118"/>
  <c r="N139" i="118" s="1"/>
  <c r="G1566" i="118"/>
  <c r="N1336" i="118"/>
  <c r="G1282" i="118"/>
  <c r="N1052" i="118"/>
  <c r="F1519" i="118"/>
  <c r="F1575" i="118"/>
  <c r="G1291" i="118"/>
  <c r="N1061" i="118"/>
  <c r="G1295" i="118"/>
  <c r="N1065" i="118"/>
  <c r="G1553" i="118"/>
  <c r="N1323" i="118"/>
  <c r="F1507" i="118"/>
  <c r="J1845" i="118"/>
  <c r="G1288" i="118"/>
  <c r="N1058" i="118"/>
  <c r="G1042" i="118"/>
  <c r="N812" i="118"/>
  <c r="G1043" i="118"/>
  <c r="N813" i="118"/>
  <c r="G338" i="118"/>
  <c r="H108" i="118"/>
  <c r="N108" i="118" s="1"/>
  <c r="G1035" i="118"/>
  <c r="N805" i="118"/>
  <c r="F1258" i="118"/>
  <c r="G1563" i="118"/>
  <c r="N1333" i="118"/>
  <c r="G1046" i="118"/>
  <c r="N816" i="118"/>
  <c r="G1030" i="118"/>
  <c r="N800" i="118"/>
  <c r="G1287" i="118"/>
  <c r="N1057" i="118"/>
  <c r="G1297" i="118"/>
  <c r="N1067" i="118"/>
  <c r="G1047" i="118"/>
  <c r="N817" i="118"/>
  <c r="G430" i="118"/>
  <c r="H200" i="118"/>
  <c r="N200" i="118" s="1"/>
  <c r="G1285" i="118"/>
  <c r="N1055" i="118"/>
  <c r="G1779" i="118"/>
  <c r="H1779" i="118" s="1"/>
  <c r="N1779" i="118" s="1"/>
  <c r="H1549" i="118"/>
  <c r="N1549" i="118" s="1"/>
  <c r="F1490" i="118"/>
  <c r="M1845" i="118"/>
  <c r="F1580" i="118"/>
  <c r="F1500" i="118"/>
  <c r="I925" i="118"/>
  <c r="G593" i="118"/>
  <c r="H363" i="118"/>
  <c r="N363" i="118" s="1"/>
  <c r="F1495" i="118"/>
  <c r="F1498" i="118"/>
  <c r="M1385" i="118"/>
  <c r="G1777" i="118"/>
  <c r="H1777" i="118" s="1"/>
  <c r="N1777" i="118" s="1"/>
  <c r="H1547" i="118"/>
  <c r="N1547" i="118" s="1"/>
  <c r="F1489" i="118"/>
  <c r="N803" i="118"/>
  <c r="G1049" i="118"/>
  <c r="N819" i="118"/>
  <c r="G1041" i="118"/>
  <c r="N811" i="118"/>
  <c r="G1544" i="118"/>
  <c r="N1314" i="118"/>
  <c r="G1530" i="118"/>
  <c r="N1300" i="118"/>
  <c r="G1564" i="118"/>
  <c r="N1334" i="118"/>
  <c r="G1543" i="118"/>
  <c r="N1313" i="118"/>
  <c r="G1531" i="118"/>
  <c r="N1301" i="118"/>
  <c r="F1511" i="118"/>
  <c r="G1555" i="118"/>
  <c r="N1325" i="118"/>
  <c r="G1294" i="118"/>
  <c r="N1064" i="118"/>
  <c r="F1751" i="118"/>
  <c r="J1155" i="118"/>
  <c r="G1048" i="118"/>
  <c r="N818" i="118"/>
  <c r="G1535" i="118"/>
  <c r="N1305" i="118"/>
  <c r="N1060" i="118"/>
  <c r="G361" i="118"/>
  <c r="H131" i="118"/>
  <c r="N131" i="118" s="1"/>
  <c r="G387" i="118"/>
  <c r="H157" i="118"/>
  <c r="N157" i="118" s="1"/>
  <c r="G1559" i="118"/>
  <c r="N1329" i="118"/>
  <c r="G402" i="118"/>
  <c r="H172" i="118"/>
  <c r="N172" i="118" s="1"/>
  <c r="G1565" i="118"/>
  <c r="N1335" i="118"/>
  <c r="G1540" i="118"/>
  <c r="N1310" i="118"/>
  <c r="G1034" i="118"/>
  <c r="N804" i="118"/>
  <c r="G1560" i="118"/>
  <c r="N1330" i="118"/>
  <c r="F1263" i="118"/>
  <c r="H1033" i="118"/>
  <c r="N1033" i="118" s="1"/>
  <c r="F1573" i="118"/>
  <c r="F1752" i="118"/>
  <c r="M1155" i="118"/>
  <c r="F1513" i="118"/>
  <c r="F1520" i="118"/>
  <c r="H1290" i="118"/>
  <c r="N1290" i="118" s="1"/>
  <c r="F1499" i="118"/>
  <c r="F1755" i="118"/>
  <c r="F1496" i="118"/>
  <c r="F1744" i="118"/>
  <c r="G1516" i="118"/>
  <c r="H1286" i="118"/>
  <c r="N1286" i="118" s="1"/>
  <c r="F1772" i="118"/>
  <c r="H1772" i="118" s="1"/>
  <c r="N1772" i="118" s="1"/>
  <c r="H1542" i="118"/>
  <c r="N1542" i="118" s="1"/>
  <c r="N815" i="118"/>
  <c r="G1532" i="118"/>
  <c r="N1302" i="118"/>
  <c r="G1561" i="118"/>
  <c r="N1331" i="118"/>
  <c r="F1262" i="118"/>
  <c r="G1031" i="118"/>
  <c r="N801" i="118"/>
  <c r="G1040" i="118"/>
  <c r="N810" i="118"/>
  <c r="G425" i="118"/>
  <c r="H195" i="118"/>
  <c r="N195" i="118" s="1"/>
  <c r="G1036" i="118"/>
  <c r="N806" i="118"/>
  <c r="N1308" i="118"/>
  <c r="G379" i="118"/>
  <c r="H149" i="118"/>
  <c r="N149" i="118" s="1"/>
  <c r="G395" i="118"/>
  <c r="H165" i="118"/>
  <c r="N165" i="118" s="1"/>
  <c r="G1534" i="118"/>
  <c r="N1304" i="118"/>
  <c r="G347" i="118"/>
  <c r="H117" i="118"/>
  <c r="N117" i="118" s="1"/>
  <c r="G1533" i="118"/>
  <c r="N1303" i="118"/>
  <c r="G354" i="118"/>
  <c r="H124" i="118"/>
  <c r="N124" i="118" s="1"/>
  <c r="F1757" i="118"/>
  <c r="G1557" i="118"/>
  <c r="N1327" i="118"/>
  <c r="G423" i="118"/>
  <c r="H193" i="118"/>
  <c r="N193" i="118" s="1"/>
  <c r="M799" i="118"/>
  <c r="J925" i="118"/>
  <c r="F1745" i="118"/>
  <c r="G1554" i="118"/>
  <c r="N1324" i="118"/>
  <c r="F1275" i="118"/>
  <c r="H1045" i="118"/>
  <c r="N1045" i="118" s="1"/>
  <c r="F1508" i="118"/>
  <c r="F1748" i="118"/>
  <c r="F1571" i="118"/>
  <c r="F1529" i="118"/>
  <c r="F1768" i="118"/>
  <c r="H1768" i="118" s="1"/>
  <c r="N1768" i="118" s="1"/>
  <c r="H1538" i="118"/>
  <c r="N1538" i="118" s="1"/>
  <c r="F1537" i="118"/>
  <c r="F1558" i="118"/>
  <c r="F1742" i="118"/>
  <c r="F1491" i="118"/>
  <c r="G577" i="118" l="1"/>
  <c r="H347" i="118"/>
  <c r="N347" i="118" s="1"/>
  <c r="G1261" i="118"/>
  <c r="H1031" i="118"/>
  <c r="N1031" i="118" s="1"/>
  <c r="F1803" i="118"/>
  <c r="G1278" i="118"/>
  <c r="H1048" i="118"/>
  <c r="N1048" i="118" s="1"/>
  <c r="G1279" i="118"/>
  <c r="H1049" i="118"/>
  <c r="N1049" i="118" s="1"/>
  <c r="G1527" i="118"/>
  <c r="H1297" i="118"/>
  <c r="N1297" i="118" s="1"/>
  <c r="G1518" i="118"/>
  <c r="H1288" i="118"/>
  <c r="N1288" i="118" s="1"/>
  <c r="F1724" i="118"/>
  <c r="F1771" i="118"/>
  <c r="G572" i="118"/>
  <c r="H342" i="118"/>
  <c r="N342" i="118" s="1"/>
  <c r="G658" i="118"/>
  <c r="H428" i="118"/>
  <c r="N428" i="118" s="1"/>
  <c r="F1492" i="118"/>
  <c r="F1743" i="118"/>
  <c r="G1770" i="118"/>
  <c r="H1770" i="118" s="1"/>
  <c r="N1770" i="118" s="1"/>
  <c r="H1540" i="118"/>
  <c r="N1540" i="118" s="1"/>
  <c r="G617" i="118"/>
  <c r="H387" i="118"/>
  <c r="N387" i="118" s="1"/>
  <c r="F1741" i="118"/>
  <c r="F1728" i="118"/>
  <c r="F1730" i="118"/>
  <c r="G568" i="118"/>
  <c r="H338" i="118"/>
  <c r="N338" i="118" s="1"/>
  <c r="G1521" i="118"/>
  <c r="H1291" i="118"/>
  <c r="N1291" i="118" s="1"/>
  <c r="G1796" i="118"/>
  <c r="H1796" i="118" s="1"/>
  <c r="N1796" i="118" s="1"/>
  <c r="H1566" i="118"/>
  <c r="N1566" i="118" s="1"/>
  <c r="G606" i="118"/>
  <c r="H376" i="118"/>
  <c r="N376" i="118" s="1"/>
  <c r="G1266" i="118"/>
  <c r="H1036" i="118"/>
  <c r="N1036" i="118" s="1"/>
  <c r="G1760" i="118"/>
  <c r="H1760" i="118" s="1"/>
  <c r="N1760" i="118" s="1"/>
  <c r="H1530" i="118"/>
  <c r="N1530" i="118" s="1"/>
  <c r="G1515" i="118"/>
  <c r="H1285" i="118"/>
  <c r="N1285" i="118" s="1"/>
  <c r="G1517" i="118"/>
  <c r="H1287" i="118"/>
  <c r="N1287" i="118" s="1"/>
  <c r="F1808" i="118"/>
  <c r="F1739" i="118"/>
  <c r="G638" i="118"/>
  <c r="H408" i="118"/>
  <c r="N408" i="118" s="1"/>
  <c r="G1268" i="118"/>
  <c r="H1038" i="118"/>
  <c r="N1038" i="118" s="1"/>
  <c r="G1522" i="118"/>
  <c r="H1292" i="118"/>
  <c r="N1292" i="118" s="1"/>
  <c r="F1788" i="118"/>
  <c r="F1759" i="118"/>
  <c r="F1738" i="118"/>
  <c r="M925" i="118"/>
  <c r="G1029" i="118"/>
  <c r="N799" i="118"/>
  <c r="G1764" i="118"/>
  <c r="H1764" i="118" s="1"/>
  <c r="N1764" i="118" s="1"/>
  <c r="H1534" i="118"/>
  <c r="N1534" i="118" s="1"/>
  <c r="G1746" i="118"/>
  <c r="H1746" i="118" s="1"/>
  <c r="N1746" i="118" s="1"/>
  <c r="H1516" i="118"/>
  <c r="N1516" i="118" s="1"/>
  <c r="H1263" i="118"/>
  <c r="N1263" i="118" s="1"/>
  <c r="F1493" i="118"/>
  <c r="G1795" i="118"/>
  <c r="H1795" i="118" s="1"/>
  <c r="N1795" i="118" s="1"/>
  <c r="H1565" i="118"/>
  <c r="N1565" i="118" s="1"/>
  <c r="G591" i="118"/>
  <c r="H361" i="118"/>
  <c r="N361" i="118" s="1"/>
  <c r="G1761" i="118"/>
  <c r="H1761" i="118" s="1"/>
  <c r="N1761" i="118" s="1"/>
  <c r="H1531" i="118"/>
  <c r="N1531" i="118" s="1"/>
  <c r="F1725" i="118"/>
  <c r="F1810" i="118"/>
  <c r="G1793" i="118"/>
  <c r="H1793" i="118" s="1"/>
  <c r="N1793" i="118" s="1"/>
  <c r="H1563" i="118"/>
  <c r="N1563" i="118" s="1"/>
  <c r="F1737" i="118"/>
  <c r="F1805" i="118"/>
  <c r="G599" i="118"/>
  <c r="H369" i="118"/>
  <c r="N369" i="118" s="1"/>
  <c r="F1731" i="118"/>
  <c r="F1732" i="118"/>
  <c r="G1792" i="118"/>
  <c r="H1792" i="118" s="1"/>
  <c r="N1792" i="118" s="1"/>
  <c r="H1562" i="118"/>
  <c r="N1562" i="118" s="1"/>
  <c r="G1514" i="118"/>
  <c r="H1284" i="118"/>
  <c r="N1284" i="118" s="1"/>
  <c r="G584" i="118"/>
  <c r="H354" i="118"/>
  <c r="N354" i="118" s="1"/>
  <c r="G655" i="118"/>
  <c r="H425" i="118"/>
  <c r="N425" i="118" s="1"/>
  <c r="G1791" i="118"/>
  <c r="H1791" i="118" s="1"/>
  <c r="N1791" i="118" s="1"/>
  <c r="H1561" i="118"/>
  <c r="N1561" i="118" s="1"/>
  <c r="F1729" i="118"/>
  <c r="G1774" i="118"/>
  <c r="H1774" i="118" s="1"/>
  <c r="N1774" i="118" s="1"/>
  <c r="H1544" i="118"/>
  <c r="N1544" i="118" s="1"/>
  <c r="F1719" i="118"/>
  <c r="G660" i="118"/>
  <c r="H430" i="118"/>
  <c r="N430" i="118" s="1"/>
  <c r="G1260" i="118"/>
  <c r="H1030" i="118"/>
  <c r="N1030" i="118" s="1"/>
  <c r="G1273" i="118"/>
  <c r="H1043" i="118"/>
  <c r="N1043" i="118" s="1"/>
  <c r="F1749" i="118"/>
  <c r="F1782" i="118"/>
  <c r="F1736" i="118"/>
  <c r="G1769" i="118"/>
  <c r="H1769" i="118" s="1"/>
  <c r="N1769" i="118" s="1"/>
  <c r="H1539" i="118"/>
  <c r="N1539" i="118" s="1"/>
  <c r="G621" i="118"/>
  <c r="H391" i="118"/>
  <c r="N391" i="118" s="1"/>
  <c r="F1488" i="118"/>
  <c r="G1783" i="118"/>
  <c r="H1783" i="118" s="1"/>
  <c r="N1783" i="118" s="1"/>
  <c r="H1553" i="118"/>
  <c r="N1553" i="118" s="1"/>
  <c r="G1766" i="118"/>
  <c r="H1766" i="118" s="1"/>
  <c r="N1766" i="118" s="1"/>
  <c r="H1536" i="118"/>
  <c r="N1536" i="118" s="1"/>
  <c r="F1504" i="118"/>
  <c r="G1523" i="118"/>
  <c r="H1293" i="118"/>
  <c r="N1293" i="118" s="1"/>
  <c r="F1767" i="118"/>
  <c r="F1801" i="118"/>
  <c r="G1763" i="118"/>
  <c r="H1763" i="118" s="1"/>
  <c r="N1763" i="118" s="1"/>
  <c r="H1533" i="118"/>
  <c r="N1533" i="118" s="1"/>
  <c r="G1270" i="118"/>
  <c r="H1040" i="118"/>
  <c r="N1040" i="118" s="1"/>
  <c r="G1762" i="118"/>
  <c r="H1762" i="118" s="1"/>
  <c r="N1762" i="118" s="1"/>
  <c r="H1532" i="118"/>
  <c r="N1532" i="118" s="1"/>
  <c r="G1765" i="118"/>
  <c r="H1765" i="118" s="1"/>
  <c r="N1765" i="118" s="1"/>
  <c r="H1535" i="118"/>
  <c r="N1535" i="118" s="1"/>
  <c r="G1271" i="118"/>
  <c r="H1041" i="118"/>
  <c r="N1041" i="118" s="1"/>
  <c r="F1720" i="118"/>
  <c r="G1277" i="118"/>
  <c r="H1047" i="118"/>
  <c r="N1047" i="118" s="1"/>
  <c r="G1276" i="118"/>
  <c r="H1046" i="118"/>
  <c r="N1046" i="118" s="1"/>
  <c r="G1272" i="118"/>
  <c r="H1042" i="118"/>
  <c r="N1042" i="118" s="1"/>
  <c r="F1733" i="118"/>
  <c r="G1269" i="118"/>
  <c r="H1039" i="118"/>
  <c r="N1039" i="118" s="1"/>
  <c r="F1497" i="118"/>
  <c r="G651" i="118"/>
  <c r="H421" i="118"/>
  <c r="N421" i="118" s="1"/>
  <c r="F1775" i="118"/>
  <c r="H1275" i="118"/>
  <c r="N1275" i="118" s="1"/>
  <c r="F1505" i="118"/>
  <c r="G653" i="118"/>
  <c r="H423" i="118"/>
  <c r="N423" i="118" s="1"/>
  <c r="G625" i="118"/>
  <c r="H395" i="118"/>
  <c r="N395" i="118" s="1"/>
  <c r="G1790" i="118"/>
  <c r="H1790" i="118" s="1"/>
  <c r="N1790" i="118" s="1"/>
  <c r="H1560" i="118"/>
  <c r="N1560" i="118" s="1"/>
  <c r="G632" i="118"/>
  <c r="H402" i="118"/>
  <c r="N402" i="118" s="1"/>
  <c r="G1524" i="118"/>
  <c r="H1294" i="118"/>
  <c r="N1294" i="118" s="1"/>
  <c r="G1773" i="118"/>
  <c r="H1773" i="118" s="1"/>
  <c r="N1773" i="118" s="1"/>
  <c r="H1543" i="118"/>
  <c r="N1543" i="118" s="1"/>
  <c r="G823" i="118"/>
  <c r="H593" i="118"/>
  <c r="N593" i="118" s="1"/>
  <c r="F1721" i="118"/>
  <c r="G1784" i="118"/>
  <c r="H1784" i="118" s="1"/>
  <c r="N1784" i="118" s="1"/>
  <c r="H1554" i="118"/>
  <c r="N1554" i="118" s="1"/>
  <c r="G1787" i="118"/>
  <c r="H1787" i="118" s="1"/>
  <c r="N1787" i="118" s="1"/>
  <c r="H1557" i="118"/>
  <c r="N1557" i="118" s="1"/>
  <c r="G609" i="118"/>
  <c r="H379" i="118"/>
  <c r="N379" i="118" s="1"/>
  <c r="F1726" i="118"/>
  <c r="F1750" i="118"/>
  <c r="H1750" i="118" s="1"/>
  <c r="N1750" i="118" s="1"/>
  <c r="H1520" i="118"/>
  <c r="N1520" i="118" s="1"/>
  <c r="G1264" i="118"/>
  <c r="H1034" i="118"/>
  <c r="N1034" i="118" s="1"/>
  <c r="G1789" i="118"/>
  <c r="H1789" i="118" s="1"/>
  <c r="N1789" i="118" s="1"/>
  <c r="H1559" i="118"/>
  <c r="N1559" i="118" s="1"/>
  <c r="G1785" i="118"/>
  <c r="H1785" i="118" s="1"/>
  <c r="N1785" i="118" s="1"/>
  <c r="H1555" i="118"/>
  <c r="N1555" i="118" s="1"/>
  <c r="G1794" i="118"/>
  <c r="H1794" i="118" s="1"/>
  <c r="N1794" i="118" s="1"/>
  <c r="H1564" i="118"/>
  <c r="N1564" i="118" s="1"/>
  <c r="G1265" i="118"/>
  <c r="H1035" i="118"/>
  <c r="N1035" i="118" s="1"/>
  <c r="G1525" i="118"/>
  <c r="H1295" i="118"/>
  <c r="N1295" i="118" s="1"/>
  <c r="G1512" i="118"/>
  <c r="H1282" i="118"/>
  <c r="N1282" i="118" s="1"/>
  <c r="G1786" i="118"/>
  <c r="H1786" i="118" s="1"/>
  <c r="N1786" i="118" s="1"/>
  <c r="H1556" i="118"/>
  <c r="N1556" i="118" s="1"/>
  <c r="G839" i="118" l="1"/>
  <c r="H609" i="118"/>
  <c r="N609" i="118" s="1"/>
  <c r="G1503" i="118"/>
  <c r="H1273" i="118"/>
  <c r="N1273" i="118" s="1"/>
  <c r="G814" i="118"/>
  <c r="H584" i="118"/>
  <c r="N584" i="118" s="1"/>
  <c r="G868" i="118"/>
  <c r="H638" i="118"/>
  <c r="N638" i="118" s="1"/>
  <c r="G1745" i="118"/>
  <c r="H1745" i="118" s="1"/>
  <c r="N1745" i="118" s="1"/>
  <c r="H1515" i="118"/>
  <c r="N1515" i="118" s="1"/>
  <c r="G1508" i="118"/>
  <c r="H1278" i="118"/>
  <c r="N1278" i="118" s="1"/>
  <c r="G1053" i="118"/>
  <c r="H823" i="118"/>
  <c r="N823" i="118" s="1"/>
  <c r="G1500" i="118"/>
  <c r="H1270" i="118"/>
  <c r="N1270" i="118" s="1"/>
  <c r="G821" i="118"/>
  <c r="H591" i="118"/>
  <c r="N591" i="118" s="1"/>
  <c r="G836" i="118"/>
  <c r="H606" i="118"/>
  <c r="N606" i="118" s="1"/>
  <c r="G1495" i="118"/>
  <c r="H1265" i="118"/>
  <c r="N1265" i="118" s="1"/>
  <c r="G1494" i="118"/>
  <c r="H1264" i="118"/>
  <c r="N1264" i="118" s="1"/>
  <c r="G1490" i="118"/>
  <c r="H1260" i="118"/>
  <c r="N1260" i="118" s="1"/>
  <c r="G1744" i="118"/>
  <c r="H1744" i="118" s="1"/>
  <c r="N1744" i="118" s="1"/>
  <c r="H1514" i="118"/>
  <c r="N1514" i="118" s="1"/>
  <c r="G829" i="118"/>
  <c r="H599" i="118"/>
  <c r="N599" i="118" s="1"/>
  <c r="G888" i="118"/>
  <c r="H658" i="118"/>
  <c r="N658" i="118" s="1"/>
  <c r="G1748" i="118"/>
  <c r="H1748" i="118" s="1"/>
  <c r="N1748" i="118" s="1"/>
  <c r="H1518" i="118"/>
  <c r="N1518" i="118" s="1"/>
  <c r="G1507" i="118"/>
  <c r="H1277" i="118"/>
  <c r="N1277" i="118" s="1"/>
  <c r="G1755" i="118"/>
  <c r="H1755" i="118" s="1"/>
  <c r="N1755" i="118" s="1"/>
  <c r="H1525" i="118"/>
  <c r="N1525" i="118" s="1"/>
  <c r="G855" i="118"/>
  <c r="H625" i="118"/>
  <c r="N625" i="118" s="1"/>
  <c r="G881" i="118"/>
  <c r="H651" i="118"/>
  <c r="N651" i="118" s="1"/>
  <c r="G1502" i="118"/>
  <c r="H1272" i="118"/>
  <c r="N1272" i="118" s="1"/>
  <c r="G1501" i="118"/>
  <c r="H1271" i="118"/>
  <c r="N1271" i="118" s="1"/>
  <c r="G1753" i="118"/>
  <c r="H1753" i="118" s="1"/>
  <c r="N1753" i="118" s="1"/>
  <c r="H1523" i="118"/>
  <c r="N1523" i="118" s="1"/>
  <c r="G1259" i="118"/>
  <c r="H1029" i="118"/>
  <c r="N1029" i="118" s="1"/>
  <c r="F1718" i="118"/>
  <c r="G890" i="118"/>
  <c r="H660" i="118"/>
  <c r="N660" i="118" s="1"/>
  <c r="F1723" i="118"/>
  <c r="H1723" i="118" s="1"/>
  <c r="N1723" i="118" s="1"/>
  <c r="H1493" i="118"/>
  <c r="N1493" i="118" s="1"/>
  <c r="G1752" i="118"/>
  <c r="H1752" i="118" s="1"/>
  <c r="N1752" i="118" s="1"/>
  <c r="H1522" i="118"/>
  <c r="N1522" i="118" s="1"/>
  <c r="G1496" i="118"/>
  <c r="H1266" i="118"/>
  <c r="N1266" i="118" s="1"/>
  <c r="G1751" i="118"/>
  <c r="H1751" i="118" s="1"/>
  <c r="N1751" i="118" s="1"/>
  <c r="H1521" i="118"/>
  <c r="N1521" i="118" s="1"/>
  <c r="G802" i="118"/>
  <c r="H572" i="118"/>
  <c r="N572" i="118" s="1"/>
  <c r="G1757" i="118"/>
  <c r="H1757" i="118" s="1"/>
  <c r="N1757" i="118" s="1"/>
  <c r="H1527" i="118"/>
  <c r="N1527" i="118" s="1"/>
  <c r="G1491" i="118"/>
  <c r="H1261" i="118"/>
  <c r="N1261" i="118" s="1"/>
  <c r="G862" i="118"/>
  <c r="H632" i="118"/>
  <c r="N632" i="118" s="1"/>
  <c r="G1754" i="118"/>
  <c r="H1754" i="118" s="1"/>
  <c r="N1754" i="118" s="1"/>
  <c r="H1524" i="118"/>
  <c r="N1524" i="118" s="1"/>
  <c r="G883" i="118"/>
  <c r="H653" i="118"/>
  <c r="N653" i="118" s="1"/>
  <c r="F1727" i="118"/>
  <c r="G1506" i="118"/>
  <c r="H1276" i="118"/>
  <c r="N1276" i="118" s="1"/>
  <c r="F1734" i="118"/>
  <c r="F1722" i="118"/>
  <c r="G1499" i="118"/>
  <c r="H1269" i="118"/>
  <c r="N1269" i="118" s="1"/>
  <c r="G1742" i="118"/>
  <c r="H1742" i="118" s="1"/>
  <c r="N1742" i="118" s="1"/>
  <c r="H1512" i="118"/>
  <c r="N1512" i="118" s="1"/>
  <c r="F1735" i="118"/>
  <c r="H1735" i="118" s="1"/>
  <c r="N1735" i="118" s="1"/>
  <c r="H1505" i="118"/>
  <c r="N1505" i="118" s="1"/>
  <c r="G851" i="118"/>
  <c r="H621" i="118"/>
  <c r="N621" i="118" s="1"/>
  <c r="G885" i="118"/>
  <c r="H655" i="118"/>
  <c r="N655" i="118" s="1"/>
  <c r="G1498" i="118"/>
  <c r="H1268" i="118"/>
  <c r="N1268" i="118" s="1"/>
  <c r="G1747" i="118"/>
  <c r="H1747" i="118" s="1"/>
  <c r="N1747" i="118" s="1"/>
  <c r="H1517" i="118"/>
  <c r="N1517" i="118" s="1"/>
  <c r="G798" i="118"/>
  <c r="H568" i="118"/>
  <c r="N568" i="118" s="1"/>
  <c r="G847" i="118"/>
  <c r="H617" i="118"/>
  <c r="N617" i="118" s="1"/>
  <c r="G1509" i="118"/>
  <c r="H1279" i="118"/>
  <c r="N1279" i="118" s="1"/>
  <c r="G807" i="118"/>
  <c r="H577" i="118"/>
  <c r="N577" i="118" s="1"/>
  <c r="G1098" i="118" l="1"/>
  <c r="H868" i="118"/>
  <c r="N868" i="118" s="1"/>
  <c r="G1028" i="118"/>
  <c r="H798" i="118"/>
  <c r="N798" i="118" s="1"/>
  <c r="G1115" i="118"/>
  <c r="H885" i="118"/>
  <c r="N885" i="118" s="1"/>
  <c r="G1092" i="118"/>
  <c r="H862" i="118"/>
  <c r="N862" i="118" s="1"/>
  <c r="G1489" i="118"/>
  <c r="H1259" i="118"/>
  <c r="N1259" i="118" s="1"/>
  <c r="G1737" i="118"/>
  <c r="H1737" i="118" s="1"/>
  <c r="N1737" i="118" s="1"/>
  <c r="H1507" i="118"/>
  <c r="N1507" i="118" s="1"/>
  <c r="G1283" i="118"/>
  <c r="H1053" i="118"/>
  <c r="N1053" i="118" s="1"/>
  <c r="G1111" i="118"/>
  <c r="H881" i="118"/>
  <c r="N881" i="118" s="1"/>
  <c r="G1724" i="118"/>
  <c r="H1724" i="118" s="1"/>
  <c r="N1724" i="118" s="1"/>
  <c r="H1494" i="118"/>
  <c r="N1494" i="118" s="1"/>
  <c r="G1051" i="118"/>
  <c r="H821" i="118"/>
  <c r="N821" i="118" s="1"/>
  <c r="G1044" i="118"/>
  <c r="H814" i="118"/>
  <c r="N814" i="118" s="1"/>
  <c r="G1037" i="118"/>
  <c r="H807" i="118"/>
  <c r="N807" i="118" s="1"/>
  <c r="G1721" i="118"/>
  <c r="H1721" i="118" s="1"/>
  <c r="N1721" i="118" s="1"/>
  <c r="H1491" i="118"/>
  <c r="N1491" i="118" s="1"/>
  <c r="G1726" i="118"/>
  <c r="H1726" i="118" s="1"/>
  <c r="N1726" i="118" s="1"/>
  <c r="H1496" i="118"/>
  <c r="N1496" i="118" s="1"/>
  <c r="G1120" i="118"/>
  <c r="H890" i="118"/>
  <c r="N890" i="118" s="1"/>
  <c r="G1059" i="118"/>
  <c r="H829" i="118"/>
  <c r="N829" i="118" s="1"/>
  <c r="G1738" i="118"/>
  <c r="H1738" i="118" s="1"/>
  <c r="N1738" i="118" s="1"/>
  <c r="H1508" i="118"/>
  <c r="N1508" i="118" s="1"/>
  <c r="G1732" i="118"/>
  <c r="H1732" i="118" s="1"/>
  <c r="N1732" i="118" s="1"/>
  <c r="H1502" i="118"/>
  <c r="N1502" i="118" s="1"/>
  <c r="G1113" i="118"/>
  <c r="H883" i="118"/>
  <c r="N883" i="118" s="1"/>
  <c r="G1085" i="118"/>
  <c r="H855" i="118"/>
  <c r="N855" i="118" s="1"/>
  <c r="G1725" i="118"/>
  <c r="H1725" i="118" s="1"/>
  <c r="N1725" i="118" s="1"/>
  <c r="H1495" i="118"/>
  <c r="N1495" i="118" s="1"/>
  <c r="G1733" i="118"/>
  <c r="H1733" i="118" s="1"/>
  <c r="N1733" i="118" s="1"/>
  <c r="H1503" i="118"/>
  <c r="N1503" i="118" s="1"/>
  <c r="G1739" i="118"/>
  <c r="H1739" i="118" s="1"/>
  <c r="N1739" i="118" s="1"/>
  <c r="H1509" i="118"/>
  <c r="N1509" i="118" s="1"/>
  <c r="G1728" i="118"/>
  <c r="H1728" i="118" s="1"/>
  <c r="N1728" i="118" s="1"/>
  <c r="H1498" i="118"/>
  <c r="N1498" i="118" s="1"/>
  <c r="G1081" i="118"/>
  <c r="H851" i="118"/>
  <c r="N851" i="118" s="1"/>
  <c r="G1118" i="118"/>
  <c r="H888" i="118"/>
  <c r="N888" i="118" s="1"/>
  <c r="G1730" i="118"/>
  <c r="H1730" i="118" s="1"/>
  <c r="N1730" i="118" s="1"/>
  <c r="H1500" i="118"/>
  <c r="N1500" i="118" s="1"/>
  <c r="G1720" i="118"/>
  <c r="H1720" i="118" s="1"/>
  <c r="N1720" i="118" s="1"/>
  <c r="H1490" i="118"/>
  <c r="N1490" i="118" s="1"/>
  <c r="G1731" i="118"/>
  <c r="H1731" i="118" s="1"/>
  <c r="N1731" i="118" s="1"/>
  <c r="H1501" i="118"/>
  <c r="N1501" i="118" s="1"/>
  <c r="G1066" i="118"/>
  <c r="H836" i="118"/>
  <c r="N836" i="118" s="1"/>
  <c r="G1736" i="118"/>
  <c r="H1736" i="118" s="1"/>
  <c r="N1736" i="118" s="1"/>
  <c r="H1506" i="118"/>
  <c r="N1506" i="118" s="1"/>
  <c r="G1077" i="118"/>
  <c r="H847" i="118"/>
  <c r="N847" i="118" s="1"/>
  <c r="G1729" i="118"/>
  <c r="H1729" i="118" s="1"/>
  <c r="N1729" i="118" s="1"/>
  <c r="H1499" i="118"/>
  <c r="N1499" i="118" s="1"/>
  <c r="G1032" i="118"/>
  <c r="H802" i="118"/>
  <c r="N802" i="118" s="1"/>
  <c r="G1069" i="118"/>
  <c r="H839" i="118"/>
  <c r="N839" i="118" s="1"/>
  <c r="G1343" i="118" l="1"/>
  <c r="H1113" i="118"/>
  <c r="N1113" i="118" s="1"/>
  <c r="G1262" i="118"/>
  <c r="H1032" i="118"/>
  <c r="N1032" i="118" s="1"/>
  <c r="G1296" i="118"/>
  <c r="H1066" i="118"/>
  <c r="N1066" i="118" s="1"/>
  <c r="G1350" i="118"/>
  <c r="H1120" i="118"/>
  <c r="N1120" i="118" s="1"/>
  <c r="G1274" i="118"/>
  <c r="H1044" i="118"/>
  <c r="N1044" i="118" s="1"/>
  <c r="G1322" i="118"/>
  <c r="H1092" i="118"/>
  <c r="N1092" i="118" s="1"/>
  <c r="G1348" i="118"/>
  <c r="H1118" i="118"/>
  <c r="N1118" i="118" s="1"/>
  <c r="G1281" i="118"/>
  <c r="H1051" i="118"/>
  <c r="N1051" i="118" s="1"/>
  <c r="G1513" i="118"/>
  <c r="H1283" i="118"/>
  <c r="N1283" i="118" s="1"/>
  <c r="G1345" i="118"/>
  <c r="H1115" i="118"/>
  <c r="N1115" i="118" s="1"/>
  <c r="G1311" i="118"/>
  <c r="H1081" i="118"/>
  <c r="N1081" i="118" s="1"/>
  <c r="G1307" i="118"/>
  <c r="H1077" i="118"/>
  <c r="N1077" i="118" s="1"/>
  <c r="G1258" i="118"/>
  <c r="H1028" i="118"/>
  <c r="N1028" i="118" s="1"/>
  <c r="G1315" i="118"/>
  <c r="H1085" i="118"/>
  <c r="N1085" i="118" s="1"/>
  <c r="G1299" i="118"/>
  <c r="H1069" i="118"/>
  <c r="N1069" i="118" s="1"/>
  <c r="G1289" i="118"/>
  <c r="H1059" i="118"/>
  <c r="N1059" i="118" s="1"/>
  <c r="G1267" i="118"/>
  <c r="H1037" i="118"/>
  <c r="N1037" i="118" s="1"/>
  <c r="G1341" i="118"/>
  <c r="H1111" i="118"/>
  <c r="N1111" i="118" s="1"/>
  <c r="G1719" i="118"/>
  <c r="H1719" i="118" s="1"/>
  <c r="N1719" i="118" s="1"/>
  <c r="H1489" i="118"/>
  <c r="N1489" i="118" s="1"/>
  <c r="G1328" i="118"/>
  <c r="H1098" i="118"/>
  <c r="N1098" i="118" s="1"/>
  <c r="G1519" i="118" l="1"/>
  <c r="H1289" i="118"/>
  <c r="N1289" i="118" s="1"/>
  <c r="G1529" i="118"/>
  <c r="H1299" i="118"/>
  <c r="N1299" i="118" s="1"/>
  <c r="G1541" i="118"/>
  <c r="H1311" i="118"/>
  <c r="N1311" i="118" s="1"/>
  <c r="G1578" i="118"/>
  <c r="H1348" i="118"/>
  <c r="N1348" i="118" s="1"/>
  <c r="G1526" i="118"/>
  <c r="H1296" i="118"/>
  <c r="N1296" i="118" s="1"/>
  <c r="G1580" i="118"/>
  <c r="H1350" i="118"/>
  <c r="N1350" i="118" s="1"/>
  <c r="G1537" i="118"/>
  <c r="H1307" i="118"/>
  <c r="N1307" i="118" s="1"/>
  <c r="G1571" i="118"/>
  <c r="H1341" i="118"/>
  <c r="N1341" i="118" s="1"/>
  <c r="G1545" i="118"/>
  <c r="H1315" i="118"/>
  <c r="N1315" i="118" s="1"/>
  <c r="G1575" i="118"/>
  <c r="H1345" i="118"/>
  <c r="N1345" i="118" s="1"/>
  <c r="G1552" i="118"/>
  <c r="H1322" i="118"/>
  <c r="N1322" i="118" s="1"/>
  <c r="G1492" i="118"/>
  <c r="H1262" i="118"/>
  <c r="N1262" i="118" s="1"/>
  <c r="G1558" i="118"/>
  <c r="H1328" i="118"/>
  <c r="N1328" i="118" s="1"/>
  <c r="G1511" i="118"/>
  <c r="H1281" i="118"/>
  <c r="N1281" i="118" s="1"/>
  <c r="G1497" i="118"/>
  <c r="H1267" i="118"/>
  <c r="N1267" i="118" s="1"/>
  <c r="G1488" i="118"/>
  <c r="H1258" i="118"/>
  <c r="N1258" i="118" s="1"/>
  <c r="G1743" i="118"/>
  <c r="H1743" i="118" s="1"/>
  <c r="N1743" i="118" s="1"/>
  <c r="H1513" i="118"/>
  <c r="N1513" i="118" s="1"/>
  <c r="G1504" i="118"/>
  <c r="H1274" i="118"/>
  <c r="N1274" i="118" s="1"/>
  <c r="G1573" i="118"/>
  <c r="H1343" i="118"/>
  <c r="N1343" i="118" s="1"/>
  <c r="G1718" i="118" l="1"/>
  <c r="H1718" i="118" s="1"/>
  <c r="N1718" i="118" s="1"/>
  <c r="H1488" i="118"/>
  <c r="N1488" i="118" s="1"/>
  <c r="G1722" i="118"/>
  <c r="H1722" i="118" s="1"/>
  <c r="N1722" i="118" s="1"/>
  <c r="H1492" i="118"/>
  <c r="N1492" i="118" s="1"/>
  <c r="G1801" i="118"/>
  <c r="H1801" i="118" s="1"/>
  <c r="N1801" i="118" s="1"/>
  <c r="H1571" i="118"/>
  <c r="N1571" i="118" s="1"/>
  <c r="G1808" i="118"/>
  <c r="H1808" i="118" s="1"/>
  <c r="N1808" i="118" s="1"/>
  <c r="H1578" i="118"/>
  <c r="N1578" i="118" s="1"/>
  <c r="G1803" i="118"/>
  <c r="H1803" i="118" s="1"/>
  <c r="N1803" i="118" s="1"/>
  <c r="H1573" i="118"/>
  <c r="N1573" i="118" s="1"/>
  <c r="G1727" i="118"/>
  <c r="H1727" i="118" s="1"/>
  <c r="N1727" i="118" s="1"/>
  <c r="H1497" i="118"/>
  <c r="N1497" i="118" s="1"/>
  <c r="G1782" i="118"/>
  <c r="H1782" i="118" s="1"/>
  <c r="N1782" i="118" s="1"/>
  <c r="H1552" i="118"/>
  <c r="N1552" i="118" s="1"/>
  <c r="G1767" i="118"/>
  <c r="H1767" i="118" s="1"/>
  <c r="N1767" i="118" s="1"/>
  <c r="H1537" i="118"/>
  <c r="N1537" i="118" s="1"/>
  <c r="G1771" i="118"/>
  <c r="H1771" i="118" s="1"/>
  <c r="N1771" i="118" s="1"/>
  <c r="H1541" i="118"/>
  <c r="N1541" i="118" s="1"/>
  <c r="G1741" i="118"/>
  <c r="H1741" i="118" s="1"/>
  <c r="N1741" i="118" s="1"/>
  <c r="H1511" i="118"/>
  <c r="N1511" i="118" s="1"/>
  <c r="G1805" i="118"/>
  <c r="H1805" i="118" s="1"/>
  <c r="N1805" i="118" s="1"/>
  <c r="H1575" i="118"/>
  <c r="N1575" i="118" s="1"/>
  <c r="G1759" i="118"/>
  <c r="H1759" i="118" s="1"/>
  <c r="N1759" i="118" s="1"/>
  <c r="H1529" i="118"/>
  <c r="N1529" i="118" s="1"/>
  <c r="C324" i="118"/>
  <c r="C554" i="118" s="1"/>
  <c r="C784" i="118" s="1"/>
  <c r="C1014" i="118" s="1"/>
  <c r="C1244" i="118" s="1"/>
  <c r="C1474" i="118" s="1"/>
  <c r="C1704" i="118" s="1"/>
  <c r="G1734" i="118"/>
  <c r="H1734" i="118" s="1"/>
  <c r="N1734" i="118" s="1"/>
  <c r="H1504" i="118"/>
  <c r="N1504" i="118" s="1"/>
  <c r="G1810" i="118"/>
  <c r="H1810" i="118" s="1"/>
  <c r="N1810" i="118" s="1"/>
  <c r="H1580" i="118"/>
  <c r="N1580" i="118" s="1"/>
  <c r="G1788" i="118"/>
  <c r="H1788" i="118" s="1"/>
  <c r="N1788" i="118" s="1"/>
  <c r="H1558" i="118"/>
  <c r="N1558" i="118" s="1"/>
  <c r="G1775" i="118"/>
  <c r="H1775" i="118" s="1"/>
  <c r="N1775" i="118" s="1"/>
  <c r="H1545" i="118"/>
  <c r="N1545" i="118" s="1"/>
  <c r="G1756" i="118"/>
  <c r="H1756" i="118" s="1"/>
  <c r="N1756" i="118" s="1"/>
  <c r="H1526" i="118"/>
  <c r="N1526" i="118" s="1"/>
  <c r="G1749" i="118"/>
  <c r="H1749" i="118" s="1"/>
  <c r="N1749" i="118" s="1"/>
  <c r="H1519" i="118"/>
  <c r="N1519" i="118" s="1"/>
  <c r="D298" i="118"/>
  <c r="D528" i="118" s="1"/>
  <c r="D758" i="118" s="1"/>
  <c r="D988" i="118" s="1"/>
  <c r="D1218" i="118" s="1"/>
  <c r="D1448" i="118" s="1"/>
  <c r="D1678" i="118" s="1"/>
  <c r="D296" i="118"/>
  <c r="D526" i="118" s="1"/>
  <c r="D756" i="118" s="1"/>
  <c r="D986" i="118" s="1"/>
  <c r="D1216" i="118" s="1"/>
  <c r="D1446" i="118" s="1"/>
  <c r="D1676" i="118" s="1"/>
  <c r="D290" i="118"/>
  <c r="D520" i="118" s="1"/>
  <c r="D750" i="118" s="1"/>
  <c r="D980" i="118" s="1"/>
  <c r="D1210" i="118" s="1"/>
  <c r="D1440" i="118" s="1"/>
  <c r="D1670" i="118" s="1"/>
  <c r="D288" i="118"/>
  <c r="D518" i="118" s="1"/>
  <c r="D748" i="118" s="1"/>
  <c r="D978" i="118" s="1"/>
  <c r="D1208" i="118" s="1"/>
  <c r="D1438" i="118" s="1"/>
  <c r="D1668" i="118" s="1"/>
  <c r="D277" i="118"/>
  <c r="D507" i="118" s="1"/>
  <c r="D737" i="118" s="1"/>
  <c r="D967" i="118" s="1"/>
  <c r="D1197" i="118" s="1"/>
  <c r="D1427" i="118" s="1"/>
  <c r="D1657" i="118" s="1"/>
  <c r="D254" i="118"/>
  <c r="D484" i="118" s="1"/>
  <c r="D714" i="118" s="1"/>
  <c r="D944" i="118" s="1"/>
  <c r="D1174" i="118" s="1"/>
  <c r="D1404" i="118" s="1"/>
  <c r="D1634" i="118" s="1"/>
  <c r="D252" i="118"/>
  <c r="D482" i="118" s="1"/>
  <c r="D712" i="118" s="1"/>
  <c r="D942" i="118" s="1"/>
  <c r="D1172" i="118" s="1"/>
  <c r="D1402" i="118" s="1"/>
  <c r="D1632" i="118" s="1"/>
  <c r="E251" i="118" l="1"/>
  <c r="E481" i="118" s="1"/>
  <c r="E711" i="118" s="1"/>
  <c r="E941" i="118" s="1"/>
  <c r="E1171" i="118" s="1"/>
  <c r="E1401" i="118" s="1"/>
  <c r="E1631" i="118" s="1"/>
  <c r="F256" i="118"/>
  <c r="G271" i="118"/>
  <c r="G501" i="118" s="1"/>
  <c r="G731" i="118" s="1"/>
  <c r="G961" i="118" s="1"/>
  <c r="G1191" i="118" s="1"/>
  <c r="G1421" i="118" s="1"/>
  <c r="G1651" i="118" s="1"/>
  <c r="E276" i="118"/>
  <c r="E506" i="118" s="1"/>
  <c r="E736" i="118" s="1"/>
  <c r="E966" i="118" s="1"/>
  <c r="E1196" i="118" s="1"/>
  <c r="E1426" i="118" s="1"/>
  <c r="E1656" i="118" s="1"/>
  <c r="D281" i="118"/>
  <c r="D511" i="118" s="1"/>
  <c r="D741" i="118" s="1"/>
  <c r="D971" i="118" s="1"/>
  <c r="D1201" i="118" s="1"/>
  <c r="D1431" i="118" s="1"/>
  <c r="D1661" i="118" s="1"/>
  <c r="E289" i="118"/>
  <c r="E519" i="118" s="1"/>
  <c r="E749" i="118" s="1"/>
  <c r="E979" i="118" s="1"/>
  <c r="E1209" i="118" s="1"/>
  <c r="E1439" i="118" s="1"/>
  <c r="E1669" i="118" s="1"/>
  <c r="G292" i="118"/>
  <c r="G522" i="118" s="1"/>
  <c r="G752" i="118" s="1"/>
  <c r="G982" i="118" s="1"/>
  <c r="G1212" i="118" s="1"/>
  <c r="G1442" i="118" s="1"/>
  <c r="G1672" i="118" s="1"/>
  <c r="D303" i="118"/>
  <c r="D533" i="118" s="1"/>
  <c r="D763" i="118" s="1"/>
  <c r="D993" i="118" s="1"/>
  <c r="D1223" i="118" s="1"/>
  <c r="D1453" i="118" s="1"/>
  <c r="D1683" i="118" s="1"/>
  <c r="E311" i="118"/>
  <c r="E541" i="118" s="1"/>
  <c r="E771" i="118" s="1"/>
  <c r="E1001" i="118" s="1"/>
  <c r="E1231" i="118" s="1"/>
  <c r="E1461" i="118" s="1"/>
  <c r="E1691" i="118" s="1"/>
  <c r="D320" i="118"/>
  <c r="D550" i="118" s="1"/>
  <c r="D780" i="118" s="1"/>
  <c r="D1010" i="118" s="1"/>
  <c r="D1240" i="118" s="1"/>
  <c r="D1470" i="118" s="1"/>
  <c r="D1700" i="118" s="1"/>
  <c r="C315" i="118"/>
  <c r="C545" i="118" s="1"/>
  <c r="C775" i="118" s="1"/>
  <c r="C1005" i="118" s="1"/>
  <c r="C1235" i="118" s="1"/>
  <c r="C1465" i="118" s="1"/>
  <c r="C1695" i="118" s="1"/>
  <c r="F244" i="118"/>
  <c r="F257" i="118"/>
  <c r="G272" i="118"/>
  <c r="G502" i="118" s="1"/>
  <c r="G732" i="118" s="1"/>
  <c r="G962" i="118" s="1"/>
  <c r="G1192" i="118" s="1"/>
  <c r="G1422" i="118" s="1"/>
  <c r="G1652" i="118" s="1"/>
  <c r="E287" i="118"/>
  <c r="E517" i="118" s="1"/>
  <c r="E747" i="118" s="1"/>
  <c r="E977" i="118" s="1"/>
  <c r="E1207" i="118" s="1"/>
  <c r="E1437" i="118" s="1"/>
  <c r="E1667" i="118" s="1"/>
  <c r="E297" i="118"/>
  <c r="E527" i="118" s="1"/>
  <c r="E757" i="118" s="1"/>
  <c r="E987" i="118" s="1"/>
  <c r="E1217" i="118" s="1"/>
  <c r="E1447" i="118" s="1"/>
  <c r="E1677" i="118" s="1"/>
  <c r="D312" i="118"/>
  <c r="D542" i="118" s="1"/>
  <c r="D772" i="118" s="1"/>
  <c r="D1002" i="118" s="1"/>
  <c r="D1232" i="118" s="1"/>
  <c r="D1462" i="118" s="1"/>
  <c r="D1692" i="118" s="1"/>
  <c r="F262" i="118"/>
  <c r="D241" i="118"/>
  <c r="D471" i="118" s="1"/>
  <c r="D701" i="118" s="1"/>
  <c r="D931" i="118" s="1"/>
  <c r="D1161" i="118" s="1"/>
  <c r="D1391" i="118" s="1"/>
  <c r="D1621" i="118" s="1"/>
  <c r="G244" i="118"/>
  <c r="G474" i="118" s="1"/>
  <c r="G704" i="118" s="1"/>
  <c r="G934" i="118" s="1"/>
  <c r="G1164" i="118" s="1"/>
  <c r="G1394" i="118" s="1"/>
  <c r="G1624" i="118" s="1"/>
  <c r="G257" i="118"/>
  <c r="G487" i="118" s="1"/>
  <c r="G717" i="118" s="1"/>
  <c r="G947" i="118" s="1"/>
  <c r="G1177" i="118" s="1"/>
  <c r="G1407" i="118" s="1"/>
  <c r="G1637" i="118" s="1"/>
  <c r="F278" i="118"/>
  <c r="C325" i="118"/>
  <c r="C555" i="118" s="1"/>
  <c r="C785" i="118" s="1"/>
  <c r="C1015" i="118" s="1"/>
  <c r="C1245" i="118" s="1"/>
  <c r="C1475" i="118" s="1"/>
  <c r="C1705" i="118" s="1"/>
  <c r="F241" i="118"/>
  <c r="H11" i="118"/>
  <c r="D266" i="118"/>
  <c r="D496" i="118" s="1"/>
  <c r="D726" i="118" s="1"/>
  <c r="D956" i="118" s="1"/>
  <c r="D1186" i="118" s="1"/>
  <c r="D1416" i="118" s="1"/>
  <c r="D1646" i="118" s="1"/>
  <c r="E270" i="118"/>
  <c r="E500" i="118" s="1"/>
  <c r="E730" i="118" s="1"/>
  <c r="E960" i="118" s="1"/>
  <c r="E1190" i="118" s="1"/>
  <c r="E1420" i="118" s="1"/>
  <c r="E1650" i="118" s="1"/>
  <c r="E273" i="118"/>
  <c r="E503" i="118" s="1"/>
  <c r="E733" i="118" s="1"/>
  <c r="E963" i="118" s="1"/>
  <c r="E1193" i="118" s="1"/>
  <c r="E1423" i="118" s="1"/>
  <c r="E1653" i="118" s="1"/>
  <c r="G278" i="118"/>
  <c r="G508" i="118" s="1"/>
  <c r="G738" i="118" s="1"/>
  <c r="G968" i="118" s="1"/>
  <c r="G1198" i="118" s="1"/>
  <c r="G1428" i="118" s="1"/>
  <c r="G1658" i="118" s="1"/>
  <c r="D292" i="118"/>
  <c r="D522" i="118" s="1"/>
  <c r="D752" i="118" s="1"/>
  <c r="D982" i="118" s="1"/>
  <c r="D1212" i="118" s="1"/>
  <c r="D1442" i="118" s="1"/>
  <c r="D1672" i="118" s="1"/>
  <c r="E295" i="118"/>
  <c r="E525" i="118" s="1"/>
  <c r="E755" i="118" s="1"/>
  <c r="E985" i="118" s="1"/>
  <c r="E1215" i="118" s="1"/>
  <c r="E1445" i="118" s="1"/>
  <c r="E1675" i="118" s="1"/>
  <c r="D316" i="118"/>
  <c r="D546" i="118" s="1"/>
  <c r="D776" i="118" s="1"/>
  <c r="D1006" i="118" s="1"/>
  <c r="D1236" i="118" s="1"/>
  <c r="D1466" i="118" s="1"/>
  <c r="D1696" i="118" s="1"/>
  <c r="F457" i="118"/>
  <c r="H227" i="118"/>
  <c r="N227" i="118" s="1"/>
  <c r="E240" i="118"/>
  <c r="E470" i="118" s="1"/>
  <c r="E700" i="118" s="1"/>
  <c r="E930" i="118" s="1"/>
  <c r="E1160" i="118" s="1"/>
  <c r="E1390" i="118" s="1"/>
  <c r="E1620" i="118" s="1"/>
  <c r="F272" i="118"/>
  <c r="H42" i="118"/>
  <c r="N42" i="118" s="1"/>
  <c r="G241" i="118"/>
  <c r="D261" i="118"/>
  <c r="D491" i="118" s="1"/>
  <c r="D721" i="118" s="1"/>
  <c r="D951" i="118" s="1"/>
  <c r="D1181" i="118" s="1"/>
  <c r="D1411" i="118" s="1"/>
  <c r="D1641" i="118" s="1"/>
  <c r="D271" i="118"/>
  <c r="D501" i="118" s="1"/>
  <c r="D731" i="118" s="1"/>
  <c r="D961" i="118" s="1"/>
  <c r="D1191" i="118" s="1"/>
  <c r="D1421" i="118" s="1"/>
  <c r="D1651" i="118" s="1"/>
  <c r="D274" i="118"/>
  <c r="D504" i="118" s="1"/>
  <c r="D734" i="118" s="1"/>
  <c r="D964" i="118" s="1"/>
  <c r="D1194" i="118" s="1"/>
  <c r="D1424" i="118" s="1"/>
  <c r="D1654" i="118" s="1"/>
  <c r="E280" i="118"/>
  <c r="E510" i="118" s="1"/>
  <c r="E740" i="118" s="1"/>
  <c r="E970" i="118" s="1"/>
  <c r="E1200" i="118" s="1"/>
  <c r="E1430" i="118" s="1"/>
  <c r="E1660" i="118" s="1"/>
  <c r="G298" i="118"/>
  <c r="G528" i="118" s="1"/>
  <c r="G758" i="118" s="1"/>
  <c r="G988" i="118" s="1"/>
  <c r="G1218" i="118" s="1"/>
  <c r="G1448" i="118" s="1"/>
  <c r="G1678" i="118" s="1"/>
  <c r="E309" i="118"/>
  <c r="E539" i="118" s="1"/>
  <c r="E769" i="118" s="1"/>
  <c r="E999" i="118" s="1"/>
  <c r="E1229" i="118" s="1"/>
  <c r="E1459" i="118" s="1"/>
  <c r="E1689" i="118" s="1"/>
  <c r="D318" i="118"/>
  <c r="D548" i="118" s="1"/>
  <c r="D778" i="118" s="1"/>
  <c r="D1008" i="118" s="1"/>
  <c r="D1238" i="118" s="1"/>
  <c r="D1468" i="118" s="1"/>
  <c r="D1698" i="118" s="1"/>
  <c r="G256" i="118"/>
  <c r="G486" i="118" s="1"/>
  <c r="G716" i="118" s="1"/>
  <c r="G946" i="118" s="1"/>
  <c r="G1176" i="118" s="1"/>
  <c r="G1406" i="118" s="1"/>
  <c r="G1636" i="118" s="1"/>
  <c r="F288" i="118"/>
  <c r="H68" i="118"/>
  <c r="N68" i="118" s="1"/>
  <c r="F298" i="118"/>
  <c r="D309" i="118"/>
  <c r="D539" i="118" s="1"/>
  <c r="D769" i="118" s="1"/>
  <c r="D999" i="118" s="1"/>
  <c r="D1229" i="118" s="1"/>
  <c r="D1459" i="118" s="1"/>
  <c r="D1689" i="118" s="1"/>
  <c r="D317" i="118"/>
  <c r="D547" i="118" s="1"/>
  <c r="D777" i="118" s="1"/>
  <c r="D1007" i="118" s="1"/>
  <c r="D1237" i="118" s="1"/>
  <c r="D1467" i="118" s="1"/>
  <c r="D1697" i="118" s="1"/>
  <c r="D244" i="118"/>
  <c r="D474" i="118" s="1"/>
  <c r="D704" i="118" s="1"/>
  <c r="D934" i="118" s="1"/>
  <c r="D1164" i="118" s="1"/>
  <c r="D1394" i="118" s="1"/>
  <c r="D1624" i="118" s="1"/>
  <c r="G261" i="118"/>
  <c r="G491" i="118" s="1"/>
  <c r="G721" i="118" s="1"/>
  <c r="G951" i="118" s="1"/>
  <c r="G1181" i="118" s="1"/>
  <c r="G1411" i="118" s="1"/>
  <c r="G1641" i="118" s="1"/>
  <c r="G263" i="118"/>
  <c r="G493" i="118" s="1"/>
  <c r="G723" i="118" s="1"/>
  <c r="G953" i="118" s="1"/>
  <c r="G1183" i="118" s="1"/>
  <c r="G1413" i="118" s="1"/>
  <c r="G1643" i="118" s="1"/>
  <c r="F271" i="118"/>
  <c r="H41" i="118"/>
  <c r="N41" i="118" s="1"/>
  <c r="F292" i="118"/>
  <c r="H62" i="118"/>
  <c r="N62" i="118" s="1"/>
  <c r="F296" i="118"/>
  <c r="H66" i="118"/>
  <c r="N66" i="118" s="1"/>
  <c r="D319" i="118"/>
  <c r="D549" i="118" s="1"/>
  <c r="D779" i="118" s="1"/>
  <c r="D1009" i="118" s="1"/>
  <c r="D1239" i="118" s="1"/>
  <c r="D1469" i="118" s="1"/>
  <c r="D1699" i="118" s="1"/>
  <c r="D242" i="118"/>
  <c r="D472" i="118" s="1"/>
  <c r="D702" i="118" s="1"/>
  <c r="D932" i="118" s="1"/>
  <c r="D1162" i="118" s="1"/>
  <c r="D1392" i="118" s="1"/>
  <c r="D1622" i="118" s="1"/>
  <c r="D272" i="118"/>
  <c r="D502" i="118" s="1"/>
  <c r="D732" i="118" s="1"/>
  <c r="D962" i="118" s="1"/>
  <c r="D1192" i="118" s="1"/>
  <c r="D1422" i="118" s="1"/>
  <c r="D1652" i="118" s="1"/>
  <c r="D293" i="118"/>
  <c r="D523" i="118" s="1"/>
  <c r="D753" i="118" s="1"/>
  <c r="D983" i="118" s="1"/>
  <c r="D1213" i="118" s="1"/>
  <c r="D1443" i="118" s="1"/>
  <c r="D1673" i="118" s="1"/>
  <c r="D275" i="118"/>
  <c r="D505" i="118" s="1"/>
  <c r="D735" i="118" s="1"/>
  <c r="D965" i="118" s="1"/>
  <c r="D1195" i="118" s="1"/>
  <c r="D1425" i="118" s="1"/>
  <c r="D1655" i="118" s="1"/>
  <c r="D299" i="118"/>
  <c r="D529" i="118" s="1"/>
  <c r="D759" i="118" s="1"/>
  <c r="D989" i="118" s="1"/>
  <c r="D1219" i="118" s="1"/>
  <c r="D1449" i="118" s="1"/>
  <c r="D1679" i="118" s="1"/>
  <c r="D255" i="118"/>
  <c r="D485" i="118" s="1"/>
  <c r="D715" i="118" s="1"/>
  <c r="D945" i="118" s="1"/>
  <c r="D1175" i="118" s="1"/>
  <c r="D1405" i="118" s="1"/>
  <c r="D1635" i="118" s="1"/>
  <c r="C316" i="118" l="1"/>
  <c r="C546" i="118" s="1"/>
  <c r="C776" i="118" s="1"/>
  <c r="C1006" i="118" s="1"/>
  <c r="C1236" i="118" s="1"/>
  <c r="C1466" i="118" s="1"/>
  <c r="C1696" i="118" s="1"/>
  <c r="D283" i="118"/>
  <c r="D513" i="118" s="1"/>
  <c r="D743" i="118" s="1"/>
  <c r="D973" i="118" s="1"/>
  <c r="D1203" i="118" s="1"/>
  <c r="D1433" i="118" s="1"/>
  <c r="D1663" i="118" s="1"/>
  <c r="D282" i="118"/>
  <c r="D512" i="118" s="1"/>
  <c r="D742" i="118" s="1"/>
  <c r="D972" i="118" s="1"/>
  <c r="D1202" i="118" s="1"/>
  <c r="D1432" i="118" s="1"/>
  <c r="D1662" i="118" s="1"/>
  <c r="H292" i="118"/>
  <c r="N292" i="118" s="1"/>
  <c r="F522" i="118"/>
  <c r="F518" i="118"/>
  <c r="H288" i="118"/>
  <c r="N288" i="118" s="1"/>
  <c r="G268" i="118"/>
  <c r="H38" i="118"/>
  <c r="N38" i="118" s="1"/>
  <c r="G296" i="118"/>
  <c r="O66" i="118"/>
  <c r="P66" i="118" s="1"/>
  <c r="F528" i="118"/>
  <c r="H298" i="118"/>
  <c r="N298" i="118" s="1"/>
  <c r="E260" i="118"/>
  <c r="E490" i="118" s="1"/>
  <c r="E720" i="118" s="1"/>
  <c r="E950" i="118" s="1"/>
  <c r="E1180" i="118" s="1"/>
  <c r="E1410" i="118" s="1"/>
  <c r="E1640" i="118" s="1"/>
  <c r="G288" i="118"/>
  <c r="G518" i="118" s="1"/>
  <c r="G748" i="118" s="1"/>
  <c r="G978" i="118" s="1"/>
  <c r="G1208" i="118" s="1"/>
  <c r="G1438" i="118" s="1"/>
  <c r="G1668" i="118" s="1"/>
  <c r="O58" i="118"/>
  <c r="P58" i="118" s="1"/>
  <c r="E308" i="118"/>
  <c r="E538" i="118" s="1"/>
  <c r="E768" i="118" s="1"/>
  <c r="E998" i="118" s="1"/>
  <c r="E1228" i="118" s="1"/>
  <c r="E1458" i="118" s="1"/>
  <c r="E1688" i="118" s="1"/>
  <c r="F501" i="118"/>
  <c r="H271" i="118"/>
  <c r="N271" i="118" s="1"/>
  <c r="F687" i="118"/>
  <c r="H457" i="118"/>
  <c r="N11" i="118"/>
  <c r="G264" i="118"/>
  <c r="H34" i="118"/>
  <c r="N34" i="118" s="1"/>
  <c r="F263" i="118"/>
  <c r="H33" i="118"/>
  <c r="N33" i="118" s="1"/>
  <c r="D313" i="118"/>
  <c r="D543" i="118" s="1"/>
  <c r="D773" i="118" s="1"/>
  <c r="D1003" i="118" s="1"/>
  <c r="D1233" i="118" s="1"/>
  <c r="D1463" i="118" s="1"/>
  <c r="D1693" i="118" s="1"/>
  <c r="E291" i="118"/>
  <c r="E521" i="118" s="1"/>
  <c r="E751" i="118" s="1"/>
  <c r="E981" i="118" s="1"/>
  <c r="E1211" i="118" s="1"/>
  <c r="E1441" i="118" s="1"/>
  <c r="E1671" i="118" s="1"/>
  <c r="C326" i="118"/>
  <c r="C556" i="118" s="1"/>
  <c r="C786" i="118" s="1"/>
  <c r="C1016" i="118" s="1"/>
  <c r="C1246" i="118" s="1"/>
  <c r="C1476" i="118" s="1"/>
  <c r="C1706" i="118" s="1"/>
  <c r="D267" i="118"/>
  <c r="D497" i="118" s="1"/>
  <c r="D727" i="118" s="1"/>
  <c r="D957" i="118" s="1"/>
  <c r="D1187" i="118" s="1"/>
  <c r="D1417" i="118" s="1"/>
  <c r="D1647" i="118" s="1"/>
  <c r="E253" i="118"/>
  <c r="E483" i="118" s="1"/>
  <c r="E713" i="118" s="1"/>
  <c r="E943" i="118" s="1"/>
  <c r="E1173" i="118" s="1"/>
  <c r="E1403" i="118" s="1"/>
  <c r="E1633" i="118" s="1"/>
  <c r="F471" i="118"/>
  <c r="H241" i="118"/>
  <c r="D323" i="118"/>
  <c r="D553" i="118" s="1"/>
  <c r="D783" i="118" s="1"/>
  <c r="D1013" i="118" s="1"/>
  <c r="D1243" i="118" s="1"/>
  <c r="D1473" i="118" s="1"/>
  <c r="D1703" i="118" s="1"/>
  <c r="E243" i="118"/>
  <c r="E473" i="118" s="1"/>
  <c r="E703" i="118" s="1"/>
  <c r="E933" i="118" s="1"/>
  <c r="E1163" i="118" s="1"/>
  <c r="E1393" i="118" s="1"/>
  <c r="E1623" i="118" s="1"/>
  <c r="D278" i="118"/>
  <c r="D508" i="118" s="1"/>
  <c r="D738" i="118" s="1"/>
  <c r="D968" i="118" s="1"/>
  <c r="D1198" i="118" s="1"/>
  <c r="D1428" i="118" s="1"/>
  <c r="D1658" i="118" s="1"/>
  <c r="D263" i="118"/>
  <c r="D493" i="118" s="1"/>
  <c r="D723" i="118" s="1"/>
  <c r="D953" i="118" s="1"/>
  <c r="D1183" i="118" s="1"/>
  <c r="D1413" i="118" s="1"/>
  <c r="D1643" i="118" s="1"/>
  <c r="D262" i="118"/>
  <c r="D492" i="118" s="1"/>
  <c r="D722" i="118" s="1"/>
  <c r="D952" i="118" s="1"/>
  <c r="D1182" i="118" s="1"/>
  <c r="D1412" i="118" s="1"/>
  <c r="D1642" i="118" s="1"/>
  <c r="G471" i="118"/>
  <c r="H27" i="118"/>
  <c r="N27" i="118" s="1"/>
  <c r="H26" i="118"/>
  <c r="N26" i="118" s="1"/>
  <c r="F487" i="118"/>
  <c r="H257" i="118"/>
  <c r="N257" i="118" s="1"/>
  <c r="H256" i="118"/>
  <c r="N256" i="118" s="1"/>
  <c r="F486" i="118"/>
  <c r="D245" i="118"/>
  <c r="D475" i="118" s="1"/>
  <c r="D705" i="118" s="1"/>
  <c r="D935" i="118" s="1"/>
  <c r="D1165" i="118" s="1"/>
  <c r="D1395" i="118" s="1"/>
  <c r="D1625" i="118" s="1"/>
  <c r="E265" i="118"/>
  <c r="E495" i="118" s="1"/>
  <c r="E725" i="118" s="1"/>
  <c r="E955" i="118" s="1"/>
  <c r="E1185" i="118" s="1"/>
  <c r="E1415" i="118" s="1"/>
  <c r="E1645" i="118" s="1"/>
  <c r="F526" i="118"/>
  <c r="H296" i="118"/>
  <c r="N296" i="118" s="1"/>
  <c r="F502" i="118"/>
  <c r="H272" i="118"/>
  <c r="N272" i="118" s="1"/>
  <c r="F508" i="118"/>
  <c r="H278" i="118"/>
  <c r="N278" i="118" s="1"/>
  <c r="F492" i="118"/>
  <c r="H14" i="118"/>
  <c r="N14" i="118" s="1"/>
  <c r="D304" i="118"/>
  <c r="D534" i="118" s="1"/>
  <c r="D764" i="118" s="1"/>
  <c r="D994" i="118" s="1"/>
  <c r="D1224" i="118" s="1"/>
  <c r="D1454" i="118" s="1"/>
  <c r="D1684" i="118" s="1"/>
  <c r="D310" i="118"/>
  <c r="D540" i="118" s="1"/>
  <c r="D770" i="118" s="1"/>
  <c r="D1000" i="118" s="1"/>
  <c r="D1230" i="118" s="1"/>
  <c r="D1460" i="118" s="1"/>
  <c r="D1690" i="118" s="1"/>
  <c r="E302" i="118"/>
  <c r="E532" i="118" s="1"/>
  <c r="E762" i="118" s="1"/>
  <c r="E992" i="118" s="1"/>
  <c r="E1222" i="118" s="1"/>
  <c r="E1452" i="118" s="1"/>
  <c r="E1682" i="118" s="1"/>
  <c r="F267" i="118"/>
  <c r="H37" i="118"/>
  <c r="N37" i="118" s="1"/>
  <c r="H58" i="118"/>
  <c r="N58" i="118" s="1"/>
  <c r="H48" i="118"/>
  <c r="N48" i="118" s="1"/>
  <c r="F474" i="118"/>
  <c r="H244" i="118"/>
  <c r="N244" i="118" s="1"/>
  <c r="D294" i="118"/>
  <c r="D524" i="118" s="1"/>
  <c r="D754" i="118" s="1"/>
  <c r="D984" i="118" s="1"/>
  <c r="D1214" i="118" s="1"/>
  <c r="D1444" i="118" s="1"/>
  <c r="D1674" i="118" s="1"/>
  <c r="D279" i="118"/>
  <c r="D509" i="118" s="1"/>
  <c r="D739" i="118" s="1"/>
  <c r="D969" i="118" s="1"/>
  <c r="D1199" i="118" s="1"/>
  <c r="D1429" i="118" s="1"/>
  <c r="D1659" i="118" s="1"/>
  <c r="D256" i="118"/>
  <c r="D486" i="118" s="1"/>
  <c r="D716" i="118" s="1"/>
  <c r="D946" i="118" s="1"/>
  <c r="D1176" i="118" s="1"/>
  <c r="D1406" i="118" s="1"/>
  <c r="D1636" i="118" s="1"/>
  <c r="D300" i="118"/>
  <c r="D530" i="118" s="1"/>
  <c r="D760" i="118" s="1"/>
  <c r="D990" i="118" s="1"/>
  <c r="D1220" i="118" s="1"/>
  <c r="D1450" i="118" s="1"/>
  <c r="D1680" i="118" s="1"/>
  <c r="D264" i="118"/>
  <c r="D494" i="118" s="1"/>
  <c r="D724" i="118" s="1"/>
  <c r="D954" i="118" s="1"/>
  <c r="D1184" i="118" s="1"/>
  <c r="D1414" i="118" s="1"/>
  <c r="D1644" i="118" s="1"/>
  <c r="D284" i="118"/>
  <c r="D514" i="118" s="1"/>
  <c r="D744" i="118" s="1"/>
  <c r="D974" i="118" s="1"/>
  <c r="D1204" i="118" s="1"/>
  <c r="D1434" i="118" s="1"/>
  <c r="D1664" i="118" s="1"/>
  <c r="C317" i="118" l="1"/>
  <c r="C547" i="118" s="1"/>
  <c r="C777" i="118" s="1"/>
  <c r="C1007" i="118" s="1"/>
  <c r="C1237" i="118" s="1"/>
  <c r="C1467" i="118" s="1"/>
  <c r="C1697" i="118" s="1"/>
  <c r="F738" i="118"/>
  <c r="H508" i="118"/>
  <c r="N508" i="118" s="1"/>
  <c r="G701" i="118"/>
  <c r="F917" i="118"/>
  <c r="H687" i="118"/>
  <c r="F748" i="118"/>
  <c r="H518" i="118"/>
  <c r="N518" i="118" s="1"/>
  <c r="F261" i="118"/>
  <c r="H31" i="118"/>
  <c r="N31" i="118" s="1"/>
  <c r="F235" i="118"/>
  <c r="F704" i="118"/>
  <c r="H474" i="118"/>
  <c r="N474" i="118" s="1"/>
  <c r="F716" i="118"/>
  <c r="H486" i="118"/>
  <c r="N486" i="118" s="1"/>
  <c r="G262" i="118"/>
  <c r="H32" i="118"/>
  <c r="N32" i="118" s="1"/>
  <c r="F752" i="118"/>
  <c r="H522" i="118"/>
  <c r="N522" i="118" s="1"/>
  <c r="D324" i="118"/>
  <c r="D554" i="118" s="1"/>
  <c r="D784" i="118" s="1"/>
  <c r="D1014" i="118" s="1"/>
  <c r="D1244" i="118" s="1"/>
  <c r="D1474" i="118" s="1"/>
  <c r="D1704" i="118" s="1"/>
  <c r="F732" i="118"/>
  <c r="H502" i="118"/>
  <c r="N502" i="118" s="1"/>
  <c r="F493" i="118"/>
  <c r="H263" i="118"/>
  <c r="N263" i="118" s="1"/>
  <c r="F731" i="118"/>
  <c r="H501" i="118"/>
  <c r="N501" i="118" s="1"/>
  <c r="H528" i="118"/>
  <c r="N528" i="118" s="1"/>
  <c r="F758" i="118"/>
  <c r="C327" i="118"/>
  <c r="C557" i="118" s="1"/>
  <c r="C787" i="118" s="1"/>
  <c r="C1017" i="118" s="1"/>
  <c r="C1247" i="118" s="1"/>
  <c r="C1477" i="118" s="1"/>
  <c r="C1707" i="118" s="1"/>
  <c r="F756" i="118"/>
  <c r="F717" i="118"/>
  <c r="H487" i="118"/>
  <c r="N487" i="118" s="1"/>
  <c r="N241" i="118"/>
  <c r="G494" i="118"/>
  <c r="H264" i="118"/>
  <c r="N264" i="118" s="1"/>
  <c r="G526" i="118"/>
  <c r="G756" i="118" s="1"/>
  <c r="G986" i="118" s="1"/>
  <c r="G1216" i="118" s="1"/>
  <c r="G1446" i="118" s="1"/>
  <c r="G1676" i="118" s="1"/>
  <c r="O296" i="118"/>
  <c r="P296" i="118" s="1"/>
  <c r="H267" i="118"/>
  <c r="N267" i="118" s="1"/>
  <c r="F497" i="118"/>
  <c r="F722" i="118"/>
  <c r="F701" i="118"/>
  <c r="H471" i="118"/>
  <c r="H235" i="118"/>
  <c r="D268" i="118"/>
  <c r="D498" i="118" s="1"/>
  <c r="D728" i="118" s="1"/>
  <c r="D958" i="118" s="1"/>
  <c r="D1188" i="118" s="1"/>
  <c r="D1418" i="118" s="1"/>
  <c r="D1648" i="118" s="1"/>
  <c r="D246" i="118"/>
  <c r="D476" i="118" s="1"/>
  <c r="D706" i="118" s="1"/>
  <c r="D936" i="118" s="1"/>
  <c r="D1166" i="118" s="1"/>
  <c r="D1396" i="118" s="1"/>
  <c r="D1626" i="118" s="1"/>
  <c r="D305" i="118"/>
  <c r="D535" i="118" s="1"/>
  <c r="D765" i="118" s="1"/>
  <c r="D995" i="118" s="1"/>
  <c r="D1225" i="118" s="1"/>
  <c r="D1455" i="118" s="1"/>
  <c r="D1685" i="118" s="1"/>
  <c r="G235" i="118"/>
  <c r="N235" i="118"/>
  <c r="G498" i="118"/>
  <c r="H268" i="118"/>
  <c r="N268" i="118" s="1"/>
  <c r="D269" i="118"/>
  <c r="D499" i="118" s="1"/>
  <c r="D729" i="118" s="1"/>
  <c r="D959" i="118" s="1"/>
  <c r="D1189" i="118" s="1"/>
  <c r="D1419" i="118" s="1"/>
  <c r="D1649" i="118" s="1"/>
  <c r="D301" i="118"/>
  <c r="D531" i="118" s="1"/>
  <c r="D761" i="118" s="1"/>
  <c r="D991" i="118" s="1"/>
  <c r="D1221" i="118" s="1"/>
  <c r="D1451" i="118" s="1"/>
  <c r="D1681" i="118" s="1"/>
  <c r="D257" i="118"/>
  <c r="D487" i="118" s="1"/>
  <c r="D717" i="118" s="1"/>
  <c r="D947" i="118" s="1"/>
  <c r="D1177" i="118" s="1"/>
  <c r="D1407" i="118" s="1"/>
  <c r="D1637" i="118" s="1"/>
  <c r="D285" i="118"/>
  <c r="D515" i="118" s="1"/>
  <c r="D745" i="118" s="1"/>
  <c r="D975" i="118" s="1"/>
  <c r="D1205" i="118" s="1"/>
  <c r="D1435" i="118" s="1"/>
  <c r="D1665" i="118" s="1"/>
  <c r="F931" i="118" l="1"/>
  <c r="H701" i="118"/>
  <c r="G724" i="118"/>
  <c r="H494" i="118"/>
  <c r="N494" i="118" s="1"/>
  <c r="H732" i="118"/>
  <c r="N732" i="118" s="1"/>
  <c r="F962" i="118"/>
  <c r="F946" i="118"/>
  <c r="H716" i="118"/>
  <c r="N716" i="118" s="1"/>
  <c r="C318" i="118"/>
  <c r="C548" i="118" s="1"/>
  <c r="C778" i="118" s="1"/>
  <c r="C1008" i="118" s="1"/>
  <c r="C1238" i="118" s="1"/>
  <c r="C1468" i="118" s="1"/>
  <c r="C1698" i="118" s="1"/>
  <c r="D306" i="118"/>
  <c r="D536" i="118" s="1"/>
  <c r="D766" i="118" s="1"/>
  <c r="D996" i="118" s="1"/>
  <c r="D1226" i="118" s="1"/>
  <c r="D1456" i="118" s="1"/>
  <c r="D1686" i="118" s="1"/>
  <c r="F988" i="118"/>
  <c r="H758" i="118"/>
  <c r="N758" i="118" s="1"/>
  <c r="F1147" i="118"/>
  <c r="H917" i="118"/>
  <c r="F952" i="118"/>
  <c r="F934" i="118"/>
  <c r="H704" i="118"/>
  <c r="N704" i="118" s="1"/>
  <c r="F727" i="118"/>
  <c r="H497" i="118"/>
  <c r="N497" i="118" s="1"/>
  <c r="G931" i="118"/>
  <c r="C328" i="118"/>
  <c r="C558" i="118" s="1"/>
  <c r="C788" i="118" s="1"/>
  <c r="C1018" i="118" s="1"/>
  <c r="C1248" i="118" s="1"/>
  <c r="C1478" i="118" s="1"/>
  <c r="C1708" i="118" s="1"/>
  <c r="G728" i="118"/>
  <c r="H498" i="118"/>
  <c r="N498" i="118" s="1"/>
  <c r="F947" i="118"/>
  <c r="H717" i="118"/>
  <c r="N717" i="118" s="1"/>
  <c r="H731" i="118"/>
  <c r="N731" i="118" s="1"/>
  <c r="F961" i="118"/>
  <c r="H752" i="118"/>
  <c r="N752" i="118" s="1"/>
  <c r="F982" i="118"/>
  <c r="D307" i="118"/>
  <c r="D537" i="118" s="1"/>
  <c r="D767" i="118" s="1"/>
  <c r="D997" i="118" s="1"/>
  <c r="D1227" i="118" s="1"/>
  <c r="D1457" i="118" s="1"/>
  <c r="D1687" i="118" s="1"/>
  <c r="H526" i="118"/>
  <c r="N526" i="118" s="1"/>
  <c r="F491" i="118"/>
  <c r="H261" i="118"/>
  <c r="F465" i="118"/>
  <c r="F968" i="118"/>
  <c r="H738" i="118"/>
  <c r="N738" i="118" s="1"/>
  <c r="F986" i="118"/>
  <c r="H756" i="118"/>
  <c r="N756" i="118" s="1"/>
  <c r="F723" i="118"/>
  <c r="H493" i="118"/>
  <c r="N493" i="118" s="1"/>
  <c r="G492" i="118"/>
  <c r="H262" i="118"/>
  <c r="N262" i="118" s="1"/>
  <c r="G465" i="118"/>
  <c r="D325" i="118"/>
  <c r="D555" i="118" s="1"/>
  <c r="D785" i="118" s="1"/>
  <c r="D1015" i="118" s="1"/>
  <c r="D1245" i="118" s="1"/>
  <c r="D1475" i="118" s="1"/>
  <c r="D1705" i="118" s="1"/>
  <c r="D247" i="118"/>
  <c r="D477" i="118" s="1"/>
  <c r="D707" i="118" s="1"/>
  <c r="D937" i="118" s="1"/>
  <c r="D1167" i="118" s="1"/>
  <c r="D1397" i="118" s="1"/>
  <c r="D1627" i="118" s="1"/>
  <c r="N471" i="118"/>
  <c r="H748" i="118"/>
  <c r="N748" i="118" s="1"/>
  <c r="F978" i="118"/>
  <c r="D258" i="118"/>
  <c r="D488" i="118" s="1"/>
  <c r="D718" i="118" s="1"/>
  <c r="D948" i="118" s="1"/>
  <c r="D1178" i="118" s="1"/>
  <c r="D1408" i="118" s="1"/>
  <c r="D1638" i="118" s="1"/>
  <c r="D286" i="118"/>
  <c r="D516" i="118" s="1"/>
  <c r="D746" i="118" s="1"/>
  <c r="D976" i="118" s="1"/>
  <c r="D1206" i="118" s="1"/>
  <c r="D1436" i="118" s="1"/>
  <c r="D1666" i="118" s="1"/>
  <c r="F721" i="118" l="1"/>
  <c r="H491" i="118"/>
  <c r="F695" i="118"/>
  <c r="F1377" i="118"/>
  <c r="H1147" i="118"/>
  <c r="H946" i="118"/>
  <c r="N946" i="118" s="1"/>
  <c r="F1176" i="118"/>
  <c r="H723" i="118"/>
  <c r="N723" i="118" s="1"/>
  <c r="F953" i="118"/>
  <c r="F1177" i="118"/>
  <c r="H947" i="118"/>
  <c r="N947" i="118" s="1"/>
  <c r="H727" i="118"/>
  <c r="N727" i="118" s="1"/>
  <c r="F957" i="118"/>
  <c r="F1192" i="118"/>
  <c r="H962" i="118"/>
  <c r="N962" i="118" s="1"/>
  <c r="H988" i="118"/>
  <c r="N988" i="118" s="1"/>
  <c r="F1218" i="118"/>
  <c r="H986" i="118"/>
  <c r="N986" i="118" s="1"/>
  <c r="F1216" i="118"/>
  <c r="G958" i="118"/>
  <c r="H728" i="118"/>
  <c r="N728" i="118" s="1"/>
  <c r="H934" i="118"/>
  <c r="N934" i="118" s="1"/>
  <c r="F1164" i="118"/>
  <c r="H982" i="118"/>
  <c r="N982" i="118" s="1"/>
  <c r="F1212" i="118"/>
  <c r="G954" i="118"/>
  <c r="H724" i="118"/>
  <c r="N724" i="118" s="1"/>
  <c r="C329" i="118"/>
  <c r="C559" i="118" s="1"/>
  <c r="C789" i="118" s="1"/>
  <c r="C1019" i="118" s="1"/>
  <c r="C1249" i="118" s="1"/>
  <c r="C1479" i="118" s="1"/>
  <c r="C1709" i="118" s="1"/>
  <c r="H978" i="118"/>
  <c r="N978" i="118" s="1"/>
  <c r="F1208" i="118"/>
  <c r="F1191" i="118"/>
  <c r="H961" i="118"/>
  <c r="N961" i="118" s="1"/>
  <c r="F1182" i="118"/>
  <c r="N701" i="118"/>
  <c r="D326" i="118"/>
  <c r="D556" i="118" s="1"/>
  <c r="D786" i="118" s="1"/>
  <c r="D1016" i="118" s="1"/>
  <c r="D1246" i="118" s="1"/>
  <c r="D1476" i="118" s="1"/>
  <c r="D1706" i="118" s="1"/>
  <c r="H968" i="118"/>
  <c r="N968" i="118" s="1"/>
  <c r="F1198" i="118"/>
  <c r="D248" i="118"/>
  <c r="D478" i="118" s="1"/>
  <c r="D708" i="118" s="1"/>
  <c r="D938" i="118" s="1"/>
  <c r="D1168" i="118" s="1"/>
  <c r="D1398" i="118" s="1"/>
  <c r="D1628" i="118" s="1"/>
  <c r="C319" i="118"/>
  <c r="C549" i="118" s="1"/>
  <c r="C779" i="118" s="1"/>
  <c r="C1009" i="118" s="1"/>
  <c r="C1239" i="118" s="1"/>
  <c r="C1469" i="118" s="1"/>
  <c r="C1699" i="118" s="1"/>
  <c r="G722" i="118"/>
  <c r="G695" i="118"/>
  <c r="H492" i="118"/>
  <c r="N492" i="118" s="1"/>
  <c r="N261" i="118"/>
  <c r="N465" i="118" s="1"/>
  <c r="H465" i="118"/>
  <c r="G1161" i="118"/>
  <c r="H931" i="118"/>
  <c r="F1161" i="118"/>
  <c r="D259" i="118"/>
  <c r="D489" i="118" s="1"/>
  <c r="D719" i="118" s="1"/>
  <c r="D949" i="118" s="1"/>
  <c r="D1179" i="118" s="1"/>
  <c r="D1409" i="118" s="1"/>
  <c r="D1639" i="118" s="1"/>
  <c r="F1438" i="118" l="1"/>
  <c r="H1208" i="118"/>
  <c r="N1208" i="118" s="1"/>
  <c r="F1394" i="118"/>
  <c r="H1164" i="118"/>
  <c r="N1164" i="118" s="1"/>
  <c r="F1406" i="118"/>
  <c r="H1176" i="118"/>
  <c r="N1176" i="118" s="1"/>
  <c r="G952" i="118"/>
  <c r="G925" i="118"/>
  <c r="H722" i="118"/>
  <c r="N722" i="118" s="1"/>
  <c r="H1192" i="118"/>
  <c r="N1192" i="118" s="1"/>
  <c r="F1422" i="118"/>
  <c r="F1187" i="118"/>
  <c r="H957" i="118"/>
  <c r="N957" i="118" s="1"/>
  <c r="G1188" i="118"/>
  <c r="H958" i="118"/>
  <c r="N958" i="118" s="1"/>
  <c r="H1377" i="118"/>
  <c r="F1607" i="118"/>
  <c r="C330" i="118"/>
  <c r="C560" i="118" s="1"/>
  <c r="C790" i="118" s="1"/>
  <c r="C1020" i="118" s="1"/>
  <c r="C1250" i="118" s="1"/>
  <c r="C1480" i="118" s="1"/>
  <c r="C1710" i="118" s="1"/>
  <c r="N931" i="118"/>
  <c r="G1391" i="118"/>
  <c r="F1446" i="118"/>
  <c r="H1216" i="118"/>
  <c r="N1216" i="118" s="1"/>
  <c r="C320" i="118"/>
  <c r="C550" i="118" s="1"/>
  <c r="C780" i="118" s="1"/>
  <c r="C1010" i="118" s="1"/>
  <c r="C1240" i="118" s="1"/>
  <c r="C1470" i="118" s="1"/>
  <c r="C1700" i="118" s="1"/>
  <c r="F1412" i="118"/>
  <c r="G1184" i="118"/>
  <c r="H954" i="118"/>
  <c r="N954" i="118" s="1"/>
  <c r="F1407" i="118"/>
  <c r="H1177" i="118"/>
  <c r="N1177" i="118" s="1"/>
  <c r="N491" i="118"/>
  <c r="N695" i="118" s="1"/>
  <c r="H695" i="118"/>
  <c r="F1391" i="118"/>
  <c r="H1161" i="118"/>
  <c r="F1428" i="118"/>
  <c r="H1198" i="118"/>
  <c r="N1198" i="118" s="1"/>
  <c r="F1442" i="118"/>
  <c r="H1212" i="118"/>
  <c r="N1212" i="118" s="1"/>
  <c r="F1448" i="118"/>
  <c r="H1218" i="118"/>
  <c r="N1218" i="118" s="1"/>
  <c r="F1183" i="118"/>
  <c r="H953" i="118"/>
  <c r="N953" i="118" s="1"/>
  <c r="F951" i="118"/>
  <c r="H721" i="118"/>
  <c r="F925" i="118"/>
  <c r="D327" i="118"/>
  <c r="D557" i="118" s="1"/>
  <c r="D787" i="118" s="1"/>
  <c r="D1017" i="118" s="1"/>
  <c r="D1247" i="118" s="1"/>
  <c r="D1477" i="118" s="1"/>
  <c r="D1707" i="118" s="1"/>
  <c r="D249" i="118"/>
  <c r="D479" i="118" s="1"/>
  <c r="D709" i="118" s="1"/>
  <c r="D939" i="118" s="1"/>
  <c r="D1169" i="118" s="1"/>
  <c r="D1399" i="118" s="1"/>
  <c r="D1629" i="118" s="1"/>
  <c r="F1421" i="118"/>
  <c r="H1191" i="118"/>
  <c r="N1191" i="118" s="1"/>
  <c r="D250" i="118"/>
  <c r="D480" i="118" s="1"/>
  <c r="D710" i="118" s="1"/>
  <c r="D940" i="118" s="1"/>
  <c r="D1170" i="118" s="1"/>
  <c r="D1400" i="118" s="1"/>
  <c r="D1630" i="118" s="1"/>
  <c r="G1414" i="118" l="1"/>
  <c r="H1184" i="118"/>
  <c r="N1184" i="118" s="1"/>
  <c r="G1621" i="118"/>
  <c r="G1418" i="118"/>
  <c r="H1188" i="118"/>
  <c r="N1188" i="118" s="1"/>
  <c r="G1182" i="118"/>
  <c r="G1155" i="118"/>
  <c r="H952" i="118"/>
  <c r="N952" i="118" s="1"/>
  <c r="C331" i="118"/>
  <c r="C561" i="118" s="1"/>
  <c r="C791" i="118" s="1"/>
  <c r="C1021" i="118" s="1"/>
  <c r="C1251" i="118" s="1"/>
  <c r="C1481" i="118" s="1"/>
  <c r="C1711" i="118" s="1"/>
  <c r="F1413" i="118"/>
  <c r="H1183" i="118"/>
  <c r="N1183" i="118" s="1"/>
  <c r="N1161" i="118"/>
  <c r="F1658" i="118"/>
  <c r="H1658" i="118" s="1"/>
  <c r="N1658" i="118" s="1"/>
  <c r="H1428" i="118"/>
  <c r="N1428" i="118" s="1"/>
  <c r="F1621" i="118"/>
  <c r="H1391" i="118"/>
  <c r="F1642" i="118"/>
  <c r="F1636" i="118"/>
  <c r="H1636" i="118" s="1"/>
  <c r="N1636" i="118" s="1"/>
  <c r="H1406" i="118"/>
  <c r="N1406" i="118" s="1"/>
  <c r="C312" i="118"/>
  <c r="C542" i="118" s="1"/>
  <c r="C772" i="118" s="1"/>
  <c r="C1002" i="118" s="1"/>
  <c r="C1232" i="118" s="1"/>
  <c r="C1462" i="118" s="1"/>
  <c r="C1692" i="118" s="1"/>
  <c r="F1678" i="118"/>
  <c r="H1678" i="118" s="1"/>
  <c r="N1678" i="118" s="1"/>
  <c r="H1448" i="118"/>
  <c r="N1448" i="118" s="1"/>
  <c r="H1187" i="118"/>
  <c r="N1187" i="118" s="1"/>
  <c r="F1417" i="118"/>
  <c r="H951" i="118"/>
  <c r="F1181" i="118"/>
  <c r="F1155" i="118"/>
  <c r="F1652" i="118"/>
  <c r="H1652" i="118" s="1"/>
  <c r="N1652" i="118" s="1"/>
  <c r="H1422" i="118"/>
  <c r="N1422" i="118" s="1"/>
  <c r="F1624" i="118"/>
  <c r="H1624" i="118" s="1"/>
  <c r="N1624" i="118" s="1"/>
  <c r="H1394" i="118"/>
  <c r="N1394" i="118" s="1"/>
  <c r="F1672" i="118"/>
  <c r="H1672" i="118" s="1"/>
  <c r="N1672" i="118" s="1"/>
  <c r="H1442" i="118"/>
  <c r="N1442" i="118" s="1"/>
  <c r="H1607" i="118"/>
  <c r="F1837" i="118"/>
  <c r="H1837" i="118" s="1"/>
  <c r="F1651" i="118"/>
  <c r="H1651" i="118" s="1"/>
  <c r="N1651" i="118" s="1"/>
  <c r="H1421" i="118"/>
  <c r="N1421" i="118" s="1"/>
  <c r="C309" i="118"/>
  <c r="C539" i="118" s="1"/>
  <c r="C769" i="118" s="1"/>
  <c r="C999" i="118" s="1"/>
  <c r="C1229" i="118" s="1"/>
  <c r="C1459" i="118" s="1"/>
  <c r="C1689" i="118" s="1"/>
  <c r="D328" i="118"/>
  <c r="D558" i="118" s="1"/>
  <c r="D788" i="118" s="1"/>
  <c r="D1018" i="118" s="1"/>
  <c r="D1248" i="118" s="1"/>
  <c r="D1478" i="118" s="1"/>
  <c r="D1708" i="118" s="1"/>
  <c r="N721" i="118"/>
  <c r="N925" i="118" s="1"/>
  <c r="H925" i="118"/>
  <c r="F1637" i="118"/>
  <c r="H1637" i="118" s="1"/>
  <c r="N1637" i="118" s="1"/>
  <c r="H1407" i="118"/>
  <c r="N1407" i="118" s="1"/>
  <c r="H1446" i="118"/>
  <c r="N1446" i="118" s="1"/>
  <c r="F1676" i="118"/>
  <c r="H1676" i="118" s="1"/>
  <c r="N1676" i="118" s="1"/>
  <c r="F1668" i="118"/>
  <c r="H1668" i="118" s="1"/>
  <c r="N1668" i="118" s="1"/>
  <c r="H1438" i="118"/>
  <c r="N1438" i="118" s="1"/>
  <c r="H1417" i="118" l="1"/>
  <c r="N1417" i="118" s="1"/>
  <c r="F1647" i="118"/>
  <c r="H1647" i="118" s="1"/>
  <c r="N1647" i="118" s="1"/>
  <c r="G1412" i="118"/>
  <c r="H1182" i="118"/>
  <c r="N1182" i="118" s="1"/>
  <c r="G1385" i="118"/>
  <c r="C313" i="118"/>
  <c r="C543" i="118" s="1"/>
  <c r="C773" i="118" s="1"/>
  <c r="C1003" i="118" s="1"/>
  <c r="C1233" i="118" s="1"/>
  <c r="C1463" i="118" s="1"/>
  <c r="C1693" i="118" s="1"/>
  <c r="G1648" i="118"/>
  <c r="H1648" i="118" s="1"/>
  <c r="N1648" i="118" s="1"/>
  <c r="H1418" i="118"/>
  <c r="N1418" i="118" s="1"/>
  <c r="F1643" i="118"/>
  <c r="H1643" i="118" s="1"/>
  <c r="N1643" i="118" s="1"/>
  <c r="H1413" i="118"/>
  <c r="N1413" i="118" s="1"/>
  <c r="N1391" i="118"/>
  <c r="N951" i="118"/>
  <c r="N1155" i="118" s="1"/>
  <c r="H1155" i="118"/>
  <c r="H1621" i="118"/>
  <c r="D329" i="118"/>
  <c r="D559" i="118" s="1"/>
  <c r="D789" i="118" s="1"/>
  <c r="D1019" i="118" s="1"/>
  <c r="D1249" i="118" s="1"/>
  <c r="D1479" i="118" s="1"/>
  <c r="D1709" i="118" s="1"/>
  <c r="C310" i="118"/>
  <c r="C540" i="118" s="1"/>
  <c r="C770" i="118" s="1"/>
  <c r="C1000" i="118" s="1"/>
  <c r="C1230" i="118" s="1"/>
  <c r="C1460" i="118" s="1"/>
  <c r="C1690" i="118" s="1"/>
  <c r="F1411" i="118"/>
  <c r="H1181" i="118"/>
  <c r="F1385" i="118"/>
  <c r="G1644" i="118"/>
  <c r="H1644" i="118" s="1"/>
  <c r="N1644" i="118" s="1"/>
  <c r="H1414" i="118"/>
  <c r="N1414" i="118" s="1"/>
  <c r="D330" i="118" l="1"/>
  <c r="D560" i="118" s="1"/>
  <c r="D790" i="118" s="1"/>
  <c r="D1020" i="118" s="1"/>
  <c r="D1250" i="118" s="1"/>
  <c r="D1480" i="118" s="1"/>
  <c r="D1710" i="118" s="1"/>
  <c r="N1621" i="118"/>
  <c r="G1642" i="118"/>
  <c r="G1615" i="118"/>
  <c r="H1412" i="118"/>
  <c r="N1412" i="118" s="1"/>
  <c r="N1181" i="118"/>
  <c r="N1385" i="118" s="1"/>
  <c r="H1385" i="118"/>
  <c r="H1411" i="118"/>
  <c r="F1641" i="118"/>
  <c r="F1615" i="118"/>
  <c r="H1642" i="118" l="1"/>
  <c r="N1642" i="118" s="1"/>
  <c r="G1845" i="118"/>
  <c r="H1641" i="118"/>
  <c r="F1845" i="118"/>
  <c r="N1411" i="118"/>
  <c r="N1615" i="118" s="1"/>
  <c r="H1615" i="118"/>
  <c r="D331" i="118"/>
  <c r="D561" i="118" s="1"/>
  <c r="D791" i="118" s="1"/>
  <c r="D1021" i="118" s="1"/>
  <c r="D1251" i="118" s="1"/>
  <c r="D1481" i="118" s="1"/>
  <c r="D1711" i="118" s="1"/>
  <c r="N1641" i="118" l="1"/>
  <c r="N1845" i="118" s="1"/>
  <c r="H1845" i="118"/>
  <c r="C303" i="118" l="1"/>
  <c r="C533" i="118" s="1"/>
  <c r="C763" i="118" s="1"/>
  <c r="C993" i="118" s="1"/>
  <c r="C1223" i="118" s="1"/>
  <c r="C1453" i="118" s="1"/>
  <c r="C1683" i="118" s="1"/>
  <c r="C271" i="118" l="1"/>
  <c r="C501" i="118" s="1"/>
  <c r="C731" i="118" s="1"/>
  <c r="C961" i="118" s="1"/>
  <c r="C1191" i="118" s="1"/>
  <c r="C1421" i="118" s="1"/>
  <c r="C1651" i="118" s="1"/>
  <c r="C241" i="118"/>
  <c r="C471" i="118" s="1"/>
  <c r="C701" i="118" s="1"/>
  <c r="C931" i="118" s="1"/>
  <c r="C1161" i="118" s="1"/>
  <c r="C1391" i="118" s="1"/>
  <c r="C1621" i="118" s="1"/>
  <c r="C254" i="118"/>
  <c r="C484" i="118" s="1"/>
  <c r="C714" i="118" s="1"/>
  <c r="C944" i="118" s="1"/>
  <c r="C1174" i="118" s="1"/>
  <c r="C1404" i="118" s="1"/>
  <c r="C1634" i="118" s="1"/>
  <c r="C298" i="118"/>
  <c r="C528" i="118" s="1"/>
  <c r="C758" i="118" s="1"/>
  <c r="C988" i="118" s="1"/>
  <c r="C1218" i="118" s="1"/>
  <c r="C1448" i="118" s="1"/>
  <c r="C1678" i="118" s="1"/>
  <c r="C274" i="118"/>
  <c r="C504" i="118" s="1"/>
  <c r="C734" i="118" s="1"/>
  <c r="C964" i="118" s="1"/>
  <c r="C1194" i="118" s="1"/>
  <c r="C1424" i="118" s="1"/>
  <c r="C1654" i="118" s="1"/>
  <c r="C244" i="118"/>
  <c r="C474" i="118" s="1"/>
  <c r="C704" i="118" s="1"/>
  <c r="C934" i="118" s="1"/>
  <c r="C1164" i="118" s="1"/>
  <c r="C1394" i="118" s="1"/>
  <c r="C1624" i="118" s="1"/>
  <c r="C277" i="118"/>
  <c r="C507" i="118" s="1"/>
  <c r="C737" i="118" s="1"/>
  <c r="C967" i="118" s="1"/>
  <c r="C1197" i="118" s="1"/>
  <c r="C1427" i="118" s="1"/>
  <c r="C1657" i="118" s="1"/>
  <c r="C252" i="118"/>
  <c r="C482" i="118" s="1"/>
  <c r="C712" i="118" s="1"/>
  <c r="C942" i="118" s="1"/>
  <c r="C1172" i="118" s="1"/>
  <c r="C1402" i="118" s="1"/>
  <c r="C1632" i="118" s="1"/>
  <c r="C281" i="118"/>
  <c r="C511" i="118" s="1"/>
  <c r="C741" i="118" s="1"/>
  <c r="C971" i="118" s="1"/>
  <c r="C1201" i="118" s="1"/>
  <c r="C1431" i="118" s="1"/>
  <c r="C1661" i="118" s="1"/>
  <c r="C261" i="118"/>
  <c r="C491" i="118" s="1"/>
  <c r="C721" i="118" s="1"/>
  <c r="C951" i="118" s="1"/>
  <c r="C1181" i="118" s="1"/>
  <c r="C1411" i="118" s="1"/>
  <c r="C1641" i="118" s="1"/>
  <c r="C288" i="118"/>
  <c r="C518" i="118" s="1"/>
  <c r="C748" i="118" s="1"/>
  <c r="C978" i="118" s="1"/>
  <c r="C1208" i="118" s="1"/>
  <c r="C1438" i="118" s="1"/>
  <c r="C1668" i="118" s="1"/>
  <c r="C262" i="118"/>
  <c r="C492" i="118" s="1"/>
  <c r="C722" i="118" s="1"/>
  <c r="C952" i="118" s="1"/>
  <c r="C1182" i="118" s="1"/>
  <c r="C1412" i="118" s="1"/>
  <c r="C1642" i="118" s="1"/>
  <c r="C290" i="118"/>
  <c r="C520" i="118" s="1"/>
  <c r="C750" i="118" s="1"/>
  <c r="C980" i="118" s="1"/>
  <c r="C1210" i="118" s="1"/>
  <c r="C1440" i="118" s="1"/>
  <c r="C1670" i="118" s="1"/>
  <c r="C263" i="118"/>
  <c r="C493" i="118" s="1"/>
  <c r="C723" i="118" s="1"/>
  <c r="C953" i="118" s="1"/>
  <c r="C1183" i="118" s="1"/>
  <c r="C1413" i="118" s="1"/>
  <c r="C1643" i="118" s="1"/>
  <c r="C292" i="118"/>
  <c r="C522" i="118" s="1"/>
  <c r="C752" i="118" s="1"/>
  <c r="C982" i="118" s="1"/>
  <c r="C1212" i="118" s="1"/>
  <c r="C1442" i="118" s="1"/>
  <c r="C1672" i="118" s="1"/>
  <c r="C266" i="118"/>
  <c r="C496" i="118" s="1"/>
  <c r="C726" i="118" s="1"/>
  <c r="C956" i="118" s="1"/>
  <c r="C1186" i="118" s="1"/>
  <c r="C1416" i="118" s="1"/>
  <c r="C1646" i="118" s="1"/>
  <c r="C296" i="118"/>
  <c r="C526" i="118" s="1"/>
  <c r="C756" i="118" s="1"/>
  <c r="C986" i="118" s="1"/>
  <c r="C1216" i="118" s="1"/>
  <c r="C1446" i="118" s="1"/>
  <c r="C1676" i="118" s="1"/>
  <c r="C282" i="118"/>
  <c r="C512" i="118" s="1"/>
  <c r="C742" i="118" s="1"/>
  <c r="C972" i="118" s="1"/>
  <c r="C1202" i="118" s="1"/>
  <c r="C1432" i="118" s="1"/>
  <c r="C1662" i="118" s="1"/>
  <c r="C267" i="118" l="1"/>
  <c r="C497" i="118" s="1"/>
  <c r="C727" i="118" s="1"/>
  <c r="C957" i="118" s="1"/>
  <c r="C1187" i="118" s="1"/>
  <c r="C1417" i="118" s="1"/>
  <c r="C1647" i="118" s="1"/>
  <c r="C304" i="118"/>
  <c r="C534" i="118" s="1"/>
  <c r="C764" i="118" s="1"/>
  <c r="C994" i="118" s="1"/>
  <c r="C1224" i="118" s="1"/>
  <c r="C1454" i="118" s="1"/>
  <c r="C1684" i="118" s="1"/>
  <c r="C272" i="118"/>
  <c r="C502" i="118" s="1"/>
  <c r="C732" i="118" s="1"/>
  <c r="C962" i="118" s="1"/>
  <c r="C1192" i="118" s="1"/>
  <c r="C1422" i="118" s="1"/>
  <c r="C1652" i="118" s="1"/>
  <c r="C264" i="118"/>
  <c r="C494" i="118" s="1"/>
  <c r="C724" i="118" s="1"/>
  <c r="C954" i="118" s="1"/>
  <c r="C1184" i="118" s="1"/>
  <c r="C1414" i="118" s="1"/>
  <c r="C1644" i="118" s="1"/>
  <c r="C278" i="118"/>
  <c r="C508" i="118" s="1"/>
  <c r="C738" i="118" s="1"/>
  <c r="C968" i="118" s="1"/>
  <c r="C1198" i="118" s="1"/>
  <c r="C1428" i="118" s="1"/>
  <c r="C1658" i="118" s="1"/>
  <c r="C275" i="118"/>
  <c r="C505" i="118" s="1"/>
  <c r="C735" i="118" s="1"/>
  <c r="C965" i="118" s="1"/>
  <c r="C1195" i="118" s="1"/>
  <c r="C1425" i="118" s="1"/>
  <c r="C1655" i="118" s="1"/>
  <c r="C242" i="118"/>
  <c r="C472" i="118" s="1"/>
  <c r="C702" i="118" s="1"/>
  <c r="C932" i="118" s="1"/>
  <c r="C1162" i="118" s="1"/>
  <c r="C1392" i="118" s="1"/>
  <c r="C1622" i="118" s="1"/>
  <c r="C255" i="118"/>
  <c r="C485" i="118" s="1"/>
  <c r="C715" i="118" s="1"/>
  <c r="C945" i="118" s="1"/>
  <c r="C1175" i="118" s="1"/>
  <c r="C1405" i="118" s="1"/>
  <c r="C1635" i="118" s="1"/>
  <c r="C299" i="118"/>
  <c r="C529" i="118" s="1"/>
  <c r="C759" i="118" s="1"/>
  <c r="C989" i="118" s="1"/>
  <c r="C1219" i="118" s="1"/>
  <c r="C1449" i="118" s="1"/>
  <c r="C1679" i="118" s="1"/>
  <c r="C293" i="118"/>
  <c r="C523" i="118" s="1"/>
  <c r="C753" i="118" s="1"/>
  <c r="C983" i="118" s="1"/>
  <c r="C1213" i="118" s="1"/>
  <c r="C1443" i="118" s="1"/>
  <c r="C1673" i="118" s="1"/>
  <c r="C245" i="118"/>
  <c r="C475" i="118" s="1"/>
  <c r="C705" i="118" s="1"/>
  <c r="C935" i="118" s="1"/>
  <c r="C1165" i="118" s="1"/>
  <c r="C1395" i="118" s="1"/>
  <c r="C1625" i="118" s="1"/>
  <c r="C300" i="118"/>
  <c r="C530" i="118" s="1"/>
  <c r="C760" i="118" s="1"/>
  <c r="C990" i="118" s="1"/>
  <c r="C1220" i="118" s="1"/>
  <c r="C1450" i="118" s="1"/>
  <c r="C1680" i="118" s="1"/>
  <c r="C279" i="118" l="1"/>
  <c r="C509" i="118" s="1"/>
  <c r="C739" i="118" s="1"/>
  <c r="C969" i="118" s="1"/>
  <c r="C1199" i="118" s="1"/>
  <c r="C1429" i="118" s="1"/>
  <c r="C1659" i="118" s="1"/>
  <c r="C256" i="118"/>
  <c r="C486" i="118" s="1"/>
  <c r="C716" i="118" s="1"/>
  <c r="C946" i="118" s="1"/>
  <c r="C1176" i="118" s="1"/>
  <c r="C1406" i="118" s="1"/>
  <c r="C1636" i="118" s="1"/>
  <c r="C246" i="118"/>
  <c r="C476" i="118" s="1"/>
  <c r="C706" i="118" s="1"/>
  <c r="C936" i="118" s="1"/>
  <c r="C1166" i="118" s="1"/>
  <c r="C1396" i="118" s="1"/>
  <c r="C1626" i="118" s="1"/>
  <c r="C305" i="118"/>
  <c r="C535" i="118" s="1"/>
  <c r="C765" i="118" s="1"/>
  <c r="C995" i="118" s="1"/>
  <c r="C1225" i="118" s="1"/>
  <c r="C1455" i="118" s="1"/>
  <c r="C1685" i="118" s="1"/>
  <c r="C268" i="118"/>
  <c r="C498" i="118" s="1"/>
  <c r="C728" i="118" s="1"/>
  <c r="C958" i="118" s="1"/>
  <c r="C1188" i="118" s="1"/>
  <c r="C1418" i="118" s="1"/>
  <c r="C1648" i="118" s="1"/>
  <c r="C294" i="118"/>
  <c r="C524" i="118" s="1"/>
  <c r="C754" i="118" s="1"/>
  <c r="C984" i="118" s="1"/>
  <c r="C1214" i="118" s="1"/>
  <c r="C1444" i="118" s="1"/>
  <c r="C1674" i="118" s="1"/>
  <c r="C283" i="118"/>
  <c r="C513" i="118" s="1"/>
  <c r="C743" i="118" s="1"/>
  <c r="C973" i="118" s="1"/>
  <c r="C1203" i="118" s="1"/>
  <c r="C1433" i="118" s="1"/>
  <c r="C1663" i="118" s="1"/>
  <c r="C257" i="118"/>
  <c r="C487" i="118" s="1"/>
  <c r="C717" i="118" s="1"/>
  <c r="C947" i="118" s="1"/>
  <c r="C1177" i="118" s="1"/>
  <c r="C1407" i="118" s="1"/>
  <c r="C1637" i="118" s="1"/>
  <c r="C269" i="118" l="1"/>
  <c r="C499" i="118" s="1"/>
  <c r="C729" i="118" s="1"/>
  <c r="C959" i="118" s="1"/>
  <c r="C1189" i="118" s="1"/>
  <c r="C1419" i="118" s="1"/>
  <c r="C1649" i="118" s="1"/>
  <c r="C247" i="118"/>
  <c r="C477" i="118" s="1"/>
  <c r="C707" i="118" s="1"/>
  <c r="C937" i="118" s="1"/>
  <c r="C1167" i="118" s="1"/>
  <c r="C1397" i="118" s="1"/>
  <c r="C1627" i="118" s="1"/>
  <c r="C284" i="118"/>
  <c r="C514" i="118" s="1"/>
  <c r="C744" i="118" s="1"/>
  <c r="C974" i="118" s="1"/>
  <c r="C1204" i="118" s="1"/>
  <c r="C1434" i="118" s="1"/>
  <c r="C1664" i="118" s="1"/>
  <c r="C306" i="118"/>
  <c r="C536" i="118" s="1"/>
  <c r="C766" i="118" s="1"/>
  <c r="C996" i="118" s="1"/>
  <c r="C1226" i="118" s="1"/>
  <c r="C1456" i="118" s="1"/>
  <c r="C1686" i="118" s="1"/>
  <c r="C301" i="118"/>
  <c r="C531" i="118" s="1"/>
  <c r="C761" i="118" s="1"/>
  <c r="C991" i="118" s="1"/>
  <c r="C1221" i="118" s="1"/>
  <c r="C1451" i="118" s="1"/>
  <c r="C1681" i="118" s="1"/>
  <c r="C307" i="118" l="1"/>
  <c r="C537" i="118" s="1"/>
  <c r="C767" i="118" s="1"/>
  <c r="C997" i="118" s="1"/>
  <c r="C1227" i="118" s="1"/>
  <c r="C1457" i="118" s="1"/>
  <c r="C1687" i="118" s="1"/>
  <c r="C258" i="118"/>
  <c r="C488" i="118" s="1"/>
  <c r="C718" i="118" s="1"/>
  <c r="C948" i="118" s="1"/>
  <c r="C1178" i="118" s="1"/>
  <c r="C1408" i="118" s="1"/>
  <c r="C1638" i="118" s="1"/>
  <c r="C285" i="118"/>
  <c r="C515" i="118" s="1"/>
  <c r="C745" i="118" s="1"/>
  <c r="C975" i="118" s="1"/>
  <c r="C1205" i="118" s="1"/>
  <c r="C1435" i="118" s="1"/>
  <c r="C1665" i="118" s="1"/>
  <c r="C248" i="118"/>
  <c r="C478" i="118" s="1"/>
  <c r="C708" i="118" s="1"/>
  <c r="C938" i="118" s="1"/>
  <c r="C1168" i="118" s="1"/>
  <c r="C1398" i="118" s="1"/>
  <c r="C1628" i="118" s="1"/>
  <c r="C259" i="118" l="1"/>
  <c r="C489" i="118" s="1"/>
  <c r="C719" i="118" s="1"/>
  <c r="C949" i="118" s="1"/>
  <c r="C1179" i="118" s="1"/>
  <c r="C1409" i="118" s="1"/>
  <c r="C1639" i="118" s="1"/>
  <c r="C249" i="118"/>
  <c r="C479" i="118" s="1"/>
  <c r="C709" i="118" s="1"/>
  <c r="C939" i="118" s="1"/>
  <c r="C1169" i="118" s="1"/>
  <c r="C1399" i="118" s="1"/>
  <c r="C1629" i="118" s="1"/>
  <c r="C286" i="118"/>
  <c r="C516" i="118" s="1"/>
  <c r="C746" i="118" s="1"/>
  <c r="C976" i="118" s="1"/>
  <c r="C1206" i="118" s="1"/>
  <c r="C1436" i="118" s="1"/>
  <c r="C1666" i="118" s="1"/>
  <c r="C250" i="118" l="1"/>
  <c r="C480" i="118" s="1"/>
  <c r="C710" i="118" s="1"/>
  <c r="C940" i="118" s="1"/>
  <c r="C1170" i="118" s="1"/>
  <c r="C1400" i="118" s="1"/>
  <c r="C1630" i="118" s="1"/>
  <c r="K30" i="72" l="1"/>
  <c r="K31" i="72" s="1"/>
  <c r="K32" i="72" s="1"/>
  <c r="A96" i="70" l="1"/>
  <c r="A100" i="70"/>
  <c r="A104" i="70"/>
  <c r="A108" i="70"/>
  <c r="A95" i="70"/>
  <c r="A99" i="70"/>
  <c r="A103" i="70"/>
  <c r="A107" i="70"/>
  <c r="A111" i="70"/>
  <c r="A97" i="70"/>
  <c r="A109" i="70"/>
  <c r="A101" i="70"/>
  <c r="A105" i="70"/>
  <c r="A98" i="70"/>
  <c r="A102" i="70"/>
  <c r="A106" i="70"/>
  <c r="A110" i="70"/>
  <c r="F10" i="65" l="1"/>
  <c r="H10" i="65" s="1"/>
  <c r="H11" i="65"/>
  <c r="H17" i="65" s="1"/>
  <c r="F17" i="65"/>
  <c r="L11" i="65" l="1"/>
  <c r="L17" i="65" s="1"/>
  <c r="J10" i="65"/>
  <c r="L10" i="65" s="1"/>
  <c r="J17" i="65"/>
  <c r="F13" i="58"/>
  <c r="D11" i="78"/>
  <c r="G11" i="78" l="1"/>
  <c r="H11" i="78" s="1"/>
  <c r="L11" i="78" s="1"/>
  <c r="F11" i="78"/>
  <c r="J13" i="58"/>
  <c r="D40" i="78"/>
  <c r="R11" i="65"/>
  <c r="R17" i="65" s="1"/>
  <c r="N10" i="65"/>
  <c r="R10" i="65" s="1"/>
  <c r="N17" i="65"/>
  <c r="N13" i="58" s="1"/>
  <c r="H13" i="58"/>
  <c r="F26" i="61"/>
  <c r="H26" i="61" l="1"/>
  <c r="L13" i="58"/>
  <c r="J26" i="61"/>
  <c r="R13" i="58"/>
  <c r="F40" i="78"/>
  <c r="G40" i="78"/>
  <c r="H40" i="78" s="1"/>
  <c r="L40" i="78" s="1"/>
  <c r="D75" i="115" l="1"/>
  <c r="D78" i="115"/>
  <c r="D77" i="115"/>
  <c r="D73" i="115"/>
  <c r="D69" i="115"/>
  <c r="D83" i="115"/>
  <c r="F83" i="70"/>
  <c r="D72" i="115"/>
  <c r="E72" i="70"/>
  <c r="F70" i="70"/>
  <c r="D70" i="115"/>
  <c r="D76" i="115"/>
  <c r="F76" i="70"/>
  <c r="D79" i="115"/>
  <c r="D80" i="115"/>
  <c r="F80" i="70"/>
  <c r="E80" i="70"/>
  <c r="H80" i="70"/>
  <c r="I80" i="70" s="1"/>
  <c r="D71" i="115"/>
  <c r="D74" i="115"/>
  <c r="F74" i="70"/>
  <c r="F81" i="70"/>
  <c r="D81" i="115"/>
  <c r="F82" i="70"/>
  <c r="D82" i="115"/>
  <c r="D84" i="115"/>
  <c r="F84" i="70"/>
  <c r="F72" i="70"/>
  <c r="E82" i="70"/>
  <c r="H82" i="70" s="1"/>
  <c r="I82" i="70" s="1"/>
  <c r="E81" i="70"/>
  <c r="F73" i="70"/>
  <c r="E74" i="70"/>
  <c r="H74" i="70" s="1"/>
  <c r="I74" i="70" s="1"/>
  <c r="F78" i="70"/>
  <c r="E69" i="70"/>
  <c r="H72" i="70" l="1"/>
  <c r="I72" i="70" s="1"/>
  <c r="F127" i="70"/>
  <c r="F73" i="115"/>
  <c r="F127" i="115" s="1"/>
  <c r="E81" i="115"/>
  <c r="E135" i="115" s="1"/>
  <c r="E135" i="70"/>
  <c r="H81" i="70"/>
  <c r="I81" i="70" s="1"/>
  <c r="E68" i="70"/>
  <c r="H68" i="70" s="1"/>
  <c r="D68" i="115"/>
  <c r="F68" i="70"/>
  <c r="D85" i="70"/>
  <c r="H15" i="70"/>
  <c r="I15" i="70" s="1"/>
  <c r="D15" i="115"/>
  <c r="D123" i="70"/>
  <c r="D124" i="70"/>
  <c r="H16" i="70"/>
  <c r="I16" i="70" s="1"/>
  <c r="D16" i="115"/>
  <c r="K82" i="70"/>
  <c r="J74" i="70"/>
  <c r="F76" i="115"/>
  <c r="F130" i="115" s="1"/>
  <c r="F130" i="70"/>
  <c r="D21" i="115"/>
  <c r="H21" i="70"/>
  <c r="I21" i="70" s="1"/>
  <c r="D129" i="70"/>
  <c r="E74" i="115"/>
  <c r="E128" i="115" s="1"/>
  <c r="E128" i="70"/>
  <c r="F74" i="115"/>
  <c r="F128" i="115" s="1"/>
  <c r="F128" i="70"/>
  <c r="F80" i="115"/>
  <c r="F134" i="115" s="1"/>
  <c r="F134" i="70"/>
  <c r="D122" i="70"/>
  <c r="D31" i="70"/>
  <c r="D14" i="115"/>
  <c r="H14" i="70"/>
  <c r="D133" i="70"/>
  <c r="D25" i="115"/>
  <c r="H25" i="70"/>
  <c r="I25" i="70" s="1"/>
  <c r="F136" i="70"/>
  <c r="F82" i="115"/>
  <c r="F136" i="115" s="1"/>
  <c r="D128" i="70"/>
  <c r="H20" i="70"/>
  <c r="I20" i="70" s="1"/>
  <c r="D20" i="115"/>
  <c r="D28" i="115"/>
  <c r="D136" i="70"/>
  <c r="H28" i="70"/>
  <c r="I28" i="70" s="1"/>
  <c r="J82" i="70" s="1"/>
  <c r="M82" i="70" s="1"/>
  <c r="N82" i="70" s="1"/>
  <c r="H17" i="70"/>
  <c r="I17" i="70" s="1"/>
  <c r="D17" i="115"/>
  <c r="D125" i="70"/>
  <c r="D18" i="115"/>
  <c r="D126" i="70"/>
  <c r="H18" i="70"/>
  <c r="I18" i="70" s="1"/>
  <c r="J72" i="70" s="1"/>
  <c r="E71" i="70"/>
  <c r="E79" i="70"/>
  <c r="F124" i="70"/>
  <c r="F70" i="115"/>
  <c r="F124" i="115" s="1"/>
  <c r="E75" i="70"/>
  <c r="K80" i="70"/>
  <c r="F72" i="115"/>
  <c r="F126" i="115" s="1"/>
  <c r="F126" i="70"/>
  <c r="H19" i="70"/>
  <c r="I19" i="70" s="1"/>
  <c r="D19" i="115"/>
  <c r="D127" i="70"/>
  <c r="D26" i="115"/>
  <c r="H26" i="70"/>
  <c r="I26" i="70" s="1"/>
  <c r="J80" i="70" s="1"/>
  <c r="D134" i="70"/>
  <c r="H74" i="115"/>
  <c r="I74" i="115" s="1"/>
  <c r="E70" i="70"/>
  <c r="E73" i="70"/>
  <c r="E76" i="70"/>
  <c r="H76" i="70" s="1"/>
  <c r="I76" i="70" s="1"/>
  <c r="D22" i="115"/>
  <c r="D130" i="70"/>
  <c r="H22" i="70"/>
  <c r="I22" i="70" s="1"/>
  <c r="H27" i="70"/>
  <c r="I27" i="70" s="1"/>
  <c r="D135" i="70"/>
  <c r="D27" i="115"/>
  <c r="E84" i="70"/>
  <c r="D138" i="70"/>
  <c r="H30" i="70"/>
  <c r="I30" i="70" s="1"/>
  <c r="D30" i="115"/>
  <c r="F138" i="70"/>
  <c r="F84" i="115"/>
  <c r="F138" i="115" s="1"/>
  <c r="F71" i="70"/>
  <c r="F79" i="70"/>
  <c r="F75" i="70"/>
  <c r="E69" i="115"/>
  <c r="E123" i="115" s="1"/>
  <c r="E123" i="70"/>
  <c r="E82" i="115"/>
  <c r="E136" i="115" s="1"/>
  <c r="E136" i="70"/>
  <c r="E134" i="70"/>
  <c r="E80" i="115"/>
  <c r="E134" i="115" s="1"/>
  <c r="D137" i="70"/>
  <c r="H29" i="70"/>
  <c r="I29" i="70" s="1"/>
  <c r="D29" i="115"/>
  <c r="F78" i="115"/>
  <c r="F132" i="115" s="1"/>
  <c r="F132" i="70"/>
  <c r="E83" i="70"/>
  <c r="F137" i="70"/>
  <c r="F83" i="115"/>
  <c r="F137" i="115" s="1"/>
  <c r="E77" i="70"/>
  <c r="D131" i="70"/>
  <c r="H23" i="70"/>
  <c r="I23" i="70" s="1"/>
  <c r="M23" i="70" s="1"/>
  <c r="N23" i="70" s="1"/>
  <c r="D23" i="115"/>
  <c r="E78" i="70"/>
  <c r="D132" i="70"/>
  <c r="D24" i="115"/>
  <c r="H24" i="70"/>
  <c r="I24" i="70" s="1"/>
  <c r="F135" i="70"/>
  <c r="F81" i="115"/>
  <c r="F135" i="115" s="1"/>
  <c r="E126" i="70"/>
  <c r="E72" i="115"/>
  <c r="E126" i="115" s="1"/>
  <c r="F69" i="70"/>
  <c r="F77" i="70"/>
  <c r="H136" i="70" l="1"/>
  <c r="H135" i="70"/>
  <c r="J76" i="70"/>
  <c r="K76" i="70"/>
  <c r="J72" i="115"/>
  <c r="J126" i="115" s="1"/>
  <c r="J126" i="70"/>
  <c r="M72" i="70"/>
  <c r="N72" i="70" s="1"/>
  <c r="H138" i="70"/>
  <c r="D123" i="115"/>
  <c r="H15" i="115"/>
  <c r="I15" i="115" s="1"/>
  <c r="F10" i="55"/>
  <c r="E19" i="55"/>
  <c r="E40" i="55"/>
  <c r="E13" i="55"/>
  <c r="E14" i="55"/>
  <c r="F14" i="55" s="1"/>
  <c r="E127" i="70"/>
  <c r="H127" i="70" s="1"/>
  <c r="E73" i="115"/>
  <c r="H73" i="70"/>
  <c r="I73" i="70" s="1"/>
  <c r="I127" i="70" s="1"/>
  <c r="P82" i="70"/>
  <c r="D132" i="115"/>
  <c r="H24" i="115"/>
  <c r="I24" i="115" s="1"/>
  <c r="F125" i="70"/>
  <c r="F71" i="115"/>
  <c r="F125" i="115" s="1"/>
  <c r="D135" i="115"/>
  <c r="H135" i="115" s="1"/>
  <c r="H27" i="115"/>
  <c r="I27" i="115" s="1"/>
  <c r="M27" i="115" s="1"/>
  <c r="N27" i="115" s="1"/>
  <c r="M19" i="70"/>
  <c r="N19" i="70" s="1"/>
  <c r="H18" i="115"/>
  <c r="I18" i="115" s="1"/>
  <c r="D126" i="115"/>
  <c r="H126" i="115" s="1"/>
  <c r="D128" i="115"/>
  <c r="H128" i="115" s="1"/>
  <c r="H20" i="115"/>
  <c r="I20" i="115" s="1"/>
  <c r="J136" i="70"/>
  <c r="J82" i="115"/>
  <c r="J136" i="115" s="1"/>
  <c r="H126" i="70"/>
  <c r="E137" i="70"/>
  <c r="H137" i="70" s="1"/>
  <c r="E83" i="115"/>
  <c r="H83" i="70"/>
  <c r="I83" i="70" s="1"/>
  <c r="H134" i="70"/>
  <c r="H81" i="115"/>
  <c r="I81" i="115" s="1"/>
  <c r="E124" i="70"/>
  <c r="H124" i="70" s="1"/>
  <c r="E70" i="115"/>
  <c r="H70" i="70"/>
  <c r="I70" i="70" s="1"/>
  <c r="H72" i="115"/>
  <c r="I72" i="115" s="1"/>
  <c r="I128" i="70"/>
  <c r="M20" i="70"/>
  <c r="N20" i="70" s="1"/>
  <c r="I14" i="70"/>
  <c r="H31" i="70"/>
  <c r="H82" i="115"/>
  <c r="I82" i="115" s="1"/>
  <c r="K82" i="115"/>
  <c r="K136" i="115" s="1"/>
  <c r="K136" i="70"/>
  <c r="F122" i="70"/>
  <c r="F68" i="115"/>
  <c r="F85" i="70"/>
  <c r="F77" i="115"/>
  <c r="F131" i="115" s="1"/>
  <c r="F131" i="70"/>
  <c r="J134" i="70"/>
  <c r="J80" i="115"/>
  <c r="J134" i="115" s="1"/>
  <c r="M21" i="70"/>
  <c r="N21" i="70" s="1"/>
  <c r="M24" i="70"/>
  <c r="N24" i="70" s="1"/>
  <c r="F79" i="115"/>
  <c r="F133" i="115" s="1"/>
  <c r="F133" i="70"/>
  <c r="H19" i="115"/>
  <c r="I19" i="115" s="1"/>
  <c r="M19" i="115" s="1"/>
  <c r="N19" i="115" s="1"/>
  <c r="D127" i="115"/>
  <c r="E78" i="115"/>
  <c r="E132" i="70"/>
  <c r="H132" i="70" s="1"/>
  <c r="H78" i="70"/>
  <c r="I78" i="70" s="1"/>
  <c r="I132" i="70" s="1"/>
  <c r="I135" i="70"/>
  <c r="M27" i="70"/>
  <c r="N27" i="70" s="1"/>
  <c r="H17" i="115"/>
  <c r="I17" i="115" s="1"/>
  <c r="M17" i="115" s="1"/>
  <c r="N17" i="115" s="1"/>
  <c r="D125" i="115"/>
  <c r="I68" i="70"/>
  <c r="D131" i="115"/>
  <c r="H23" i="115"/>
  <c r="I23" i="115" s="1"/>
  <c r="M22" i="70"/>
  <c r="N22" i="70" s="1"/>
  <c r="R22" i="70" s="1"/>
  <c r="S22" i="70" s="1"/>
  <c r="I130" i="70"/>
  <c r="M17" i="70"/>
  <c r="N17" i="70" s="1"/>
  <c r="H80" i="115"/>
  <c r="I80" i="115" s="1"/>
  <c r="H128" i="70"/>
  <c r="M16" i="70"/>
  <c r="N16" i="70" s="1"/>
  <c r="D85" i="115"/>
  <c r="E77" i="115"/>
  <c r="E131" i="70"/>
  <c r="H77" i="70"/>
  <c r="I77" i="70" s="1"/>
  <c r="F129" i="70"/>
  <c r="H129" i="70" s="1"/>
  <c r="F75" i="115"/>
  <c r="F129" i="115" s="1"/>
  <c r="J128" i="70"/>
  <c r="J74" i="115"/>
  <c r="J128" i="115" s="1"/>
  <c r="F69" i="115"/>
  <c r="F123" i="70"/>
  <c r="E138" i="70"/>
  <c r="E84" i="115"/>
  <c r="H84" i="70"/>
  <c r="I84" i="70" s="1"/>
  <c r="I138" i="70" s="1"/>
  <c r="H28" i="115"/>
  <c r="I28" i="115" s="1"/>
  <c r="D136" i="115"/>
  <c r="H136" i="115" s="1"/>
  <c r="M15" i="70"/>
  <c r="N15" i="70" s="1"/>
  <c r="D124" i="115"/>
  <c r="H16" i="115"/>
  <c r="I16" i="115" s="1"/>
  <c r="M16" i="115" s="1"/>
  <c r="N16" i="115" s="1"/>
  <c r="R16" i="115" s="1"/>
  <c r="R23" i="70"/>
  <c r="S23" i="70" s="1"/>
  <c r="D137" i="115"/>
  <c r="H29" i="115"/>
  <c r="I29" i="115" s="1"/>
  <c r="H123" i="70"/>
  <c r="H30" i="115"/>
  <c r="I30" i="115" s="1"/>
  <c r="D138" i="115"/>
  <c r="M26" i="70"/>
  <c r="N26" i="70" s="1"/>
  <c r="R26" i="70" s="1"/>
  <c r="S26" i="70" s="1"/>
  <c r="I134" i="70"/>
  <c r="K80" i="115"/>
  <c r="K134" i="115" s="1"/>
  <c r="K134" i="70"/>
  <c r="E133" i="70"/>
  <c r="E79" i="115"/>
  <c r="H79" i="70"/>
  <c r="I79" i="70" s="1"/>
  <c r="D139" i="70"/>
  <c r="E85" i="70"/>
  <c r="E68" i="115"/>
  <c r="E122" i="70"/>
  <c r="H122" i="70" s="1"/>
  <c r="E76" i="115"/>
  <c r="E130" i="70"/>
  <c r="H130" i="70" s="1"/>
  <c r="M18" i="70"/>
  <c r="N18" i="70" s="1"/>
  <c r="I126" i="70"/>
  <c r="M25" i="70"/>
  <c r="N25" i="70" s="1"/>
  <c r="E75" i="115"/>
  <c r="E129" i="70"/>
  <c r="H75" i="70"/>
  <c r="I75" i="70" s="1"/>
  <c r="I129" i="70" s="1"/>
  <c r="D133" i="115"/>
  <c r="H25" i="115"/>
  <c r="I25" i="115" s="1"/>
  <c r="D129" i="115"/>
  <c r="H21" i="115"/>
  <c r="I21" i="115" s="1"/>
  <c r="M21" i="115" s="1"/>
  <c r="N21" i="115" s="1"/>
  <c r="R21" i="115" s="1"/>
  <c r="H14" i="115"/>
  <c r="D31" i="115"/>
  <c r="D23" i="69" s="1"/>
  <c r="D122" i="115"/>
  <c r="H69" i="70"/>
  <c r="I69" i="70" s="1"/>
  <c r="I123" i="70" s="1"/>
  <c r="M29" i="70"/>
  <c r="N29" i="70" s="1"/>
  <c r="I137" i="70"/>
  <c r="M30" i="70"/>
  <c r="N30" i="70" s="1"/>
  <c r="D130" i="115"/>
  <c r="H22" i="115"/>
  <c r="I22" i="115" s="1"/>
  <c r="H26" i="115"/>
  <c r="I26" i="115" s="1"/>
  <c r="M26" i="115" s="1"/>
  <c r="N26" i="115" s="1"/>
  <c r="D134" i="115"/>
  <c r="H134" i="115" s="1"/>
  <c r="M80" i="70"/>
  <c r="N80" i="70" s="1"/>
  <c r="E71" i="115"/>
  <c r="E125" i="70"/>
  <c r="H125" i="70" s="1"/>
  <c r="H71" i="70"/>
  <c r="I71" i="70" s="1"/>
  <c r="I125" i="70" s="1"/>
  <c r="M28" i="70"/>
  <c r="N28" i="70" s="1"/>
  <c r="I136" i="70"/>
  <c r="K74" i="70"/>
  <c r="K81" i="70"/>
  <c r="J81" i="70"/>
  <c r="M81" i="70"/>
  <c r="N81" i="70" s="1"/>
  <c r="K72" i="70"/>
  <c r="H133" i="70" l="1"/>
  <c r="M134" i="70"/>
  <c r="M76" i="70"/>
  <c r="N76" i="70" s="1"/>
  <c r="F86" i="70"/>
  <c r="N130" i="70"/>
  <c r="O76" i="70"/>
  <c r="P76" i="70"/>
  <c r="R76" i="70"/>
  <c r="S76" i="70" s="1"/>
  <c r="S130" i="70" s="1"/>
  <c r="S26" i="115"/>
  <c r="W26" i="115" s="1"/>
  <c r="D52" i="115" s="1"/>
  <c r="W26" i="70"/>
  <c r="D52" i="70" s="1"/>
  <c r="I131" i="70"/>
  <c r="K77" i="70"/>
  <c r="J77" i="70"/>
  <c r="M72" i="115"/>
  <c r="N72" i="115" s="1"/>
  <c r="K75" i="70"/>
  <c r="J75" i="70"/>
  <c r="R17" i="70"/>
  <c r="S17" i="70" s="1"/>
  <c r="O72" i="70"/>
  <c r="P72" i="70"/>
  <c r="R72" i="70"/>
  <c r="S72" i="70" s="1"/>
  <c r="R28" i="70"/>
  <c r="S28" i="70" s="1"/>
  <c r="N136" i="70"/>
  <c r="D139" i="115"/>
  <c r="E139" i="70"/>
  <c r="E133" i="115"/>
  <c r="H133" i="115" s="1"/>
  <c r="H79" i="115"/>
  <c r="I79" i="115" s="1"/>
  <c r="M30" i="115"/>
  <c r="N30" i="115" s="1"/>
  <c r="R30" i="115" s="1"/>
  <c r="E131" i="115"/>
  <c r="H131" i="115" s="1"/>
  <c r="H77" i="115"/>
  <c r="I77" i="115" s="1"/>
  <c r="I131" i="115" s="1"/>
  <c r="R19" i="115"/>
  <c r="M82" i="115"/>
  <c r="N82" i="115" s="1"/>
  <c r="E124" i="115"/>
  <c r="H124" i="115" s="1"/>
  <c r="H70" i="115"/>
  <c r="I70" i="115" s="1"/>
  <c r="R19" i="70"/>
  <c r="S19" i="70" s="1"/>
  <c r="E20" i="55"/>
  <c r="F20" i="55" s="1"/>
  <c r="E41" i="55"/>
  <c r="E42" i="55" s="1"/>
  <c r="F13" i="55"/>
  <c r="F139" i="70"/>
  <c r="H85" i="70"/>
  <c r="M22" i="115"/>
  <c r="N22" i="115" s="1"/>
  <c r="K72" i="115"/>
  <c r="K126" i="115" s="1"/>
  <c r="K126" i="70"/>
  <c r="M126" i="70" s="1"/>
  <c r="J71" i="70"/>
  <c r="K71" i="70"/>
  <c r="M71" i="70"/>
  <c r="N71" i="70" s="1"/>
  <c r="D24" i="69"/>
  <c r="F27" i="61"/>
  <c r="E129" i="115"/>
  <c r="H129" i="115" s="1"/>
  <c r="H75" i="115"/>
  <c r="I75" i="115" s="1"/>
  <c r="E122" i="115"/>
  <c r="E85" i="115"/>
  <c r="G15" i="58" s="1"/>
  <c r="F123" i="115"/>
  <c r="H123" i="115" s="1"/>
  <c r="H69" i="115"/>
  <c r="I69" i="115" s="1"/>
  <c r="I123" i="115" s="1"/>
  <c r="H68" i="115"/>
  <c r="R17" i="115"/>
  <c r="H131" i="70"/>
  <c r="H139" i="70" s="1"/>
  <c r="K128" i="70"/>
  <c r="M128" i="70" s="1"/>
  <c r="K74" i="115"/>
  <c r="K128" i="115" s="1"/>
  <c r="R18" i="70"/>
  <c r="S18" i="70" s="1"/>
  <c r="N126" i="70"/>
  <c r="R26" i="115"/>
  <c r="I134" i="115"/>
  <c r="M80" i="115"/>
  <c r="N80" i="115" s="1"/>
  <c r="N134" i="115" s="1"/>
  <c r="K79" i="70"/>
  <c r="J79" i="70"/>
  <c r="M79" i="70" s="1"/>
  <c r="N79" i="70" s="1"/>
  <c r="M18" i="115"/>
  <c r="N18" i="115" s="1"/>
  <c r="I126" i="115"/>
  <c r="E16" i="54"/>
  <c r="F16" i="54" s="1"/>
  <c r="F15" i="54"/>
  <c r="P81" i="70"/>
  <c r="O81" i="70"/>
  <c r="R81" i="70"/>
  <c r="S81" i="70" s="1"/>
  <c r="R30" i="70"/>
  <c r="S30" i="70" s="1"/>
  <c r="I14" i="115"/>
  <c r="H31" i="115"/>
  <c r="I133" i="70"/>
  <c r="M29" i="115"/>
  <c r="N29" i="115" s="1"/>
  <c r="R15" i="70"/>
  <c r="S15" i="70" s="1"/>
  <c r="S22" i="115"/>
  <c r="W22" i="70"/>
  <c r="D48" i="70" s="1"/>
  <c r="R27" i="70"/>
  <c r="S27" i="70" s="1"/>
  <c r="N135" i="70"/>
  <c r="M14" i="70"/>
  <c r="I122" i="70"/>
  <c r="I31" i="70"/>
  <c r="I135" i="115"/>
  <c r="M136" i="70"/>
  <c r="R27" i="115"/>
  <c r="P82" i="115"/>
  <c r="P136" i="115" s="1"/>
  <c r="P136" i="70"/>
  <c r="F19" i="55"/>
  <c r="M25" i="115"/>
  <c r="N25" i="115" s="1"/>
  <c r="I133" i="115"/>
  <c r="J84" i="70"/>
  <c r="K84" i="70"/>
  <c r="M84" i="70"/>
  <c r="N84" i="70" s="1"/>
  <c r="E137" i="115"/>
  <c r="H137" i="115" s="1"/>
  <c r="H83" i="115"/>
  <c r="I83" i="115" s="1"/>
  <c r="I137" i="115" s="1"/>
  <c r="E138" i="115"/>
  <c r="H138" i="115" s="1"/>
  <c r="H84" i="115"/>
  <c r="I84" i="115" s="1"/>
  <c r="I138" i="115" s="1"/>
  <c r="E132" i="115"/>
  <c r="H132" i="115" s="1"/>
  <c r="H78" i="115"/>
  <c r="I78" i="115" s="1"/>
  <c r="I132" i="115"/>
  <c r="M24" i="115"/>
  <c r="N24" i="115" s="1"/>
  <c r="E130" i="115"/>
  <c r="H130" i="115" s="1"/>
  <c r="H76" i="115"/>
  <c r="I76" i="115" s="1"/>
  <c r="I130" i="115" s="1"/>
  <c r="K68" i="70"/>
  <c r="J68" i="70"/>
  <c r="I85" i="70"/>
  <c r="M68" i="70"/>
  <c r="K70" i="70"/>
  <c r="J70" i="70"/>
  <c r="M70" i="70" s="1"/>
  <c r="N70" i="70" s="1"/>
  <c r="J81" i="115"/>
  <c r="J135" i="115" s="1"/>
  <c r="J135" i="70"/>
  <c r="E125" i="115"/>
  <c r="H125" i="115" s="1"/>
  <c r="H71" i="115"/>
  <c r="I71" i="115" s="1"/>
  <c r="R25" i="70"/>
  <c r="S25" i="70" s="1"/>
  <c r="M74" i="70"/>
  <c r="N74" i="70" s="1"/>
  <c r="M134" i="115"/>
  <c r="R16" i="70"/>
  <c r="S16" i="70" s="1"/>
  <c r="R20" i="70"/>
  <c r="S20" i="70" s="1"/>
  <c r="O82" i="70"/>
  <c r="K130" i="70"/>
  <c r="K76" i="115"/>
  <c r="K130" i="115" s="1"/>
  <c r="R29" i="70"/>
  <c r="S29" i="70" s="1"/>
  <c r="W23" i="70"/>
  <c r="D49" i="70" s="1"/>
  <c r="S23" i="115"/>
  <c r="R21" i="70"/>
  <c r="S21" i="70" s="1"/>
  <c r="E127" i="115"/>
  <c r="H127" i="115" s="1"/>
  <c r="H73" i="115"/>
  <c r="I73" i="115" s="1"/>
  <c r="K69" i="70"/>
  <c r="J69" i="70"/>
  <c r="M69" i="70"/>
  <c r="N69" i="70" s="1"/>
  <c r="N123" i="70" s="1"/>
  <c r="K135" i="70"/>
  <c r="K81" i="115"/>
  <c r="K135" i="115" s="1"/>
  <c r="N134" i="70"/>
  <c r="P80" i="70"/>
  <c r="O80" i="70"/>
  <c r="M28" i="115"/>
  <c r="N28" i="115" s="1"/>
  <c r="I136" i="115"/>
  <c r="M136" i="115" s="1"/>
  <c r="I124" i="70"/>
  <c r="M23" i="115"/>
  <c r="N23" i="115" s="1"/>
  <c r="J78" i="70"/>
  <c r="K78" i="70"/>
  <c r="R24" i="70"/>
  <c r="S24" i="70" s="1"/>
  <c r="F85" i="115"/>
  <c r="F122" i="115"/>
  <c r="J83" i="70"/>
  <c r="M83" i="70" s="1"/>
  <c r="N83" i="70" s="1"/>
  <c r="K83" i="70"/>
  <c r="M20" i="115"/>
  <c r="N20" i="115" s="1"/>
  <c r="I128" i="115"/>
  <c r="K73" i="70"/>
  <c r="J73" i="70"/>
  <c r="M73" i="70" s="1"/>
  <c r="N73" i="70" s="1"/>
  <c r="M15" i="115"/>
  <c r="N15" i="115" s="1"/>
  <c r="R15" i="115" s="1"/>
  <c r="J76" i="115"/>
  <c r="J130" i="115" s="1"/>
  <c r="J130" i="70"/>
  <c r="F139" i="115" l="1"/>
  <c r="M74" i="115"/>
  <c r="N74" i="115" s="1"/>
  <c r="M128" i="115"/>
  <c r="E21" i="55"/>
  <c r="P73" i="70"/>
  <c r="O73" i="70"/>
  <c r="R73" i="70"/>
  <c r="S73" i="70" s="1"/>
  <c r="S127" i="70" s="1"/>
  <c r="N127" i="70"/>
  <c r="O79" i="70"/>
  <c r="P79" i="70"/>
  <c r="R79" i="70"/>
  <c r="S79" i="70" s="1"/>
  <c r="N133" i="70"/>
  <c r="O80" i="115"/>
  <c r="O134" i="115" s="1"/>
  <c r="R134" i="115" s="1"/>
  <c r="O134" i="70"/>
  <c r="R134" i="70" s="1"/>
  <c r="S30" i="115"/>
  <c r="W30" i="115" s="1"/>
  <c r="D56" i="115" s="1"/>
  <c r="W30" i="70"/>
  <c r="D56" i="70" s="1"/>
  <c r="S19" i="115"/>
  <c r="W19" i="70"/>
  <c r="D45" i="70" s="1"/>
  <c r="K83" i="115"/>
  <c r="K137" i="115" s="1"/>
  <c r="K137" i="70"/>
  <c r="M130" i="115"/>
  <c r="S28" i="115"/>
  <c r="W28" i="70"/>
  <c r="D54" i="70" s="1"/>
  <c r="K124" i="70"/>
  <c r="K70" i="115"/>
  <c r="K124" i="115" s="1"/>
  <c r="S21" i="115"/>
  <c r="W21" i="70"/>
  <c r="D47" i="70" s="1"/>
  <c r="O82" i="115"/>
  <c r="O136" i="115" s="1"/>
  <c r="O136" i="70"/>
  <c r="R136" i="70" s="1"/>
  <c r="R82" i="70"/>
  <c r="S82" i="70" s="1"/>
  <c r="S136" i="70" s="1"/>
  <c r="S25" i="115"/>
  <c r="W25" i="70"/>
  <c r="D51" i="70" s="1"/>
  <c r="N68" i="70"/>
  <c r="M78" i="115"/>
  <c r="N78" i="115" s="1"/>
  <c r="J138" i="70"/>
  <c r="J84" i="115"/>
  <c r="J138" i="115" s="1"/>
  <c r="R29" i="115"/>
  <c r="P81" i="115"/>
  <c r="P135" i="115" s="1"/>
  <c r="P135" i="70"/>
  <c r="S18" i="115"/>
  <c r="W18" i="70"/>
  <c r="D44" i="70" s="1"/>
  <c r="S126" i="70"/>
  <c r="K71" i="115"/>
  <c r="K125" i="115" s="1"/>
  <c r="K125" i="70"/>
  <c r="P72" i="115"/>
  <c r="P126" i="115" s="1"/>
  <c r="P126" i="70"/>
  <c r="K77" i="115"/>
  <c r="K131" i="115" s="1"/>
  <c r="M131" i="115" s="1"/>
  <c r="K131" i="70"/>
  <c r="I127" i="115"/>
  <c r="P70" i="70"/>
  <c r="O70" i="70"/>
  <c r="I139" i="70"/>
  <c r="K75" i="115"/>
  <c r="K129" i="115" s="1"/>
  <c r="K129" i="70"/>
  <c r="P80" i="115"/>
  <c r="P134" i="115" s="1"/>
  <c r="P134" i="70"/>
  <c r="P74" i="70"/>
  <c r="O74" i="70"/>
  <c r="M31" i="70"/>
  <c r="N14" i="70"/>
  <c r="I68" i="115"/>
  <c r="H85" i="115"/>
  <c r="P76" i="115"/>
  <c r="P130" i="115" s="1"/>
  <c r="P130" i="70"/>
  <c r="R23" i="115"/>
  <c r="R18" i="115"/>
  <c r="N126" i="115"/>
  <c r="O71" i="70"/>
  <c r="P71" i="70"/>
  <c r="R71" i="70"/>
  <c r="S71" i="70" s="1"/>
  <c r="S125" i="70" s="1"/>
  <c r="S72" i="115"/>
  <c r="U72" i="70"/>
  <c r="T72" i="70"/>
  <c r="J127" i="70"/>
  <c r="M127" i="70" s="1"/>
  <c r="J73" i="115"/>
  <c r="J127" i="115" s="1"/>
  <c r="N128" i="70"/>
  <c r="I125" i="115"/>
  <c r="S27" i="115"/>
  <c r="W27" i="70"/>
  <c r="D53" i="70" s="1"/>
  <c r="S135" i="70"/>
  <c r="J133" i="70"/>
  <c r="M133" i="70" s="1"/>
  <c r="J79" i="115"/>
  <c r="J133" i="115" s="1"/>
  <c r="F15" i="58"/>
  <c r="H15" i="58"/>
  <c r="J125" i="70"/>
  <c r="J71" i="115"/>
  <c r="J125" i="115" s="1"/>
  <c r="O126" i="70"/>
  <c r="R126" i="70" s="1"/>
  <c r="O72" i="115"/>
  <c r="O126" i="115" s="1"/>
  <c r="S29" i="115"/>
  <c r="W29" i="70"/>
  <c r="D55" i="70" s="1"/>
  <c r="J70" i="115"/>
  <c r="J124" i="115" s="1"/>
  <c r="J124" i="70"/>
  <c r="W15" i="70"/>
  <c r="D41" i="70" s="1"/>
  <c r="S15" i="115"/>
  <c r="O81" i="115"/>
  <c r="O135" i="115" s="1"/>
  <c r="O135" i="70"/>
  <c r="R135" i="70" s="1"/>
  <c r="K73" i="115"/>
  <c r="K127" i="115" s="1"/>
  <c r="K127" i="70"/>
  <c r="R28" i="115"/>
  <c r="N136" i="115"/>
  <c r="O69" i="70"/>
  <c r="P69" i="70"/>
  <c r="W23" i="115"/>
  <c r="D49" i="115" s="1"/>
  <c r="H49" i="115" s="1"/>
  <c r="I49" i="115" s="1"/>
  <c r="M49" i="115" s="1"/>
  <c r="N49" i="115" s="1"/>
  <c r="R49" i="115" s="1"/>
  <c r="S49" i="115" s="1"/>
  <c r="W49" i="115" s="1"/>
  <c r="W20" i="70"/>
  <c r="D46" i="70" s="1"/>
  <c r="S20" i="115"/>
  <c r="J85" i="70"/>
  <c r="J68" i="115"/>
  <c r="J122" i="70"/>
  <c r="R25" i="115"/>
  <c r="M81" i="115"/>
  <c r="N81" i="115" s="1"/>
  <c r="K133" i="70"/>
  <c r="K79" i="115"/>
  <c r="K133" i="115" s="1"/>
  <c r="E139" i="115"/>
  <c r="N125" i="70"/>
  <c r="P83" i="70"/>
  <c r="O83" i="70"/>
  <c r="O84" i="70"/>
  <c r="P84" i="70"/>
  <c r="R84" i="70"/>
  <c r="S84" i="70" s="1"/>
  <c r="U81" i="70"/>
  <c r="S81" i="115"/>
  <c r="T81" i="70"/>
  <c r="I124" i="115"/>
  <c r="J83" i="115"/>
  <c r="J137" i="115" s="1"/>
  <c r="M137" i="115" s="1"/>
  <c r="J137" i="70"/>
  <c r="M137" i="70" s="1"/>
  <c r="K84" i="115"/>
  <c r="K138" i="115" s="1"/>
  <c r="K138" i="70"/>
  <c r="M77" i="70"/>
  <c r="N77" i="70" s="1"/>
  <c r="J77" i="115"/>
  <c r="J131" i="115" s="1"/>
  <c r="J131" i="70"/>
  <c r="W24" i="70"/>
  <c r="D50" i="70" s="1"/>
  <c r="S24" i="115"/>
  <c r="J123" i="70"/>
  <c r="J69" i="115"/>
  <c r="J123" i="115" s="1"/>
  <c r="H49" i="70"/>
  <c r="I49" i="70" s="1"/>
  <c r="M49" i="70" s="1"/>
  <c r="N49" i="70" s="1"/>
  <c r="R49" i="70" s="1"/>
  <c r="S49" i="70" s="1"/>
  <c r="W49" i="70" s="1"/>
  <c r="N124" i="70"/>
  <c r="M135" i="70"/>
  <c r="K122" i="70"/>
  <c r="K68" i="115"/>
  <c r="K85" i="70"/>
  <c r="H48" i="70"/>
  <c r="I48" i="70" s="1"/>
  <c r="M48" i="70" s="1"/>
  <c r="N48" i="70" s="1"/>
  <c r="R48" i="70" s="1"/>
  <c r="S48" i="70" s="1"/>
  <c r="W48" i="70" s="1"/>
  <c r="I31" i="115"/>
  <c r="E23" i="69" s="1"/>
  <c r="I122" i="115"/>
  <c r="M14" i="115"/>
  <c r="E18" i="54"/>
  <c r="I129" i="115"/>
  <c r="M126" i="115"/>
  <c r="H122" i="115"/>
  <c r="H139" i="115" s="1"/>
  <c r="S17" i="115"/>
  <c r="W17" i="70"/>
  <c r="D43" i="70" s="1"/>
  <c r="H52" i="70"/>
  <c r="I52" i="70" s="1"/>
  <c r="M52" i="70" s="1"/>
  <c r="N52" i="70" s="1"/>
  <c r="R52" i="70" s="1"/>
  <c r="S52" i="70" s="1"/>
  <c r="W52" i="70" s="1"/>
  <c r="M78" i="70"/>
  <c r="N78" i="70" s="1"/>
  <c r="J78" i="115"/>
  <c r="J132" i="115" s="1"/>
  <c r="J132" i="70"/>
  <c r="R22" i="115"/>
  <c r="N130" i="115"/>
  <c r="S76" i="115"/>
  <c r="T76" i="70"/>
  <c r="U76" i="70"/>
  <c r="R24" i="115"/>
  <c r="O130" i="70"/>
  <c r="R130" i="70" s="1"/>
  <c r="O76" i="115"/>
  <c r="O130" i="115" s="1"/>
  <c r="M130" i="70"/>
  <c r="R20" i="115"/>
  <c r="N128" i="115"/>
  <c r="K132" i="70"/>
  <c r="K78" i="115"/>
  <c r="K132" i="115" s="1"/>
  <c r="R80" i="70"/>
  <c r="S80" i="70" s="1"/>
  <c r="K123" i="70"/>
  <c r="K69" i="115"/>
  <c r="K123" i="115" s="1"/>
  <c r="N137" i="70"/>
  <c r="S16" i="115"/>
  <c r="W16" i="70"/>
  <c r="D42" i="70" s="1"/>
  <c r="M135" i="115"/>
  <c r="M76" i="115"/>
  <c r="N76" i="115" s="1"/>
  <c r="M83" i="115"/>
  <c r="N83" i="115" s="1"/>
  <c r="G24" i="58"/>
  <c r="F21" i="55"/>
  <c r="W22" i="115"/>
  <c r="D48" i="115" s="1"/>
  <c r="S130" i="115"/>
  <c r="N138" i="70"/>
  <c r="M75" i="70"/>
  <c r="N75" i="70" s="1"/>
  <c r="J129" i="70"/>
  <c r="M129" i="70" s="1"/>
  <c r="J75" i="115"/>
  <c r="J129" i="115" s="1"/>
  <c r="H52" i="115"/>
  <c r="I52" i="115" s="1"/>
  <c r="M52" i="115" s="1"/>
  <c r="N52" i="115" s="1"/>
  <c r="R52" i="115" s="1"/>
  <c r="S52" i="115" s="1"/>
  <c r="W52" i="115" s="1"/>
  <c r="M123" i="115" l="1"/>
  <c r="M85" i="70"/>
  <c r="R72" i="115"/>
  <c r="M75" i="115"/>
  <c r="N75" i="115" s="1"/>
  <c r="N129" i="115" s="1"/>
  <c r="R69" i="70"/>
  <c r="S69" i="70" s="1"/>
  <c r="S69" i="115" s="1"/>
  <c r="S123" i="115" s="1"/>
  <c r="M125" i="70"/>
  <c r="M132" i="115"/>
  <c r="R80" i="115"/>
  <c r="M131" i="70"/>
  <c r="R126" i="115"/>
  <c r="M123" i="70"/>
  <c r="M70" i="115"/>
  <c r="N70" i="115" s="1"/>
  <c r="J139" i="70"/>
  <c r="M71" i="115"/>
  <c r="N71" i="115" s="1"/>
  <c r="R71" i="115" s="1"/>
  <c r="T69" i="70"/>
  <c r="U69" i="70"/>
  <c r="W126" i="70"/>
  <c r="W16" i="115"/>
  <c r="D42" i="115" s="1"/>
  <c r="U135" i="70"/>
  <c r="U81" i="115"/>
  <c r="U135" i="115" s="1"/>
  <c r="H55" i="70"/>
  <c r="I55" i="70" s="1"/>
  <c r="M55" i="70" s="1"/>
  <c r="N55" i="70" s="1"/>
  <c r="R55" i="70" s="1"/>
  <c r="S55" i="70" s="1"/>
  <c r="W55" i="70" s="1"/>
  <c r="S79" i="115"/>
  <c r="U79" i="70"/>
  <c r="T79" i="70"/>
  <c r="W79" i="70"/>
  <c r="D106" i="70" s="1"/>
  <c r="U84" i="70"/>
  <c r="T84" i="70"/>
  <c r="W84" i="70" s="1"/>
  <c r="D111" i="70" s="1"/>
  <c r="D164" i="70" s="1"/>
  <c r="S84" i="115"/>
  <c r="M122" i="70"/>
  <c r="F24" i="58"/>
  <c r="H24" i="58" s="1"/>
  <c r="R130" i="115"/>
  <c r="H43" i="70"/>
  <c r="I43" i="70" s="1"/>
  <c r="M43" i="70" s="1"/>
  <c r="N43" i="70" s="1"/>
  <c r="R43" i="70" s="1"/>
  <c r="S43" i="70" s="1"/>
  <c r="W43" i="70" s="1"/>
  <c r="F18" i="54"/>
  <c r="E19" i="54"/>
  <c r="K139" i="70"/>
  <c r="W24" i="115"/>
  <c r="D50" i="115" s="1"/>
  <c r="P84" i="115"/>
  <c r="P138" i="115" s="1"/>
  <c r="P138" i="70"/>
  <c r="R136" i="115"/>
  <c r="H41" i="70"/>
  <c r="I41" i="70" s="1"/>
  <c r="M41" i="70" s="1"/>
  <c r="N41" i="70" s="1"/>
  <c r="R41" i="70" s="1"/>
  <c r="S41" i="70" s="1"/>
  <c r="W41" i="70" s="1"/>
  <c r="W27" i="115"/>
  <c r="D53" i="115" s="1"/>
  <c r="S135" i="115"/>
  <c r="P128" i="70"/>
  <c r="P74" i="115"/>
  <c r="P128" i="115" s="1"/>
  <c r="O68" i="70"/>
  <c r="N85" i="70"/>
  <c r="P68" i="70"/>
  <c r="H47" i="70"/>
  <c r="I47" i="70" s="1"/>
  <c r="M47" i="70" s="1"/>
  <c r="N47" i="70" s="1"/>
  <c r="R47" i="70" s="1"/>
  <c r="S47" i="70" s="1"/>
  <c r="W47" i="70" s="1"/>
  <c r="H54" i="70"/>
  <c r="I54" i="70" s="1"/>
  <c r="M54" i="70" s="1"/>
  <c r="N54" i="70" s="1"/>
  <c r="R54" i="70" s="1"/>
  <c r="S54" i="70" s="1"/>
  <c r="W54" i="70" s="1"/>
  <c r="S138" i="70"/>
  <c r="O133" i="70"/>
  <c r="O79" i="115"/>
  <c r="O133" i="115" s="1"/>
  <c r="U130" i="70"/>
  <c r="U76" i="115"/>
  <c r="U130" i="115" s="1"/>
  <c r="P123" i="70"/>
  <c r="P69" i="115"/>
  <c r="P123" i="115" s="1"/>
  <c r="O128" i="70"/>
  <c r="R128" i="70" s="1"/>
  <c r="O74" i="115"/>
  <c r="K122" i="115"/>
  <c r="K139" i="115" s="1"/>
  <c r="K85" i="115"/>
  <c r="U126" i="70"/>
  <c r="U72" i="115"/>
  <c r="U126" i="115" s="1"/>
  <c r="R74" i="70"/>
  <c r="S74" i="70" s="1"/>
  <c r="W18" i="115"/>
  <c r="D44" i="115" s="1"/>
  <c r="S126" i="115"/>
  <c r="W17" i="115"/>
  <c r="D43" i="115" s="1"/>
  <c r="N14" i="115"/>
  <c r="M31" i="115"/>
  <c r="H50" i="70"/>
  <c r="I50" i="70" s="1"/>
  <c r="M50" i="70" s="1"/>
  <c r="N50" i="70" s="1"/>
  <c r="R50" i="70" s="1"/>
  <c r="S50" i="70" s="1"/>
  <c r="W50" i="70" s="1"/>
  <c r="N124" i="115"/>
  <c r="O138" i="70"/>
  <c r="R138" i="70" s="1"/>
  <c r="O84" i="115"/>
  <c r="O138" i="115" s="1"/>
  <c r="R81" i="115"/>
  <c r="N135" i="115"/>
  <c r="R135" i="115" s="1"/>
  <c r="W20" i="115"/>
  <c r="D46" i="115" s="1"/>
  <c r="M124" i="70"/>
  <c r="T71" i="70"/>
  <c r="U71" i="70"/>
  <c r="S71" i="115"/>
  <c r="S125" i="115" s="1"/>
  <c r="R70" i="70"/>
  <c r="S70" i="70" s="1"/>
  <c r="O124" i="70"/>
  <c r="O70" i="115"/>
  <c r="O124" i="115" s="1"/>
  <c r="M79" i="115"/>
  <c r="N79" i="115" s="1"/>
  <c r="S133" i="70"/>
  <c r="W21" i="115"/>
  <c r="D47" i="115" s="1"/>
  <c r="W28" i="115"/>
  <c r="D54" i="115" s="1"/>
  <c r="H56" i="70"/>
  <c r="I56" i="70" s="1"/>
  <c r="M56" i="70" s="1"/>
  <c r="N56" i="70" s="1"/>
  <c r="R56" i="70" s="1"/>
  <c r="S56" i="70" s="1"/>
  <c r="W56" i="70" s="1"/>
  <c r="H42" i="70"/>
  <c r="I42" i="70" s="1"/>
  <c r="M42" i="70" s="1"/>
  <c r="N42" i="70" s="1"/>
  <c r="R42" i="70" s="1"/>
  <c r="S42" i="70" s="1"/>
  <c r="W42" i="70" s="1"/>
  <c r="H48" i="115"/>
  <c r="I48" i="115" s="1"/>
  <c r="M48" i="115" s="1"/>
  <c r="N48" i="115" s="1"/>
  <c r="R48" i="115" s="1"/>
  <c r="S48" i="115" s="1"/>
  <c r="W48" i="115" s="1"/>
  <c r="O123" i="70"/>
  <c r="O69" i="115"/>
  <c r="O123" i="115" s="1"/>
  <c r="W135" i="70"/>
  <c r="H45" i="70"/>
  <c r="I45" i="70" s="1"/>
  <c r="M45" i="70" s="1"/>
  <c r="N45" i="70" s="1"/>
  <c r="R45" i="70" s="1"/>
  <c r="S45" i="70" s="1"/>
  <c r="W45" i="70" s="1"/>
  <c r="W29" i="115"/>
  <c r="D55" i="115" s="1"/>
  <c r="P79" i="115"/>
  <c r="P133" i="115" s="1"/>
  <c r="P133" i="70"/>
  <c r="R76" i="115"/>
  <c r="T80" i="70"/>
  <c r="S80" i="115"/>
  <c r="U80" i="70"/>
  <c r="W80" i="70"/>
  <c r="D107" i="70" s="1"/>
  <c r="S134" i="70"/>
  <c r="M132" i="70"/>
  <c r="I139" i="115"/>
  <c r="H46" i="70"/>
  <c r="I46" i="70" s="1"/>
  <c r="M46" i="70" s="1"/>
  <c r="N46" i="70" s="1"/>
  <c r="R46" i="70" s="1"/>
  <c r="S46" i="70" s="1"/>
  <c r="W46" i="70" s="1"/>
  <c r="M124" i="115"/>
  <c r="P125" i="70"/>
  <c r="R125" i="70" s="1"/>
  <c r="P71" i="115"/>
  <c r="P125" i="115" s="1"/>
  <c r="P70" i="115"/>
  <c r="P124" i="115" s="1"/>
  <c r="P124" i="70"/>
  <c r="R82" i="115"/>
  <c r="N137" i="115"/>
  <c r="H51" i="70"/>
  <c r="I51" i="70" s="1"/>
  <c r="M51" i="70" s="1"/>
  <c r="N51" i="70" s="1"/>
  <c r="R51" i="70" s="1"/>
  <c r="S51" i="70" s="1"/>
  <c r="W51" i="70" s="1"/>
  <c r="D159" i="70"/>
  <c r="M69" i="115"/>
  <c r="N69" i="115" s="1"/>
  <c r="H56" i="115"/>
  <c r="I56" i="115" s="1"/>
  <c r="M56" i="115" s="1"/>
  <c r="N56" i="115" s="1"/>
  <c r="R56" i="115" s="1"/>
  <c r="S56" i="115" s="1"/>
  <c r="W56" i="115" s="1"/>
  <c r="U73" i="70"/>
  <c r="S73" i="115"/>
  <c r="T73" i="70"/>
  <c r="M138" i="70"/>
  <c r="J85" i="115"/>
  <c r="K15" i="58" s="1"/>
  <c r="J122" i="115"/>
  <c r="J139" i="115" s="1"/>
  <c r="H53" i="70"/>
  <c r="I53" i="70" s="1"/>
  <c r="M53" i="70" s="1"/>
  <c r="N53" i="70" s="1"/>
  <c r="R53" i="70" s="1"/>
  <c r="S53" i="70" s="1"/>
  <c r="W53" i="70" s="1"/>
  <c r="O75" i="70"/>
  <c r="R75" i="70" s="1"/>
  <c r="S75" i="70" s="1"/>
  <c r="P75" i="70"/>
  <c r="N129" i="70"/>
  <c r="N132" i="115"/>
  <c r="M77" i="115"/>
  <c r="N77" i="115" s="1"/>
  <c r="H27" i="61"/>
  <c r="E24" i="69"/>
  <c r="W81" i="70"/>
  <c r="D108" i="70" s="1"/>
  <c r="D161" i="70" s="1"/>
  <c r="R83" i="70"/>
  <c r="S83" i="70" s="1"/>
  <c r="O137" i="70"/>
  <c r="O83" i="115"/>
  <c r="O137" i="115" s="1"/>
  <c r="M125" i="115"/>
  <c r="M133" i="115"/>
  <c r="O125" i="70"/>
  <c r="O71" i="115"/>
  <c r="O125" i="115" s="1"/>
  <c r="I85" i="115"/>
  <c r="M68" i="115"/>
  <c r="M73" i="115"/>
  <c r="N73" i="115" s="1"/>
  <c r="W25" i="115"/>
  <c r="D51" i="115" s="1"/>
  <c r="O73" i="115"/>
  <c r="O127" i="115" s="1"/>
  <c r="O127" i="70"/>
  <c r="R127" i="70" s="1"/>
  <c r="W76" i="70"/>
  <c r="D103" i="70" s="1"/>
  <c r="T130" i="70"/>
  <c r="W130" i="70" s="1"/>
  <c r="T76" i="115"/>
  <c r="T130" i="115" s="1"/>
  <c r="W130" i="115" s="1"/>
  <c r="W72" i="70"/>
  <c r="D99" i="70" s="1"/>
  <c r="D152" i="70" s="1"/>
  <c r="T72" i="115"/>
  <c r="T126" i="115" s="1"/>
  <c r="T126" i="70"/>
  <c r="H44" i="70"/>
  <c r="I44" i="70" s="1"/>
  <c r="M44" i="70" s="1"/>
  <c r="N44" i="70" s="1"/>
  <c r="R44" i="70" s="1"/>
  <c r="S44" i="70" s="1"/>
  <c r="W44" i="70" s="1"/>
  <c r="W15" i="115"/>
  <c r="D41" i="115" s="1"/>
  <c r="W19" i="115"/>
  <c r="D45" i="115" s="1"/>
  <c r="M129" i="115"/>
  <c r="P78" i="70"/>
  <c r="O78" i="70"/>
  <c r="R78" i="70"/>
  <c r="S78" i="70" s="1"/>
  <c r="N132" i="70"/>
  <c r="O77" i="70"/>
  <c r="P77" i="70"/>
  <c r="R77" i="70" s="1"/>
  <c r="S77" i="70" s="1"/>
  <c r="N131" i="70"/>
  <c r="T135" i="70"/>
  <c r="T81" i="115"/>
  <c r="T135" i="115" s="1"/>
  <c r="P137" i="70"/>
  <c r="P83" i="115"/>
  <c r="P137" i="115" s="1"/>
  <c r="M84" i="115"/>
  <c r="N84" i="115" s="1"/>
  <c r="M127" i="115"/>
  <c r="N122" i="70"/>
  <c r="R14" i="70"/>
  <c r="N31" i="70"/>
  <c r="M138" i="115"/>
  <c r="S82" i="115"/>
  <c r="U82" i="70"/>
  <c r="T82" i="70"/>
  <c r="P73" i="115"/>
  <c r="P127" i="115" s="1"/>
  <c r="P127" i="70"/>
  <c r="N125" i="115" l="1"/>
  <c r="R125" i="115" s="1"/>
  <c r="M122" i="115"/>
  <c r="S123" i="70"/>
  <c r="R137" i="70"/>
  <c r="R124" i="70"/>
  <c r="W69" i="70"/>
  <c r="D96" i="70" s="1"/>
  <c r="D149" i="70" s="1"/>
  <c r="W81" i="115"/>
  <c r="D108" i="115" s="1"/>
  <c r="D161" i="115" s="1"/>
  <c r="R133" i="70"/>
  <c r="P85" i="70"/>
  <c r="P68" i="115"/>
  <c r="P122" i="70"/>
  <c r="S138" i="115"/>
  <c r="U136" i="70"/>
  <c r="U82" i="115"/>
  <c r="U136" i="115" s="1"/>
  <c r="H41" i="115"/>
  <c r="I41" i="115" s="1"/>
  <c r="M41" i="115" s="1"/>
  <c r="N41" i="115" s="1"/>
  <c r="R41" i="115" s="1"/>
  <c r="S41" i="115" s="1"/>
  <c r="W41" i="115" s="1"/>
  <c r="U83" i="70"/>
  <c r="W83" i="70" s="1"/>
  <c r="D110" i="70" s="1"/>
  <c r="S83" i="115"/>
  <c r="T83" i="70"/>
  <c r="S137" i="70"/>
  <c r="P75" i="115"/>
  <c r="P129" i="115" s="1"/>
  <c r="P129" i="70"/>
  <c r="R124" i="115"/>
  <c r="R70" i="115"/>
  <c r="W126" i="115"/>
  <c r="O128" i="115"/>
  <c r="R128" i="115" s="1"/>
  <c r="R74" i="115"/>
  <c r="O68" i="115"/>
  <c r="O122" i="70"/>
  <c r="O85" i="70"/>
  <c r="T138" i="70"/>
  <c r="W138" i="70" s="1"/>
  <c r="T84" i="115"/>
  <c r="T138" i="115" s="1"/>
  <c r="W138" i="115" s="1"/>
  <c r="R73" i="115"/>
  <c r="N127" i="115"/>
  <c r="R127" i="115" s="1"/>
  <c r="M139" i="115"/>
  <c r="W82" i="70"/>
  <c r="D109" i="70" s="1"/>
  <c r="T82" i="115"/>
  <c r="T136" i="115" s="1"/>
  <c r="T136" i="70"/>
  <c r="W136" i="70" s="1"/>
  <c r="M85" i="115"/>
  <c r="N68" i="115"/>
  <c r="N122" i="115" s="1"/>
  <c r="N139" i="115" s="1"/>
  <c r="H43" i="115"/>
  <c r="I43" i="115" s="1"/>
  <c r="M43" i="115" s="1"/>
  <c r="N43" i="115" s="1"/>
  <c r="R43" i="115" s="1"/>
  <c r="S43" i="115" s="1"/>
  <c r="W43" i="115" s="1"/>
  <c r="E103" i="70"/>
  <c r="F103" i="70"/>
  <c r="H103" i="70"/>
  <c r="I103" i="70" s="1"/>
  <c r="D156" i="70"/>
  <c r="O78" i="115"/>
  <c r="O132" i="70"/>
  <c r="R132" i="70" s="1"/>
  <c r="F107" i="70"/>
  <c r="H107" i="70" s="1"/>
  <c r="I107" i="70" s="1"/>
  <c r="E107" i="70"/>
  <c r="D160" i="70"/>
  <c r="S136" i="115"/>
  <c r="T70" i="70"/>
  <c r="S70" i="115"/>
  <c r="U70" i="70"/>
  <c r="W70" i="70"/>
  <c r="D97" i="70" s="1"/>
  <c r="S124" i="70"/>
  <c r="H46" i="115"/>
  <c r="I46" i="115" s="1"/>
  <c r="M46" i="115" s="1"/>
  <c r="N46" i="115" s="1"/>
  <c r="R46" i="115" s="1"/>
  <c r="S46" i="115" s="1"/>
  <c r="W46" i="115" s="1"/>
  <c r="T74" i="70"/>
  <c r="S74" i="115"/>
  <c r="U74" i="70"/>
  <c r="W74" i="70" s="1"/>
  <c r="D101" i="70" s="1"/>
  <c r="S128" i="70"/>
  <c r="E96" i="70"/>
  <c r="F96" i="70"/>
  <c r="S77" i="115"/>
  <c r="U77" i="70"/>
  <c r="T77" i="70"/>
  <c r="S131" i="70"/>
  <c r="J15" i="58"/>
  <c r="L15" i="58" s="1"/>
  <c r="N138" i="115"/>
  <c r="R138" i="115" s="1"/>
  <c r="R84" i="115"/>
  <c r="S75" i="115"/>
  <c r="T75" i="70"/>
  <c r="U75" i="70"/>
  <c r="S129" i="70"/>
  <c r="W73" i="70"/>
  <c r="D100" i="70" s="1"/>
  <c r="T73" i="115"/>
  <c r="T127" i="115" s="1"/>
  <c r="T127" i="70"/>
  <c r="U73" i="115"/>
  <c r="U127" i="115" s="1"/>
  <c r="U127" i="70"/>
  <c r="U134" i="70"/>
  <c r="U80" i="115"/>
  <c r="U134" i="115" s="1"/>
  <c r="H55" i="115"/>
  <c r="I55" i="115" s="1"/>
  <c r="M55" i="115" s="1"/>
  <c r="N55" i="115" s="1"/>
  <c r="R55" i="115" s="1"/>
  <c r="S55" i="115" s="1"/>
  <c r="W55" i="115" s="1"/>
  <c r="H54" i="115"/>
  <c r="I54" i="115" s="1"/>
  <c r="M54" i="115" s="1"/>
  <c r="N54" i="115" s="1"/>
  <c r="R54" i="115" s="1"/>
  <c r="S54" i="115" s="1"/>
  <c r="W54" i="115" s="1"/>
  <c r="R123" i="70"/>
  <c r="W72" i="115"/>
  <c r="D99" i="115" s="1"/>
  <c r="E106" i="70"/>
  <c r="F106" i="70"/>
  <c r="H106" i="70"/>
  <c r="I106" i="70" s="1"/>
  <c r="H45" i="115"/>
  <c r="I45" i="115" s="1"/>
  <c r="M45" i="115" s="1"/>
  <c r="N45" i="115" s="1"/>
  <c r="R45" i="115" s="1"/>
  <c r="S45" i="115" s="1"/>
  <c r="W45" i="115" s="1"/>
  <c r="N123" i="115"/>
  <c r="R123" i="115" s="1"/>
  <c r="R69" i="115"/>
  <c r="H15" i="54"/>
  <c r="F19" i="54"/>
  <c r="E21" i="54"/>
  <c r="O131" i="70"/>
  <c r="O77" i="115"/>
  <c r="O131" i="115" s="1"/>
  <c r="R79" i="115"/>
  <c r="N133" i="115"/>
  <c r="R133" i="115" s="1"/>
  <c r="O75" i="115"/>
  <c r="O129" i="70"/>
  <c r="R137" i="115"/>
  <c r="U138" i="70"/>
  <c r="U84" i="115"/>
  <c r="U138" i="115" s="1"/>
  <c r="P78" i="115"/>
  <c r="P132" i="115" s="1"/>
  <c r="P132" i="70"/>
  <c r="R31" i="70"/>
  <c r="S14" i="70"/>
  <c r="S133" i="115"/>
  <c r="N131" i="115"/>
  <c r="S134" i="115"/>
  <c r="U125" i="70"/>
  <c r="U71" i="115"/>
  <c r="U125" i="115" s="1"/>
  <c r="W135" i="115"/>
  <c r="H50" i="115"/>
  <c r="I50" i="115" s="1"/>
  <c r="M50" i="115" s="1"/>
  <c r="N50" i="115" s="1"/>
  <c r="R50" i="115" s="1"/>
  <c r="S50" i="115" s="1"/>
  <c r="W50" i="115" s="1"/>
  <c r="T79" i="115"/>
  <c r="T133" i="115" s="1"/>
  <c r="T133" i="70"/>
  <c r="H42" i="115"/>
  <c r="I42" i="115" s="1"/>
  <c r="M42" i="115" s="1"/>
  <c r="N42" i="115" s="1"/>
  <c r="R42" i="115" s="1"/>
  <c r="S42" i="115" s="1"/>
  <c r="W42" i="115" s="1"/>
  <c r="U123" i="70"/>
  <c r="U69" i="115"/>
  <c r="U123" i="115" s="1"/>
  <c r="E99" i="70"/>
  <c r="F99" i="70"/>
  <c r="H99" i="70" s="1"/>
  <c r="I99" i="70" s="1"/>
  <c r="E111" i="70"/>
  <c r="F111" i="70"/>
  <c r="R83" i="115"/>
  <c r="U78" i="70"/>
  <c r="T78" i="70"/>
  <c r="W78" i="70" s="1"/>
  <c r="D105" i="70" s="1"/>
  <c r="S78" i="115"/>
  <c r="S132" i="70"/>
  <c r="W76" i="115"/>
  <c r="D103" i="115" s="1"/>
  <c r="E108" i="70"/>
  <c r="F108" i="70"/>
  <c r="H108" i="70" s="1"/>
  <c r="I108" i="70" s="1"/>
  <c r="H44" i="115"/>
  <c r="I44" i="115" s="1"/>
  <c r="M44" i="115" s="1"/>
  <c r="N44" i="115" s="1"/>
  <c r="R44" i="115" s="1"/>
  <c r="S44" i="115" s="1"/>
  <c r="W44" i="115" s="1"/>
  <c r="D152" i="115"/>
  <c r="N139" i="70"/>
  <c r="R122" i="70"/>
  <c r="P77" i="115"/>
  <c r="P131" i="115" s="1"/>
  <c r="P131" i="70"/>
  <c r="S127" i="115"/>
  <c r="H51" i="115"/>
  <c r="I51" i="115" s="1"/>
  <c r="M51" i="115" s="1"/>
  <c r="N51" i="115" s="1"/>
  <c r="R51" i="115" s="1"/>
  <c r="S51" i="115" s="1"/>
  <c r="W51" i="115" s="1"/>
  <c r="T134" i="70"/>
  <c r="W134" i="70" s="1"/>
  <c r="T80" i="115"/>
  <c r="T134" i="115" s="1"/>
  <c r="W134" i="115" s="1"/>
  <c r="H47" i="115"/>
  <c r="I47" i="115" s="1"/>
  <c r="M47" i="115" s="1"/>
  <c r="N47" i="115" s="1"/>
  <c r="R47" i="115" s="1"/>
  <c r="S47" i="115" s="1"/>
  <c r="W47" i="115" s="1"/>
  <c r="W71" i="70"/>
  <c r="D98" i="70" s="1"/>
  <c r="T125" i="70"/>
  <c r="W125" i="70" s="1"/>
  <c r="T71" i="115"/>
  <c r="T125" i="115" s="1"/>
  <c r="W125" i="115" s="1"/>
  <c r="R14" i="115"/>
  <c r="R31" i="115" s="1"/>
  <c r="N31" i="115"/>
  <c r="R68" i="70"/>
  <c r="H53" i="115"/>
  <c r="I53" i="115" s="1"/>
  <c r="M53" i="115" s="1"/>
  <c r="N53" i="115" s="1"/>
  <c r="R53" i="115" s="1"/>
  <c r="S53" i="115" s="1"/>
  <c r="W53" i="115" s="1"/>
  <c r="M139" i="70"/>
  <c r="U79" i="115"/>
  <c r="U133" i="115" s="1"/>
  <c r="U133" i="70"/>
  <c r="T69" i="115"/>
  <c r="T123" i="115" s="1"/>
  <c r="T123" i="70"/>
  <c r="R131" i="70" l="1"/>
  <c r="W71" i="115"/>
  <c r="D98" i="115" s="1"/>
  <c r="D151" i="115" s="1"/>
  <c r="P139" i="70"/>
  <c r="W123" i="115"/>
  <c r="W133" i="70"/>
  <c r="R129" i="70"/>
  <c r="H96" i="70"/>
  <c r="I96" i="70" s="1"/>
  <c r="J96" i="70" s="1"/>
  <c r="J96" i="115" s="1"/>
  <c r="W82" i="115"/>
  <c r="D109" i="115" s="1"/>
  <c r="D162" i="115" s="1"/>
  <c r="F110" i="70"/>
  <c r="E110" i="70"/>
  <c r="D163" i="70"/>
  <c r="F101" i="70"/>
  <c r="E101" i="70"/>
  <c r="H101" i="70" s="1"/>
  <c r="I101" i="70" s="1"/>
  <c r="D154" i="70"/>
  <c r="K99" i="70"/>
  <c r="K99" i="115" s="1"/>
  <c r="J99" i="70"/>
  <c r="J99" i="115" s="1"/>
  <c r="J108" i="70"/>
  <c r="J108" i="115" s="1"/>
  <c r="K108" i="70"/>
  <c r="K108" i="115" s="1"/>
  <c r="M108" i="70"/>
  <c r="N108" i="70" s="1"/>
  <c r="T75" i="115"/>
  <c r="T129" i="115" s="1"/>
  <c r="T129" i="70"/>
  <c r="W129" i="70" s="1"/>
  <c r="H152" i="115"/>
  <c r="I152" i="115" s="1"/>
  <c r="M152" i="115" s="1"/>
  <c r="N152" i="115" s="1"/>
  <c r="R152" i="115" s="1"/>
  <c r="S152" i="115" s="1"/>
  <c r="W152" i="115" s="1"/>
  <c r="T78" i="115"/>
  <c r="T132" i="115" s="1"/>
  <c r="T132" i="70"/>
  <c r="R131" i="115"/>
  <c r="E23" i="54"/>
  <c r="F21" i="54"/>
  <c r="W69" i="115"/>
  <c r="D96" i="115" s="1"/>
  <c r="S129" i="115"/>
  <c r="E149" i="70"/>
  <c r="E96" i="115"/>
  <c r="E149" i="115" s="1"/>
  <c r="E107" i="115"/>
  <c r="E160" i="115" s="1"/>
  <c r="E160" i="70"/>
  <c r="E156" i="70"/>
  <c r="E103" i="115"/>
  <c r="E156" i="115" s="1"/>
  <c r="F96" i="115"/>
  <c r="F149" i="115" s="1"/>
  <c r="F149" i="70"/>
  <c r="J106" i="70"/>
  <c r="J106" i="115" s="1"/>
  <c r="K106" i="70"/>
  <c r="K106" i="115" s="1"/>
  <c r="O139" i="70"/>
  <c r="U78" i="115"/>
  <c r="U132" i="115" s="1"/>
  <c r="U132" i="70"/>
  <c r="E99" i="115"/>
  <c r="E152" i="115" s="1"/>
  <c r="E152" i="70"/>
  <c r="H152" i="70" s="1"/>
  <c r="I152" i="70" s="1"/>
  <c r="M152" i="70" s="1"/>
  <c r="N152" i="70" s="1"/>
  <c r="R152" i="70" s="1"/>
  <c r="S152" i="70" s="1"/>
  <c r="W152" i="70" s="1"/>
  <c r="W133" i="115"/>
  <c r="H16" i="54"/>
  <c r="I16" i="54" s="1"/>
  <c r="I15" i="54"/>
  <c r="F106" i="115"/>
  <c r="F159" i="115" s="1"/>
  <c r="F159" i="70"/>
  <c r="E100" i="70"/>
  <c r="F100" i="70"/>
  <c r="D153" i="70"/>
  <c r="U124" i="70"/>
  <c r="U70" i="115"/>
  <c r="U124" i="115" s="1"/>
  <c r="W73" i="115"/>
  <c r="D100" i="115" s="1"/>
  <c r="O85" i="115"/>
  <c r="O15" i="58" s="1"/>
  <c r="O122" i="115"/>
  <c r="P85" i="115"/>
  <c r="P122" i="115"/>
  <c r="P139" i="115" s="1"/>
  <c r="R139" i="70"/>
  <c r="K103" i="70"/>
  <c r="K103" i="115" s="1"/>
  <c r="J103" i="70"/>
  <c r="J103" i="115" s="1"/>
  <c r="W84" i="115"/>
  <c r="D111" i="115" s="1"/>
  <c r="S132" i="115"/>
  <c r="W132" i="115" s="1"/>
  <c r="J107" i="70"/>
  <c r="J107" i="115" s="1"/>
  <c r="K107" i="70"/>
  <c r="K107" i="115" s="1"/>
  <c r="F161" i="70"/>
  <c r="F108" i="115"/>
  <c r="F161" i="115" s="1"/>
  <c r="S14" i="115"/>
  <c r="S31" i="70"/>
  <c r="W14" i="70"/>
  <c r="E106" i="115"/>
  <c r="E159" i="115" s="1"/>
  <c r="E159" i="70"/>
  <c r="W79" i="115"/>
  <c r="D106" i="115" s="1"/>
  <c r="W77" i="70"/>
  <c r="D104" i="70" s="1"/>
  <c r="T77" i="115"/>
  <c r="T131" i="115" s="1"/>
  <c r="T131" i="70"/>
  <c r="U74" i="115"/>
  <c r="U128" i="115" s="1"/>
  <c r="U128" i="70"/>
  <c r="S124" i="115"/>
  <c r="E111" i="115"/>
  <c r="E164" i="115" s="1"/>
  <c r="E164" i="70"/>
  <c r="W80" i="115"/>
  <c r="D107" i="115" s="1"/>
  <c r="U75" i="115"/>
  <c r="U129" i="115" s="1"/>
  <c r="U129" i="70"/>
  <c r="E105" i="70"/>
  <c r="F105" i="70"/>
  <c r="D158" i="70"/>
  <c r="R77" i="115"/>
  <c r="E97" i="70"/>
  <c r="F97" i="70"/>
  <c r="D150" i="70"/>
  <c r="F98" i="70"/>
  <c r="E98" i="70"/>
  <c r="D151" i="70"/>
  <c r="E161" i="70"/>
  <c r="E108" i="115"/>
  <c r="H111" i="70"/>
  <c r="I111" i="70" s="1"/>
  <c r="W123" i="70"/>
  <c r="U131" i="70"/>
  <c r="U77" i="115"/>
  <c r="U131" i="115" s="1"/>
  <c r="S128" i="115"/>
  <c r="T70" i="115"/>
  <c r="T124" i="115" s="1"/>
  <c r="T124" i="70"/>
  <c r="O132" i="115"/>
  <c r="R132" i="115" s="1"/>
  <c r="R78" i="115"/>
  <c r="F23" i="69"/>
  <c r="G23" i="69"/>
  <c r="G24" i="69" s="1"/>
  <c r="S137" i="115"/>
  <c r="F156" i="70"/>
  <c r="F103" i="115"/>
  <c r="F156" i="115" s="1"/>
  <c r="U83" i="115"/>
  <c r="U137" i="115" s="1"/>
  <c r="U137" i="70"/>
  <c r="F152" i="70"/>
  <c r="F99" i="115"/>
  <c r="F152" i="115" s="1"/>
  <c r="F160" i="70"/>
  <c r="H160" i="70" s="1"/>
  <c r="I160" i="70" s="1"/>
  <c r="M160" i="70" s="1"/>
  <c r="N160" i="70" s="1"/>
  <c r="R160" i="70" s="1"/>
  <c r="S160" i="70" s="1"/>
  <c r="W160" i="70" s="1"/>
  <c r="F107" i="115"/>
  <c r="F160" i="115" s="1"/>
  <c r="F109" i="70"/>
  <c r="E109" i="70"/>
  <c r="H109" i="70"/>
  <c r="I109" i="70" s="1"/>
  <c r="D162" i="70"/>
  <c r="W127" i="115"/>
  <c r="O129" i="115"/>
  <c r="R129" i="115" s="1"/>
  <c r="R75" i="115"/>
  <c r="S68" i="70"/>
  <c r="R85" i="70"/>
  <c r="H103" i="115"/>
  <c r="I103" i="115" s="1"/>
  <c r="D156" i="115"/>
  <c r="F164" i="70"/>
  <c r="F111" i="115"/>
  <c r="F164" i="115" s="1"/>
  <c r="W127" i="70"/>
  <c r="W75" i="70"/>
  <c r="D102" i="70" s="1"/>
  <c r="S131" i="115"/>
  <c r="T74" i="115"/>
  <c r="T128" i="115" s="1"/>
  <c r="T128" i="70"/>
  <c r="W136" i="115"/>
  <c r="N85" i="115"/>
  <c r="R68" i="115"/>
  <c r="T83" i="115"/>
  <c r="T137" i="115" s="1"/>
  <c r="T137" i="70"/>
  <c r="H161" i="70" l="1"/>
  <c r="I161" i="70" s="1"/>
  <c r="M161" i="70" s="1"/>
  <c r="N161" i="70" s="1"/>
  <c r="R161" i="70" s="1"/>
  <c r="S161" i="70" s="1"/>
  <c r="W161" i="70" s="1"/>
  <c r="W137" i="70"/>
  <c r="W77" i="115"/>
  <c r="D104" i="115" s="1"/>
  <c r="K96" i="70"/>
  <c r="K96" i="115" s="1"/>
  <c r="M103" i="70"/>
  <c r="N103" i="70" s="1"/>
  <c r="H18" i="54"/>
  <c r="I18" i="54" s="1"/>
  <c r="W132" i="70"/>
  <c r="W124" i="70"/>
  <c r="H164" i="70"/>
  <c r="I164" i="70" s="1"/>
  <c r="M164" i="70" s="1"/>
  <c r="N164" i="70" s="1"/>
  <c r="R164" i="70" s="1"/>
  <c r="S164" i="70" s="1"/>
  <c r="W164" i="70" s="1"/>
  <c r="M103" i="115"/>
  <c r="N103" i="115" s="1"/>
  <c r="W131" i="115"/>
  <c r="W70" i="115"/>
  <c r="D97" i="115" s="1"/>
  <c r="D150" i="115" s="1"/>
  <c r="W128" i="70"/>
  <c r="H99" i="115"/>
  <c r="I99" i="115" s="1"/>
  <c r="M99" i="115" s="1"/>
  <c r="N99" i="115" s="1"/>
  <c r="W131" i="70"/>
  <c r="J101" i="70"/>
  <c r="J101" i="115" s="1"/>
  <c r="K101" i="70"/>
  <c r="K101" i="115" s="1"/>
  <c r="H100" i="70"/>
  <c r="I100" i="70" s="1"/>
  <c r="E100" i="115"/>
  <c r="E153" i="115" s="1"/>
  <c r="E153" i="70"/>
  <c r="P108" i="70"/>
  <c r="P108" i="115" s="1"/>
  <c r="O108" i="70"/>
  <c r="O108" i="115" s="1"/>
  <c r="D157" i="115"/>
  <c r="U68" i="70"/>
  <c r="T68" i="70"/>
  <c r="W68" i="70" s="1"/>
  <c r="S68" i="115"/>
  <c r="S85" i="70"/>
  <c r="F109" i="115"/>
  <c r="F162" i="115" s="1"/>
  <c r="F162" i="70"/>
  <c r="M107" i="70"/>
  <c r="N107" i="70" s="1"/>
  <c r="D153" i="115"/>
  <c r="H149" i="70"/>
  <c r="I149" i="70" s="1"/>
  <c r="M149" i="70" s="1"/>
  <c r="N149" i="70" s="1"/>
  <c r="R149" i="70" s="1"/>
  <c r="S149" i="70" s="1"/>
  <c r="W149" i="70" s="1"/>
  <c r="R122" i="115"/>
  <c r="R139" i="115" s="1"/>
  <c r="O139" i="115"/>
  <c r="H160" i="115"/>
  <c r="I160" i="115" s="1"/>
  <c r="M160" i="115" s="1"/>
  <c r="N160" i="115" s="1"/>
  <c r="R160" i="115" s="1"/>
  <c r="S160" i="115" s="1"/>
  <c r="W160" i="115" s="1"/>
  <c r="E102" i="70"/>
  <c r="F102" i="70"/>
  <c r="H102" i="70"/>
  <c r="I102" i="70" s="1"/>
  <c r="D155" i="70"/>
  <c r="W137" i="115"/>
  <c r="S31" i="115"/>
  <c r="I23" i="69" s="1"/>
  <c r="W14" i="115"/>
  <c r="S122" i="115"/>
  <c r="E154" i="70"/>
  <c r="E101" i="115"/>
  <c r="E154" i="115" s="1"/>
  <c r="R85" i="115"/>
  <c r="W83" i="115"/>
  <c r="D110" i="115" s="1"/>
  <c r="W128" i="115"/>
  <c r="E161" i="115"/>
  <c r="H161" i="115" s="1"/>
  <c r="I161" i="115" s="1"/>
  <c r="M161" i="115" s="1"/>
  <c r="N161" i="115" s="1"/>
  <c r="R161" i="115" s="1"/>
  <c r="S161" i="115" s="1"/>
  <c r="W161" i="115" s="1"/>
  <c r="H108" i="115"/>
  <c r="I108" i="115" s="1"/>
  <c r="M108" i="115" s="1"/>
  <c r="N108" i="115" s="1"/>
  <c r="H97" i="70"/>
  <c r="I97" i="70" s="1"/>
  <c r="E97" i="115"/>
  <c r="E150" i="115" s="1"/>
  <c r="E150" i="70"/>
  <c r="H107" i="115"/>
  <c r="I107" i="115" s="1"/>
  <c r="M107" i="115" s="1"/>
  <c r="N107" i="115" s="1"/>
  <c r="D160" i="115"/>
  <c r="S122" i="70"/>
  <c r="W75" i="115"/>
  <c r="D102" i="115" s="1"/>
  <c r="M99" i="70"/>
  <c r="N99" i="70" s="1"/>
  <c r="F154" i="70"/>
  <c r="F101" i="115"/>
  <c r="F154" i="115" s="1"/>
  <c r="E151" i="70"/>
  <c r="H151" i="70" s="1"/>
  <c r="I151" i="70" s="1"/>
  <c r="M151" i="70" s="1"/>
  <c r="N151" i="70" s="1"/>
  <c r="R151" i="70" s="1"/>
  <c r="S151" i="70" s="1"/>
  <c r="W151" i="70" s="1"/>
  <c r="E98" i="115"/>
  <c r="W129" i="115"/>
  <c r="E104" i="70"/>
  <c r="F104" i="70"/>
  <c r="H104" i="70"/>
  <c r="I104" i="70" s="1"/>
  <c r="D157" i="70"/>
  <c r="H96" i="115"/>
  <c r="I96" i="115" s="1"/>
  <c r="M96" i="115" s="1"/>
  <c r="N96" i="115" s="1"/>
  <c r="D149" i="115"/>
  <c r="H149" i="115" s="1"/>
  <c r="I149" i="115" s="1"/>
  <c r="M149" i="115" s="1"/>
  <c r="N149" i="115" s="1"/>
  <c r="R149" i="115" s="1"/>
  <c r="S149" i="115" s="1"/>
  <c r="W149" i="115" s="1"/>
  <c r="J109" i="70"/>
  <c r="J109" i="115" s="1"/>
  <c r="K109" i="70"/>
  <c r="K109" i="115" s="1"/>
  <c r="E158" i="70"/>
  <c r="E105" i="115"/>
  <c r="E158" i="115" s="1"/>
  <c r="O103" i="70"/>
  <c r="O103" i="115" s="1"/>
  <c r="P103" i="70"/>
  <c r="P103" i="115" s="1"/>
  <c r="F97" i="115"/>
  <c r="F150" i="115" s="1"/>
  <c r="F150" i="70"/>
  <c r="H106" i="115"/>
  <c r="I106" i="115" s="1"/>
  <c r="M106" i="115" s="1"/>
  <c r="N106" i="115" s="1"/>
  <c r="D159" i="115"/>
  <c r="H159" i="115" s="1"/>
  <c r="I159" i="115" s="1"/>
  <c r="M159" i="115" s="1"/>
  <c r="N159" i="115" s="1"/>
  <c r="R159" i="115" s="1"/>
  <c r="S159" i="115" s="1"/>
  <c r="W159" i="115" s="1"/>
  <c r="H156" i="70"/>
  <c r="I156" i="70" s="1"/>
  <c r="M156" i="70" s="1"/>
  <c r="N156" i="70" s="1"/>
  <c r="R156" i="70" s="1"/>
  <c r="S156" i="70" s="1"/>
  <c r="W156" i="70" s="1"/>
  <c r="M96" i="70"/>
  <c r="N96" i="70" s="1"/>
  <c r="H110" i="70"/>
  <c r="I110" i="70" s="1"/>
  <c r="E163" i="70"/>
  <c r="E110" i="115"/>
  <c r="E163" i="115" s="1"/>
  <c r="F158" i="70"/>
  <c r="F105" i="115"/>
  <c r="F158" i="115" s="1"/>
  <c r="H111" i="115"/>
  <c r="I111" i="115" s="1"/>
  <c r="D164" i="115"/>
  <c r="H164" i="115" s="1"/>
  <c r="I164" i="115" s="1"/>
  <c r="M164" i="115" s="1"/>
  <c r="N164" i="115" s="1"/>
  <c r="R164" i="115" s="1"/>
  <c r="S164" i="115" s="1"/>
  <c r="W164" i="115" s="1"/>
  <c r="E109" i="115"/>
  <c r="E162" i="70"/>
  <c r="F151" i="70"/>
  <c r="F98" i="115"/>
  <c r="F151" i="115" s="1"/>
  <c r="D40" i="70"/>
  <c r="W31" i="70"/>
  <c r="P15" i="58"/>
  <c r="Q15" i="58"/>
  <c r="K111" i="70"/>
  <c r="K111" i="115" s="1"/>
  <c r="J111" i="70"/>
  <c r="J111" i="115" s="1"/>
  <c r="W74" i="115"/>
  <c r="D101" i="115" s="1"/>
  <c r="H156" i="115"/>
  <c r="I156" i="115" s="1"/>
  <c r="M156" i="115" s="1"/>
  <c r="N156" i="115" s="1"/>
  <c r="R156" i="115" s="1"/>
  <c r="S156" i="115" s="1"/>
  <c r="W156" i="115" s="1"/>
  <c r="F24" i="69"/>
  <c r="H23" i="69"/>
  <c r="H98" i="70"/>
  <c r="I98" i="70" s="1"/>
  <c r="H105" i="70"/>
  <c r="I105" i="70" s="1"/>
  <c r="W124" i="115"/>
  <c r="H159" i="70"/>
  <c r="I159" i="70" s="1"/>
  <c r="M159" i="70" s="1"/>
  <c r="N159" i="70" s="1"/>
  <c r="R159" i="70" s="1"/>
  <c r="S159" i="70" s="1"/>
  <c r="W159" i="70" s="1"/>
  <c r="W78" i="115"/>
  <c r="D105" i="115" s="1"/>
  <c r="F100" i="115"/>
  <c r="F153" i="115" s="1"/>
  <c r="F153" i="70"/>
  <c r="M106" i="70"/>
  <c r="N106" i="70" s="1"/>
  <c r="E25" i="54"/>
  <c r="G17" i="58" s="1"/>
  <c r="F23" i="54"/>
  <c r="F25" i="54" s="1"/>
  <c r="F110" i="115"/>
  <c r="F163" i="115" s="1"/>
  <c r="F163" i="70"/>
  <c r="H154" i="70" l="1"/>
  <c r="I154" i="70" s="1"/>
  <c r="M154" i="70" s="1"/>
  <c r="N154" i="70" s="1"/>
  <c r="R154" i="70" s="1"/>
  <c r="S154" i="70" s="1"/>
  <c r="W154" i="70" s="1"/>
  <c r="R103" i="115"/>
  <c r="S103" i="115" s="1"/>
  <c r="H158" i="70"/>
  <c r="I158" i="70" s="1"/>
  <c r="M158" i="70" s="1"/>
  <c r="N158" i="70" s="1"/>
  <c r="R158" i="70" s="1"/>
  <c r="S158" i="70" s="1"/>
  <c r="W158" i="70" s="1"/>
  <c r="H19" i="54"/>
  <c r="M101" i="70"/>
  <c r="N101" i="70" s="1"/>
  <c r="P101" i="70" s="1"/>
  <c r="P101" i="115" s="1"/>
  <c r="R101" i="115" s="1"/>
  <c r="S101" i="115" s="1"/>
  <c r="H150" i="70"/>
  <c r="I150" i="70" s="1"/>
  <c r="M150" i="70" s="1"/>
  <c r="N150" i="70" s="1"/>
  <c r="R150" i="70" s="1"/>
  <c r="S150" i="70" s="1"/>
  <c r="W150" i="70" s="1"/>
  <c r="H163" i="70"/>
  <c r="I163" i="70" s="1"/>
  <c r="M163" i="70" s="1"/>
  <c r="N163" i="70" s="1"/>
  <c r="R163" i="70" s="1"/>
  <c r="S163" i="70" s="1"/>
  <c r="W163" i="70" s="1"/>
  <c r="W85" i="70"/>
  <c r="D95" i="70"/>
  <c r="J102" i="70"/>
  <c r="J102" i="115" s="1"/>
  <c r="K102" i="70"/>
  <c r="K102" i="115" s="1"/>
  <c r="P106" i="70"/>
  <c r="P106" i="115" s="1"/>
  <c r="O106" i="70"/>
  <c r="O106" i="115" s="1"/>
  <c r="R106" i="115" s="1"/>
  <c r="S106" i="115" s="1"/>
  <c r="H153" i="115"/>
  <c r="I153" i="115" s="1"/>
  <c r="M153" i="115" s="1"/>
  <c r="N153" i="115" s="1"/>
  <c r="R153" i="115" s="1"/>
  <c r="S153" i="115" s="1"/>
  <c r="W153" i="115" s="1"/>
  <c r="U85" i="70"/>
  <c r="U122" i="70"/>
  <c r="U139" i="70" s="1"/>
  <c r="U68" i="115"/>
  <c r="H153" i="70"/>
  <c r="I153" i="70" s="1"/>
  <c r="M153" i="70" s="1"/>
  <c r="N153" i="70" s="1"/>
  <c r="R153" i="70" s="1"/>
  <c r="S153" i="70" s="1"/>
  <c r="W153" i="70" s="1"/>
  <c r="M111" i="115"/>
  <c r="N111" i="115" s="1"/>
  <c r="E102" i="115"/>
  <c r="E155" i="115" s="1"/>
  <c r="E155" i="70"/>
  <c r="H100" i="115"/>
  <c r="I100" i="115" s="1"/>
  <c r="N15" i="58"/>
  <c r="R15" i="58"/>
  <c r="F102" i="115"/>
  <c r="F155" i="115" s="1"/>
  <c r="F155" i="70"/>
  <c r="J100" i="70"/>
  <c r="J100" i="115" s="1"/>
  <c r="K100" i="70"/>
  <c r="K100" i="115" s="1"/>
  <c r="H105" i="115"/>
  <c r="I105" i="115" s="1"/>
  <c r="M105" i="115" s="1"/>
  <c r="N105" i="115" s="1"/>
  <c r="D158" i="115"/>
  <c r="H158" i="115" s="1"/>
  <c r="I158" i="115" s="1"/>
  <c r="M158" i="115" s="1"/>
  <c r="N158" i="115" s="1"/>
  <c r="R158" i="115" s="1"/>
  <c r="S158" i="115" s="1"/>
  <c r="W158" i="115" s="1"/>
  <c r="H101" i="115"/>
  <c r="I101" i="115" s="1"/>
  <c r="M101" i="115" s="1"/>
  <c r="N101" i="115" s="1"/>
  <c r="D154" i="115"/>
  <c r="H154" i="115" s="1"/>
  <c r="I154" i="115" s="1"/>
  <c r="M154" i="115" s="1"/>
  <c r="N154" i="115" s="1"/>
  <c r="R154" i="115" s="1"/>
  <c r="S154" i="115" s="1"/>
  <c r="W154" i="115" s="1"/>
  <c r="H40" i="70"/>
  <c r="D57" i="70"/>
  <c r="D148" i="70"/>
  <c r="F157" i="70"/>
  <c r="F104" i="115"/>
  <c r="F157" i="115" s="1"/>
  <c r="H102" i="115"/>
  <c r="I102" i="115" s="1"/>
  <c r="M102" i="115" s="1"/>
  <c r="N102" i="115" s="1"/>
  <c r="D155" i="115"/>
  <c r="W31" i="115"/>
  <c r="D40" i="115"/>
  <c r="H162" i="70"/>
  <c r="I162" i="70" s="1"/>
  <c r="M162" i="70" s="1"/>
  <c r="N162" i="70" s="1"/>
  <c r="R162" i="70" s="1"/>
  <c r="S162" i="70" s="1"/>
  <c r="W162" i="70" s="1"/>
  <c r="K98" i="70"/>
  <c r="K98" i="115" s="1"/>
  <c r="J98" i="70"/>
  <c r="J98" i="115" s="1"/>
  <c r="O96" i="70"/>
  <c r="O96" i="115" s="1"/>
  <c r="P96" i="70"/>
  <c r="P96" i="115" s="1"/>
  <c r="K97" i="70"/>
  <c r="K97" i="115" s="1"/>
  <c r="J97" i="70"/>
  <c r="J97" i="115" s="1"/>
  <c r="I24" i="69"/>
  <c r="E66" i="61"/>
  <c r="O101" i="70"/>
  <c r="O101" i="115" s="1"/>
  <c r="E162" i="115"/>
  <c r="H162" i="115" s="1"/>
  <c r="I162" i="115" s="1"/>
  <c r="M162" i="115" s="1"/>
  <c r="N162" i="115" s="1"/>
  <c r="R162" i="115" s="1"/>
  <c r="S162" i="115" s="1"/>
  <c r="W162" i="115" s="1"/>
  <c r="H109" i="115"/>
  <c r="I109" i="115" s="1"/>
  <c r="M109" i="115" s="1"/>
  <c r="N109" i="115" s="1"/>
  <c r="J104" i="70"/>
  <c r="J104" i="115" s="1"/>
  <c r="K104" i="70"/>
  <c r="K104" i="115" s="1"/>
  <c r="O107" i="70"/>
  <c r="O107" i="115" s="1"/>
  <c r="P107" i="70"/>
  <c r="P107" i="115" s="1"/>
  <c r="K15" i="54"/>
  <c r="I19" i="54"/>
  <c r="H21" i="54"/>
  <c r="M109" i="70"/>
  <c r="N109" i="70" s="1"/>
  <c r="S139" i="70"/>
  <c r="H150" i="115"/>
  <c r="I150" i="115" s="1"/>
  <c r="M150" i="115" s="1"/>
  <c r="N150" i="115" s="1"/>
  <c r="R150" i="115" s="1"/>
  <c r="S150" i="115" s="1"/>
  <c r="W150" i="115" s="1"/>
  <c r="R108" i="70"/>
  <c r="S108" i="70" s="1"/>
  <c r="F17" i="58"/>
  <c r="H17" i="58"/>
  <c r="T85" i="70"/>
  <c r="T122" i="70"/>
  <c r="T139" i="70" s="1"/>
  <c r="T68" i="115"/>
  <c r="J27" i="61"/>
  <c r="H24" i="69"/>
  <c r="P99" i="70"/>
  <c r="P99" i="115" s="1"/>
  <c r="O99" i="70"/>
  <c r="O99" i="115" s="1"/>
  <c r="R99" i="115" s="1"/>
  <c r="S99" i="115" s="1"/>
  <c r="R99" i="70"/>
  <c r="S99" i="70" s="1"/>
  <c r="S139" i="115"/>
  <c r="E104" i="115"/>
  <c r="E157" i="70"/>
  <c r="K105" i="70"/>
  <c r="K105" i="115" s="1"/>
  <c r="J105" i="70"/>
  <c r="J105" i="115" s="1"/>
  <c r="M105" i="70"/>
  <c r="N105" i="70" s="1"/>
  <c r="M111" i="70"/>
  <c r="N111" i="70" s="1"/>
  <c r="J110" i="70"/>
  <c r="J110" i="115" s="1"/>
  <c r="K110" i="70"/>
  <c r="K110" i="115" s="1"/>
  <c r="M110" i="70"/>
  <c r="N110" i="70" s="1"/>
  <c r="R103" i="70"/>
  <c r="S103" i="70" s="1"/>
  <c r="E151" i="115"/>
  <c r="H151" i="115" s="1"/>
  <c r="I151" i="115" s="1"/>
  <c r="M151" i="115" s="1"/>
  <c r="N151" i="115" s="1"/>
  <c r="R151" i="115" s="1"/>
  <c r="S151" i="115" s="1"/>
  <c r="W151" i="115" s="1"/>
  <c r="H98" i="115"/>
  <c r="I98" i="115" s="1"/>
  <c r="H110" i="115"/>
  <c r="I110" i="115" s="1"/>
  <c r="D163" i="115"/>
  <c r="H163" i="115" s="1"/>
  <c r="I163" i="115" s="1"/>
  <c r="M163" i="115" s="1"/>
  <c r="N163" i="115" s="1"/>
  <c r="R163" i="115" s="1"/>
  <c r="S163" i="115" s="1"/>
  <c r="W163" i="115" s="1"/>
  <c r="H155" i="70"/>
  <c r="I155" i="70" s="1"/>
  <c r="M155" i="70" s="1"/>
  <c r="N155" i="70" s="1"/>
  <c r="R155" i="70" s="1"/>
  <c r="S155" i="70" s="1"/>
  <c r="W155" i="70" s="1"/>
  <c r="H97" i="115"/>
  <c r="I97" i="115" s="1"/>
  <c r="W68" i="115"/>
  <c r="S85" i="115"/>
  <c r="R108" i="115"/>
  <c r="S108" i="115" s="1"/>
  <c r="M97" i="115" l="1"/>
  <c r="N97" i="115" s="1"/>
  <c r="W122" i="70"/>
  <c r="W139" i="70" s="1"/>
  <c r="M104" i="70"/>
  <c r="N104" i="70" s="1"/>
  <c r="O104" i="70" s="1"/>
  <c r="O104" i="115" s="1"/>
  <c r="R104" i="115" s="1"/>
  <c r="S104" i="115" s="1"/>
  <c r="R96" i="115"/>
  <c r="S96" i="115" s="1"/>
  <c r="R107" i="115"/>
  <c r="S107" i="115" s="1"/>
  <c r="M97" i="70"/>
  <c r="N97" i="70" s="1"/>
  <c r="R97" i="70" s="1"/>
  <c r="S97" i="70" s="1"/>
  <c r="E157" i="115"/>
  <c r="H157" i="115" s="1"/>
  <c r="I157" i="115" s="1"/>
  <c r="M157" i="115" s="1"/>
  <c r="N157" i="115" s="1"/>
  <c r="R157" i="115" s="1"/>
  <c r="S157" i="115" s="1"/>
  <c r="W157" i="115" s="1"/>
  <c r="H104" i="115"/>
  <c r="I104" i="115" s="1"/>
  <c r="M104" i="115" s="1"/>
  <c r="N104" i="115" s="1"/>
  <c r="O109" i="70"/>
  <c r="O109" i="115" s="1"/>
  <c r="P109" i="70"/>
  <c r="P109" i="115" s="1"/>
  <c r="M100" i="70"/>
  <c r="N100" i="70" s="1"/>
  <c r="M102" i="70"/>
  <c r="N102" i="70" s="1"/>
  <c r="D95" i="115"/>
  <c r="D148" i="115" s="1"/>
  <c r="W85" i="115"/>
  <c r="T122" i="115"/>
  <c r="T85" i="115"/>
  <c r="S15" i="58" s="1"/>
  <c r="M98" i="70"/>
  <c r="N98" i="70" s="1"/>
  <c r="D165" i="70"/>
  <c r="U122" i="115"/>
  <c r="U139" i="115" s="1"/>
  <c r="U85" i="115"/>
  <c r="O105" i="70"/>
  <c r="O105" i="115" s="1"/>
  <c r="P105" i="70"/>
  <c r="P105" i="115" s="1"/>
  <c r="R105" i="70"/>
  <c r="S105" i="70" s="1"/>
  <c r="P110" i="70"/>
  <c r="P110" i="115" s="1"/>
  <c r="O110" i="70"/>
  <c r="O110" i="115" s="1"/>
  <c r="I21" i="54"/>
  <c r="H23" i="54"/>
  <c r="M110" i="115"/>
  <c r="N110" i="115" s="1"/>
  <c r="L15" i="54"/>
  <c r="K16" i="54"/>
  <c r="L16" i="54" s="1"/>
  <c r="K18" i="54"/>
  <c r="L18" i="54" s="1"/>
  <c r="D57" i="115"/>
  <c r="J23" i="69" s="1"/>
  <c r="H40" i="115"/>
  <c r="H57" i="70"/>
  <c r="I40" i="70"/>
  <c r="M100" i="115"/>
  <c r="N100" i="115" s="1"/>
  <c r="E95" i="70"/>
  <c r="F95" i="70"/>
  <c r="D112" i="70"/>
  <c r="P104" i="70"/>
  <c r="P104" i="115" s="1"/>
  <c r="U99" i="70"/>
  <c r="U99" i="115" s="1"/>
  <c r="T99" i="70"/>
  <c r="T99" i="115" s="1"/>
  <c r="W99" i="115" s="1"/>
  <c r="W99" i="70"/>
  <c r="P97" i="70"/>
  <c r="P97" i="115" s="1"/>
  <c r="O97" i="70"/>
  <c r="O97" i="115" s="1"/>
  <c r="R97" i="115" s="1"/>
  <c r="S97" i="115" s="1"/>
  <c r="U108" i="70"/>
  <c r="U108" i="115" s="1"/>
  <c r="T108" i="70"/>
  <c r="T108" i="115" s="1"/>
  <c r="W108" i="115" s="1"/>
  <c r="W108" i="70"/>
  <c r="R107" i="70"/>
  <c r="S107" i="70" s="1"/>
  <c r="R101" i="70"/>
  <c r="S101" i="70" s="1"/>
  <c r="R96" i="70"/>
  <c r="S96" i="70" s="1"/>
  <c r="O111" i="70"/>
  <c r="O111" i="115" s="1"/>
  <c r="P111" i="70"/>
  <c r="P111" i="115" s="1"/>
  <c r="M98" i="115"/>
  <c r="N98" i="115" s="1"/>
  <c r="U103" i="70"/>
  <c r="U103" i="115" s="1"/>
  <c r="T103" i="70"/>
  <c r="T103" i="115" s="1"/>
  <c r="W103" i="115" s="1"/>
  <c r="H157" i="70"/>
  <c r="I157" i="70" s="1"/>
  <c r="M157" i="70" s="1"/>
  <c r="N157" i="70" s="1"/>
  <c r="R157" i="70" s="1"/>
  <c r="S157" i="70" s="1"/>
  <c r="W157" i="70" s="1"/>
  <c r="H155" i="115"/>
  <c r="I155" i="115" s="1"/>
  <c r="M155" i="115" s="1"/>
  <c r="N155" i="115" s="1"/>
  <c r="R155" i="115" s="1"/>
  <c r="S155" i="115" s="1"/>
  <c r="W155" i="115" s="1"/>
  <c r="R106" i="70"/>
  <c r="S106" i="70" s="1"/>
  <c r="R111" i="70" l="1"/>
  <c r="S111" i="70" s="1"/>
  <c r="R110" i="70"/>
  <c r="S110" i="70" s="1"/>
  <c r="T110" i="70" s="1"/>
  <c r="T110" i="115" s="1"/>
  <c r="R109" i="115"/>
  <c r="S109" i="115" s="1"/>
  <c r="I40" i="115"/>
  <c r="H57" i="115"/>
  <c r="O100" i="70"/>
  <c r="O100" i="115" s="1"/>
  <c r="P100" i="70"/>
  <c r="P100" i="115" s="1"/>
  <c r="R100" i="70"/>
  <c r="S100" i="70" s="1"/>
  <c r="T101" i="70"/>
  <c r="T101" i="115" s="1"/>
  <c r="U101" i="70"/>
  <c r="U101" i="115" s="1"/>
  <c r="J24" i="69"/>
  <c r="F66" i="61"/>
  <c r="O98" i="70"/>
  <c r="O98" i="115" s="1"/>
  <c r="P98" i="70"/>
  <c r="P98" i="115" s="1"/>
  <c r="R98" i="70"/>
  <c r="S98" i="70" s="1"/>
  <c r="R109" i="70"/>
  <c r="S109" i="70" s="1"/>
  <c r="D165" i="115"/>
  <c r="U96" i="70"/>
  <c r="U96" i="115" s="1"/>
  <c r="T96" i="70"/>
  <c r="T96" i="115" s="1"/>
  <c r="W96" i="115" s="1"/>
  <c r="W96" i="70"/>
  <c r="H95" i="70"/>
  <c r="F112" i="70"/>
  <c r="F148" i="70"/>
  <c r="F165" i="70" s="1"/>
  <c r="F95" i="115"/>
  <c r="H25" i="54"/>
  <c r="K17" i="58" s="1"/>
  <c r="I23" i="54"/>
  <c r="I25" i="54" s="1"/>
  <c r="U106" i="70"/>
  <c r="U106" i="115" s="1"/>
  <c r="T106" i="70"/>
  <c r="T106" i="115" s="1"/>
  <c r="W106" i="115" s="1"/>
  <c r="E112" i="70"/>
  <c r="E148" i="70"/>
  <c r="E95" i="115"/>
  <c r="H95" i="115" s="1"/>
  <c r="K19" i="54"/>
  <c r="U110" i="70"/>
  <c r="U110" i="115" s="1"/>
  <c r="R105" i="115"/>
  <c r="S105" i="115" s="1"/>
  <c r="T139" i="115"/>
  <c r="W122" i="115"/>
  <c r="W139" i="115" s="1"/>
  <c r="O102" i="70"/>
  <c r="O102" i="115" s="1"/>
  <c r="P102" i="70"/>
  <c r="P102" i="115" s="1"/>
  <c r="R102" i="115" s="1"/>
  <c r="S102" i="115" s="1"/>
  <c r="R102" i="70"/>
  <c r="S102" i="70" s="1"/>
  <c r="W103" i="70"/>
  <c r="R110" i="115"/>
  <c r="S110" i="115" s="1"/>
  <c r="T97" i="70"/>
  <c r="T97" i="115" s="1"/>
  <c r="U97" i="70"/>
  <c r="U97" i="115" s="1"/>
  <c r="T107" i="70"/>
  <c r="T107" i="115" s="1"/>
  <c r="U107" i="70"/>
  <c r="U107" i="115" s="1"/>
  <c r="W107" i="70"/>
  <c r="U105" i="70"/>
  <c r="U105" i="115" s="1"/>
  <c r="T105" i="70"/>
  <c r="T105" i="115" s="1"/>
  <c r="T111" i="70"/>
  <c r="T111" i="115" s="1"/>
  <c r="U111" i="70"/>
  <c r="U111" i="115" s="1"/>
  <c r="R104" i="70"/>
  <c r="S104" i="70" s="1"/>
  <c r="I57" i="70"/>
  <c r="M40" i="70"/>
  <c r="R111" i="115"/>
  <c r="S111" i="115" s="1"/>
  <c r="D112" i="115"/>
  <c r="R100" i="115" l="1"/>
  <c r="S100" i="115" s="1"/>
  <c r="R98" i="115"/>
  <c r="S98" i="115" s="1"/>
  <c r="W97" i="115"/>
  <c r="W111" i="115"/>
  <c r="W105" i="115"/>
  <c r="E165" i="70"/>
  <c r="H148" i="70"/>
  <c r="U100" i="70"/>
  <c r="U100" i="115" s="1"/>
  <c r="T100" i="70"/>
  <c r="T100" i="115" s="1"/>
  <c r="N40" i="70"/>
  <c r="M57" i="70"/>
  <c r="W105" i="70"/>
  <c r="W106" i="70"/>
  <c r="H112" i="70"/>
  <c r="I95" i="70"/>
  <c r="E148" i="115"/>
  <c r="E112" i="115"/>
  <c r="T15" i="58" s="1"/>
  <c r="T109" i="70"/>
  <c r="T109" i="115" s="1"/>
  <c r="U109" i="70"/>
  <c r="U109" i="115" s="1"/>
  <c r="W109" i="115" s="1"/>
  <c r="W109" i="70"/>
  <c r="W110" i="115"/>
  <c r="W110" i="70"/>
  <c r="H112" i="115"/>
  <c r="I95" i="115"/>
  <c r="F148" i="115"/>
  <c r="F165" i="115" s="1"/>
  <c r="F112" i="115"/>
  <c r="T98" i="70"/>
  <c r="T98" i="115" s="1"/>
  <c r="U98" i="70"/>
  <c r="U98" i="115" s="1"/>
  <c r="W101" i="115"/>
  <c r="U104" i="70"/>
  <c r="U104" i="115" s="1"/>
  <c r="T104" i="70"/>
  <c r="T104" i="115" s="1"/>
  <c r="W104" i="115" s="1"/>
  <c r="I57" i="115"/>
  <c r="K23" i="69" s="1"/>
  <c r="M40" i="115"/>
  <c r="U102" i="70"/>
  <c r="U102" i="115" s="1"/>
  <c r="T102" i="70"/>
  <c r="T102" i="115" s="1"/>
  <c r="W102" i="115" s="1"/>
  <c r="W107" i="115"/>
  <c r="W111" i="70"/>
  <c r="W97" i="70"/>
  <c r="L19" i="54"/>
  <c r="M15" i="54"/>
  <c r="K21" i="54"/>
  <c r="J17" i="58"/>
  <c r="L17" i="58" s="1"/>
  <c r="W101" i="70"/>
  <c r="W100" i="70" l="1"/>
  <c r="W98" i="115"/>
  <c r="W104" i="70"/>
  <c r="W100" i="115"/>
  <c r="K24" i="69"/>
  <c r="G66" i="61"/>
  <c r="N57" i="70"/>
  <c r="R40" i="70"/>
  <c r="J95" i="70"/>
  <c r="K95" i="70"/>
  <c r="I112" i="70"/>
  <c r="W102" i="70"/>
  <c r="E165" i="115"/>
  <c r="H148" i="115"/>
  <c r="W98" i="70"/>
  <c r="I148" i="70"/>
  <c r="H165" i="70"/>
  <c r="I112" i="115"/>
  <c r="K23" i="54"/>
  <c r="L21" i="54"/>
  <c r="M18" i="54"/>
  <c r="M19" i="54" s="1"/>
  <c r="N15" i="54" s="1"/>
  <c r="M57" i="115"/>
  <c r="N40" i="115"/>
  <c r="K112" i="70" l="1"/>
  <c r="K95" i="115"/>
  <c r="K112" i="115" s="1"/>
  <c r="M21" i="54"/>
  <c r="M23" i="54" s="1"/>
  <c r="M25" i="54" s="1"/>
  <c r="S17" i="58" s="1"/>
  <c r="R57" i="70"/>
  <c r="S40" i="70"/>
  <c r="N18" i="54"/>
  <c r="N19" i="54" s="1"/>
  <c r="O15" i="54" s="1"/>
  <c r="I165" i="70"/>
  <c r="M148" i="70"/>
  <c r="J95" i="115"/>
  <c r="J112" i="70"/>
  <c r="K25" i="54"/>
  <c r="O17" i="58" s="1"/>
  <c r="P17" i="58" s="1"/>
  <c r="Q17" i="58" s="1"/>
  <c r="N17" i="58" s="1"/>
  <c r="R17" i="58" s="1"/>
  <c r="L23" i="54"/>
  <c r="L25" i="54" s="1"/>
  <c r="M95" i="70"/>
  <c r="H165" i="115"/>
  <c r="I148" i="115"/>
  <c r="R40" i="115"/>
  <c r="N57" i="115"/>
  <c r="L23" i="69" s="1"/>
  <c r="N95" i="70" l="1"/>
  <c r="M112" i="70"/>
  <c r="W40" i="70"/>
  <c r="W57" i="70" s="1"/>
  <c r="S57" i="70"/>
  <c r="O18" i="54"/>
  <c r="O19" i="54" s="1"/>
  <c r="P15" i="54" s="1"/>
  <c r="H66" i="61"/>
  <c r="L24" i="69"/>
  <c r="N21" i="54"/>
  <c r="N23" i="54" s="1"/>
  <c r="N25" i="54" s="1"/>
  <c r="T17" i="58" s="1"/>
  <c r="S40" i="115"/>
  <c r="R57" i="115"/>
  <c r="J112" i="115"/>
  <c r="U15" i="58" s="1"/>
  <c r="M95" i="115"/>
  <c r="I165" i="115"/>
  <c r="M148" i="115"/>
  <c r="M165" i="70"/>
  <c r="N148" i="70"/>
  <c r="O21" i="54" l="1"/>
  <c r="O23" i="54" s="1"/>
  <c r="O25" i="54" s="1"/>
  <c r="U17" i="58" s="1"/>
  <c r="N148" i="115"/>
  <c r="M165" i="115"/>
  <c r="W40" i="115"/>
  <c r="W57" i="115" s="1"/>
  <c r="S57" i="115"/>
  <c r="M23" i="69" s="1"/>
  <c r="M112" i="115"/>
  <c r="N95" i="115"/>
  <c r="N165" i="70"/>
  <c r="R148" i="70"/>
  <c r="N112" i="70"/>
  <c r="O95" i="70"/>
  <c r="P95" i="70"/>
  <c r="M24" i="69" l="1"/>
  <c r="I66" i="61"/>
  <c r="P95" i="115"/>
  <c r="P112" i="115" s="1"/>
  <c r="P112" i="70"/>
  <c r="O95" i="115"/>
  <c r="O112" i="115" s="1"/>
  <c r="O112" i="70"/>
  <c r="N112" i="115"/>
  <c r="R95" i="115"/>
  <c r="S148" i="70"/>
  <c r="R165" i="70"/>
  <c r="N165" i="115"/>
  <c r="R148" i="115"/>
  <c r="R95" i="70"/>
  <c r="R112" i="115" l="1"/>
  <c r="S95" i="115"/>
  <c r="R112" i="70"/>
  <c r="S95" i="70"/>
  <c r="R165" i="115"/>
  <c r="S148" i="115"/>
  <c r="V15" i="58"/>
  <c r="P18" i="54"/>
  <c r="P19" i="54" s="1"/>
  <c r="W148" i="70"/>
  <c r="W165" i="70" s="1"/>
  <c r="S165" i="70"/>
  <c r="W148" i="115" l="1"/>
  <c r="W165" i="115" s="1"/>
  <c r="S165" i="115"/>
  <c r="S112" i="70"/>
  <c r="U95" i="70"/>
  <c r="T95" i="70"/>
  <c r="S112" i="115"/>
  <c r="Q15" i="54"/>
  <c r="P21" i="54"/>
  <c r="P23" i="54" s="1"/>
  <c r="P25" i="54" s="1"/>
  <c r="V17" i="58" s="1"/>
  <c r="U112" i="70" l="1"/>
  <c r="U95" i="115"/>
  <c r="U112" i="115" s="1"/>
  <c r="W95" i="70"/>
  <c r="W112" i="70" s="1"/>
  <c r="T112" i="70"/>
  <c r="T95" i="115"/>
  <c r="T112" i="115" l="1"/>
  <c r="W95" i="115"/>
  <c r="W112" i="115" s="1"/>
  <c r="W15" i="58" l="1"/>
  <c r="Q18" i="54"/>
  <c r="Q19" i="54" s="1"/>
  <c r="Q21" i="54" s="1"/>
  <c r="Q23" i="54" s="1"/>
  <c r="Q25" i="54" l="1"/>
  <c r="W17" i="58" s="1"/>
  <c r="H13" i="55" l="1"/>
  <c r="F40" i="55"/>
  <c r="H14" i="55"/>
  <c r="H19" i="55"/>
  <c r="F16" i="58" l="1"/>
  <c r="E14" i="78"/>
  <c r="I19" i="55"/>
  <c r="H21" i="55"/>
  <c r="I14" i="55"/>
  <c r="K10" i="55"/>
  <c r="I13" i="55"/>
  <c r="F41" i="55"/>
  <c r="F42" i="55" s="1"/>
  <c r="H20" i="55"/>
  <c r="I20" i="55" s="1"/>
  <c r="L10" i="55" l="1"/>
  <c r="K13" i="55"/>
  <c r="K19" i="55"/>
  <c r="K14" i="55"/>
  <c r="I21" i="55"/>
  <c r="K24" i="58"/>
  <c r="L14" i="78"/>
  <c r="F14" i="78"/>
  <c r="H16" i="58"/>
  <c r="D14" i="78"/>
  <c r="J24" i="58" l="1"/>
  <c r="L24" i="58" s="1"/>
  <c r="G14" i="78"/>
  <c r="D54" i="55"/>
  <c r="L14" i="55"/>
  <c r="L19" i="55"/>
  <c r="F25" i="58"/>
  <c r="D21" i="78" s="1"/>
  <c r="E21" i="78"/>
  <c r="L13" i="55"/>
  <c r="K20" i="55"/>
  <c r="L20" i="55" s="1"/>
  <c r="D63" i="55" l="1"/>
  <c r="D65" i="55" s="1"/>
  <c r="S24" i="58" s="1"/>
  <c r="D57" i="55"/>
  <c r="D58" i="55" s="1"/>
  <c r="E54" i="55" s="1"/>
  <c r="G21" i="78"/>
  <c r="L21" i="78"/>
  <c r="F21" i="78"/>
  <c r="K21" i="55"/>
  <c r="O24" i="58" l="1"/>
  <c r="P24" i="58" s="1"/>
  <c r="Q24" i="58" s="1"/>
  <c r="N24" i="58" s="1"/>
  <c r="R24" i="58" s="1"/>
  <c r="L21" i="55"/>
  <c r="E63" i="55"/>
  <c r="E65" i="55" s="1"/>
  <c r="T24" i="58" s="1"/>
  <c r="E57" i="55"/>
  <c r="E58" i="55" s="1"/>
  <c r="F54" i="55" s="1"/>
  <c r="F57" i="55" l="1"/>
  <c r="F58" i="55" s="1"/>
  <c r="G54" i="55" s="1"/>
  <c r="F63" i="55"/>
  <c r="F65" i="55" s="1"/>
  <c r="U24" i="58" s="1"/>
  <c r="G63" i="55" l="1"/>
  <c r="G65" i="55" s="1"/>
  <c r="V24" i="58" s="1"/>
  <c r="G57" i="55"/>
  <c r="G58" i="55" s="1"/>
  <c r="H54" i="55" s="1"/>
  <c r="H63" i="55" l="1"/>
  <c r="H65" i="55" s="1"/>
  <c r="W24" i="58" s="1"/>
  <c r="H57" i="55"/>
  <c r="H58" i="55" s="1"/>
  <c r="F18" i="58" l="1"/>
  <c r="E15" i="78"/>
  <c r="L15" i="78" l="1"/>
  <c r="D15" i="78"/>
  <c r="G15" i="78" s="1"/>
  <c r="F15" i="78" l="1"/>
  <c r="J16" i="58" l="1"/>
  <c r="L16" i="58"/>
  <c r="E43" i="78"/>
  <c r="L43" i="78" l="1"/>
  <c r="D43" i="78"/>
  <c r="G43" i="78" l="1"/>
  <c r="J25" i="58"/>
  <c r="D50" i="78" s="1"/>
  <c r="E50" i="78"/>
  <c r="F43" i="78"/>
  <c r="F50" i="78" l="1"/>
  <c r="L50" i="78"/>
  <c r="G50" i="78"/>
  <c r="J18" i="58" l="1"/>
  <c r="E44" i="78"/>
  <c r="L44" i="78" l="1"/>
  <c r="D44" i="78"/>
  <c r="G44" i="78" s="1"/>
  <c r="F44" i="78" l="1"/>
  <c r="O16" i="58" l="1"/>
  <c r="N16" i="58"/>
  <c r="R16" i="58"/>
  <c r="P16" i="58" l="1"/>
  <c r="N25" i="58" l="1"/>
  <c r="N18" i="58" l="1"/>
  <c r="J30" i="72" l="1"/>
  <c r="C31" i="72"/>
  <c r="J31" i="72" l="1"/>
  <c r="N30" i="72"/>
  <c r="N31" i="72" s="1"/>
  <c r="G19" i="58" l="1"/>
  <c r="K19" i="58"/>
  <c r="K23" i="58" l="1"/>
  <c r="K27" i="58" s="1"/>
  <c r="H9" i="80"/>
  <c r="E45" i="78"/>
  <c r="E9" i="80"/>
  <c r="G23" i="58"/>
  <c r="G27" i="58" s="1"/>
  <c r="E16" i="78"/>
  <c r="E20" i="78" l="1"/>
  <c r="F28" i="61"/>
  <c r="F30" i="61" s="1"/>
  <c r="F34" i="61" s="1"/>
  <c r="F19" i="58" s="1"/>
  <c r="E49" i="78"/>
  <c r="H28" i="61"/>
  <c r="H30" i="61" s="1"/>
  <c r="H34" i="61" s="1"/>
  <c r="J19" i="58" s="1"/>
  <c r="E52" i="78" l="1"/>
  <c r="E5" i="100"/>
  <c r="E7" i="100" s="1"/>
  <c r="J23" i="58"/>
  <c r="J27" i="58" s="1"/>
  <c r="G9" i="80"/>
  <c r="D45" i="78"/>
  <c r="L19" i="58"/>
  <c r="L23" i="58" s="1"/>
  <c r="L27" i="58" s="1"/>
  <c r="E23" i="78"/>
  <c r="D5" i="100"/>
  <c r="D7" i="100" s="1"/>
  <c r="D9" i="80"/>
  <c r="F23" i="58"/>
  <c r="F27" i="58" s="1"/>
  <c r="D16" i="78"/>
  <c r="H19" i="58"/>
  <c r="H23" i="58" s="1"/>
  <c r="H27" i="58" s="1"/>
  <c r="D49" i="78" l="1"/>
  <c r="F45" i="78"/>
  <c r="F49" i="78" s="1"/>
  <c r="F52" i="78" s="1"/>
  <c r="G45" i="78"/>
  <c r="H45" i="78" s="1"/>
  <c r="L45" i="78" s="1"/>
  <c r="L49" i="78" s="1"/>
  <c r="L52" i="78" s="1"/>
  <c r="D20" i="78"/>
  <c r="F16" i="78"/>
  <c r="G16" i="78"/>
  <c r="H16" i="78" s="1"/>
  <c r="L16" i="78" s="1"/>
  <c r="L20" i="78" s="1"/>
  <c r="L23" i="78" s="1"/>
  <c r="D22" i="100"/>
  <c r="D28" i="100" s="1"/>
  <c r="D34" i="100" s="1"/>
  <c r="D19" i="100"/>
  <c r="D20" i="100"/>
  <c r="D26" i="100" s="1"/>
  <c r="D32" i="100" s="1"/>
  <c r="D21" i="100"/>
  <c r="E19" i="100"/>
  <c r="E22" i="100"/>
  <c r="E28" i="100" s="1"/>
  <c r="E34" i="100" s="1"/>
  <c r="E20" i="100"/>
  <c r="E26" i="100" s="1"/>
  <c r="E32" i="100" s="1"/>
  <c r="E21" i="100"/>
  <c r="E25" i="100" l="1"/>
  <c r="D25" i="100"/>
  <c r="E27" i="100"/>
  <c r="E39" i="100" s="1"/>
  <c r="E46" i="100" s="1"/>
  <c r="D52" i="78"/>
  <c r="G52" i="78" s="1"/>
  <c r="G49" i="78"/>
  <c r="D23" i="78"/>
  <c r="F20" i="78"/>
  <c r="G20" i="78"/>
  <c r="D27" i="100"/>
  <c r="D39" i="100" s="1"/>
  <c r="D46" i="100" s="1"/>
  <c r="D37" i="100" l="1"/>
  <c r="D44" i="100" s="1"/>
  <c r="D48" i="100" s="1"/>
  <c r="D8" i="100" s="1"/>
  <c r="E37" i="100"/>
  <c r="E44" i="100" s="1"/>
  <c r="E48" i="100" s="1"/>
  <c r="E8" i="100" s="1"/>
  <c r="F23" i="78"/>
  <c r="G23" i="78"/>
  <c r="E53" i="78" l="1"/>
  <c r="L53" i="78" s="1"/>
  <c r="L54" i="78" s="1"/>
  <c r="L60" i="78" s="1"/>
  <c r="E9" i="100"/>
  <c r="E10" i="100" s="1"/>
  <c r="E24" i="78"/>
  <c r="L24" i="78" s="1"/>
  <c r="L25" i="78" s="1"/>
  <c r="L31" i="78" s="1"/>
  <c r="M32" i="78" s="1"/>
  <c r="D9" i="100"/>
  <c r="D10" i="100" s="1"/>
  <c r="F5" i="100"/>
  <c r="F7" i="100"/>
  <c r="F8" i="100"/>
  <c r="F9" i="100"/>
  <c r="F10" i="100"/>
  <c r="F19" i="100"/>
  <c r="F20" i="100"/>
  <c r="F21" i="100"/>
  <c r="F22" i="100"/>
  <c r="F25" i="100"/>
  <c r="F26" i="100"/>
  <c r="F27" i="100"/>
  <c r="F28" i="100"/>
  <c r="F32" i="100"/>
  <c r="F34" i="100"/>
  <c r="F37" i="100"/>
  <c r="F39" i="100"/>
  <c r="F44" i="100"/>
  <c r="F46"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 ref="D39" authorId="0" shapeId="0" xr:uid="{00000000-0006-0000-0F00-000005000000}">
      <text>
        <r>
          <rPr>
            <b/>
            <sz val="9"/>
            <color indexed="81"/>
            <rFont val="Tahoma"/>
            <family val="2"/>
          </rPr>
          <t>MercadosEMI:</t>
        </r>
        <r>
          <rPr>
            <sz val="9"/>
            <color indexed="81"/>
            <rFont val="Tahoma"/>
            <family val="2"/>
          </rPr>
          <t xml:space="preserve">
Fees</t>
        </r>
      </text>
    </comment>
    <comment ref="E39" authorId="0" shapeId="0" xr:uid="{00000000-0006-0000-0F00-000006000000}">
      <text>
        <r>
          <rPr>
            <b/>
            <sz val="9"/>
            <color indexed="81"/>
            <rFont val="Tahoma"/>
            <family val="2"/>
          </rPr>
          <t>MercadosEMI:</t>
        </r>
        <r>
          <rPr>
            <sz val="9"/>
            <color indexed="81"/>
            <rFont val="Tahoma"/>
            <family val="2"/>
          </rPr>
          <t xml:space="preserve">
Fees</t>
        </r>
      </text>
    </comment>
    <comment ref="F39" authorId="0" shapeId="0" xr:uid="{00000000-0006-0000-0F00-000007000000}">
      <text>
        <r>
          <rPr>
            <b/>
            <sz val="9"/>
            <color indexed="81"/>
            <rFont val="Tahoma"/>
            <family val="2"/>
          </rPr>
          <t>MercadosEMI:</t>
        </r>
        <r>
          <rPr>
            <sz val="9"/>
            <color indexed="81"/>
            <rFont val="Tahoma"/>
            <family val="2"/>
          </rPr>
          <t xml:space="preserve">
Fees</t>
        </r>
      </text>
    </comment>
    <comment ref="G39" authorId="0" shapeId="0" xr:uid="{00000000-0006-0000-0F00-000008000000}">
      <text>
        <r>
          <rPr>
            <b/>
            <sz val="9"/>
            <color indexed="81"/>
            <rFont val="Tahoma"/>
            <family val="2"/>
          </rPr>
          <t>MercadosEMI:</t>
        </r>
        <r>
          <rPr>
            <sz val="9"/>
            <color indexed="81"/>
            <rFont val="Tahoma"/>
            <family val="2"/>
          </rPr>
          <t xml:space="preserve">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19" authorId="0" shapeId="0" xr:uid="{00000000-0006-0000-1000-000001000000}">
      <text>
        <r>
          <rPr>
            <b/>
            <sz val="9"/>
            <color indexed="81"/>
            <rFont val="Tahoma"/>
            <family val="2"/>
          </rPr>
          <t>MercadosEMI:</t>
        </r>
        <r>
          <rPr>
            <sz val="9"/>
            <color indexed="81"/>
            <rFont val="Tahoma"/>
            <family val="2"/>
          </rPr>
          <t xml:space="preserv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RCD-SSP</author>
    <author>SUSHANT</author>
  </authors>
  <commentList>
    <comment ref="M4" authorId="0" shapeId="0" xr:uid="{18E51ECB-02D9-4EBA-AAA2-E8214EDEDF88}">
      <text>
        <r>
          <rPr>
            <b/>
            <sz val="9"/>
            <color indexed="81"/>
            <rFont val="Tahoma"/>
            <family val="2"/>
          </rPr>
          <t xml:space="preserve">SSP-RCD
</t>
        </r>
        <r>
          <rPr>
            <sz val="9"/>
            <color indexed="81"/>
            <rFont val="Tahoma"/>
            <family val="2"/>
          </rPr>
          <t>As per the implementation plan submitted in the DPR/ Approved by MERC</t>
        </r>
      </text>
    </comment>
    <comment ref="G11" authorId="1" shapeId="0" xr:uid="{458B47C7-FA05-4B68-965A-BAEB0BBD30BD}">
      <text>
        <r>
          <rPr>
            <b/>
            <sz val="9"/>
            <color indexed="81"/>
            <rFont val="Tahoma"/>
            <family val="2"/>
          </rPr>
          <t>RCD-SSP:</t>
        </r>
        <r>
          <rPr>
            <sz val="9"/>
            <color indexed="81"/>
            <rFont val="Tahoma"/>
            <family val="2"/>
          </rPr>
          <t xml:space="preserve">
15% Discount</t>
        </r>
      </text>
    </comment>
    <comment ref="G23" authorId="2" shapeId="0" xr:uid="{7D829ACC-8A48-4AA1-9B09-5202CE7E7A72}">
      <text>
        <r>
          <rPr>
            <b/>
            <sz val="9"/>
            <color indexed="81"/>
            <rFont val="Tahoma"/>
            <family val="2"/>
          </rPr>
          <t>SUSHANT:</t>
        </r>
        <r>
          <rPr>
            <sz val="9"/>
            <color indexed="81"/>
            <rFont val="Tahoma"/>
            <family val="2"/>
          </rPr>
          <t xml:space="preserve">
Scheme No. 3: Cost related to KPKD 5 is deducted here &amp; added in KPKD 5</t>
        </r>
      </text>
    </comment>
    <comment ref="H23" authorId="2" shapeId="0" xr:uid="{7B637C1C-F5C7-4F75-AAAA-90274221217E}">
      <text>
        <r>
          <rPr>
            <b/>
            <sz val="9"/>
            <color indexed="81"/>
            <rFont val="Tahoma"/>
            <family val="2"/>
          </rPr>
          <t>SSP-RCD:</t>
        </r>
        <r>
          <rPr>
            <sz val="9"/>
            <color indexed="81"/>
            <rFont val="Tahoma"/>
            <family val="2"/>
          </rPr>
          <t xml:space="preserve">
Scheme No. 3: Cost related to KPKD 5 is deducted here &amp; added in KPKD 5</t>
        </r>
      </text>
    </comment>
    <comment ref="G26" authorId="2" shapeId="0" xr:uid="{0703564D-4B65-4C56-B386-48C47DF07D59}">
      <text>
        <r>
          <rPr>
            <b/>
            <sz val="9"/>
            <color indexed="81"/>
            <rFont val="Tahoma"/>
            <family val="2"/>
          </rPr>
          <t>SUSHANT:</t>
        </r>
        <r>
          <rPr>
            <sz val="9"/>
            <color indexed="81"/>
            <rFont val="Tahoma"/>
            <family val="2"/>
          </rPr>
          <t xml:space="preserve">
Cost related to KPKD 5 is deducted here &amp; added in KPKD 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Anil Patkare</author>
    <author>MercadosEMI</author>
  </authors>
  <commentList>
    <comment ref="H17" authorId="0" shapeId="0" xr:uid="{FEEDB315-B6AD-423E-95E0-8E6B650E5291}">
      <text>
        <r>
          <rPr>
            <b/>
            <sz val="9"/>
            <color indexed="81"/>
            <rFont val="Tahoma"/>
            <family val="2"/>
          </rPr>
          <t>HP:</t>
        </r>
        <r>
          <rPr>
            <sz val="9"/>
            <color indexed="81"/>
            <rFont val="Tahoma"/>
            <family val="2"/>
          </rPr>
          <t xml:space="preserve">
Impact of UDL discharged for which Commission has approved capitalisation in Case No. 201 of 2014 but financing was allowed to be claimed on discharge of UDL…hence amt is not added in GFA and only added in Equity and loan</t>
        </r>
      </text>
    </comment>
    <comment ref="D25" authorId="1" shapeId="0" xr:uid="{00000000-0006-0000-18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 ref="E289" authorId="2" shapeId="0" xr:uid="{00000000-0006-0000-1800-000002000000}">
      <text>
        <r>
          <rPr>
            <b/>
            <sz val="9"/>
            <color indexed="81"/>
            <rFont val="Tahoma"/>
            <family val="2"/>
          </rPr>
          <t>MercadosEMI:</t>
        </r>
        <r>
          <rPr>
            <sz val="9"/>
            <color indexed="81"/>
            <rFont val="Tahoma"/>
            <family val="2"/>
          </rPr>
          <t xml:space="preserve">
Formuka was missing
</t>
        </r>
      </text>
    </comment>
    <comment ref="E299" authorId="2" shapeId="0" xr:uid="{00000000-0006-0000-1800-000003000000}">
      <text>
        <r>
          <rPr>
            <b/>
            <sz val="9"/>
            <color indexed="81"/>
            <rFont val="Tahoma"/>
            <family val="2"/>
          </rPr>
          <t>MercadosEMI:</t>
        </r>
        <r>
          <rPr>
            <sz val="9"/>
            <color indexed="81"/>
            <rFont val="Tahoma"/>
            <family val="2"/>
          </rPr>
          <t xml:space="preserve">
Formuka was missing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MercadosEMI</author>
  </authors>
  <commentList>
    <comment ref="H12" authorId="0" shapeId="0" xr:uid="{F2637D58-B8E9-4D73-9945-8A2D0BB9BE8C}">
      <text>
        <r>
          <rPr>
            <b/>
            <sz val="9"/>
            <color indexed="81"/>
            <rFont val="Tahoma"/>
            <family val="2"/>
          </rPr>
          <t>HP:</t>
        </r>
        <r>
          <rPr>
            <sz val="9"/>
            <color indexed="81"/>
            <rFont val="Tahoma"/>
            <family val="2"/>
          </rPr>
          <t xml:space="preserve">
Impact of UDL discharged for which Commission has approved capitalisation in Case No. 201 of 2014 but financing was allowed to be claimed on discharge of UDL…hence amt is not added in GFA and only added in Equity and loan</t>
        </r>
      </text>
    </comment>
    <comment ref="E14" authorId="1" shapeId="0" xr:uid="{00000000-0006-0000-1900-000001000000}">
      <text>
        <r>
          <rPr>
            <b/>
            <sz val="9"/>
            <color indexed="81"/>
            <rFont val="Tahoma"/>
            <family val="2"/>
          </rPr>
          <t>MercadosEMI:</t>
        </r>
        <r>
          <rPr>
            <sz val="9"/>
            <color indexed="81"/>
            <rFont val="Tahoma"/>
            <family val="2"/>
          </rPr>
          <t xml:space="preserve">
 value diff from true up sheet
</t>
        </r>
      </text>
    </comment>
  </commentList>
</comments>
</file>

<file path=xl/sharedStrings.xml><?xml version="1.0" encoding="utf-8"?>
<sst xmlns="http://schemas.openxmlformats.org/spreadsheetml/2006/main" count="8256" uniqueCount="1923">
  <si>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</si>
  <si>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</si>
  <si>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</si>
  <si>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</si>
  <si>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</si>
  <si>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</si>
  <si>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</si>
  <si>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</si>
  <si>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</si>
  <si>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</si>
  <si>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</si>
  <si>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</si>
  <si>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</si>
  <si>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</si>
  <si>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</si>
  <si>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</si>
  <si>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</si>
  <si>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</si>
  <si>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</si>
  <si>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</si>
  <si>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</si>
  <si>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</si>
  <si>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</si>
  <si>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</si>
  <si>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</si>
  <si>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</si>
  <si>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</si>
  <si>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</si>
  <si>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</si>
  <si>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</si>
  <si>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</si>
  <si>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</si>
  <si>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</si>
  <si>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</si>
  <si>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</si>
  <si>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</si>
  <si>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</si>
  <si>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</si>
  <si>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</si>
  <si>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</si>
  <si>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</si>
  <si>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</si>
  <si>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</si>
  <si>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</si>
  <si>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</si>
  <si>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</si>
  <si>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</si>
  <si>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</si>
  <si>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</si>
  <si>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</si>
  <si>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</si>
  <si>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</si>
  <si>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</si>
  <si>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</si>
  <si>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</si>
  <si>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</si>
  <si>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</si>
  <si>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</si>
  <si>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</si>
  <si>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</si>
  <si>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</si>
  <si>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</si>
  <si>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</si>
  <si>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</si>
  <si>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</si>
  <si>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</si>
  <si>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</si>
  <si>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</si>
  <si>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</si>
  <si>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</si>
  <si>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</si>
  <si>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</si>
  <si>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</si>
  <si>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</si>
  <si>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</si>
  <si>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</si>
  <si>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</si>
  <si>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</si>
  <si>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</si>
  <si>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</si>
  <si>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</si>
  <si>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</si>
  <si>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</si>
  <si>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</si>
  <si>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</si>
  <si>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</si>
  <si>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</si>
  <si>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</si>
  <si>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</si>
  <si>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</si>
  <si>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</si>
  <si>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</si>
  <si>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</si>
  <si>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</si>
  <si>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</si>
  <si>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</si>
  <si>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</si>
  <si>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</si>
  <si>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</si>
  <si>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</si>
  <si>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</si>
  <si>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</si>
  <si>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</si>
  <si>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</si>
  <si>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</si>
  <si>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</si>
  <si>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</si>
  <si>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</si>
  <si>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</si>
  <si>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</si>
  <si>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</si>
  <si>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</si>
  <si>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</si>
  <si>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</si>
  <si>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</si>
  <si>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</si>
  <si>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</si>
  <si>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</si>
  <si>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</si>
  <si>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</si>
  <si>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</si>
  <si>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</si>
  <si>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</si>
  <si>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3.1.2</t>
  </si>
  <si>
    <t>3.1.3</t>
  </si>
  <si>
    <t>Total Fuel Consumption</t>
  </si>
  <si>
    <t>3.2.1</t>
  </si>
  <si>
    <t>3.2.2</t>
  </si>
  <si>
    <t>3.2.3</t>
  </si>
  <si>
    <t>Heat Content (each fuel separately)</t>
  </si>
  <si>
    <t>3.3.1</t>
  </si>
  <si>
    <t>Million kcal</t>
  </si>
  <si>
    <t>3.3.2</t>
  </si>
  <si>
    <t>3.3.3</t>
  </si>
  <si>
    <t>Total Fuel Cost</t>
  </si>
  <si>
    <t>Rs Crore</t>
  </si>
  <si>
    <t>Other Charges and Adjustments</t>
  </si>
  <si>
    <t>Total Other Charges and Adjustments</t>
  </si>
  <si>
    <t>Rs/kWh</t>
  </si>
  <si>
    <t>Unit</t>
  </si>
  <si>
    <t>Basic Cost</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</si>
  <si>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</si>
  <si>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</si>
  <si>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</si>
  <si>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</si>
  <si>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</si>
  <si>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</si>
  <si>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</si>
  <si>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</si>
  <si>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</si>
  <si>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</si>
  <si>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</si>
  <si>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</si>
  <si>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</si>
  <si>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</si>
  <si>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</si>
  <si>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</si>
  <si>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</si>
  <si>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</si>
  <si>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</si>
  <si>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</si>
  <si>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</si>
  <si>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</si>
  <si>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</si>
  <si>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</si>
  <si>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</si>
  <si>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</si>
  <si>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</si>
  <si>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</si>
  <si>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</si>
  <si>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</si>
  <si>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</si>
  <si>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</si>
  <si>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</si>
  <si>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</si>
  <si>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</si>
  <si>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</si>
  <si>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</si>
  <si>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</si>
  <si>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</si>
  <si>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</si>
  <si>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</si>
  <si>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</si>
  <si>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</si>
  <si>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</si>
  <si>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</si>
  <si>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</si>
  <si>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</si>
  <si>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</si>
  <si>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</si>
  <si>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</si>
  <si>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</si>
  <si>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</si>
  <si>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</si>
  <si>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</si>
  <si>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</si>
  <si>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</si>
  <si>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</si>
  <si>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</si>
  <si>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</si>
  <si>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</si>
  <si>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</si>
  <si>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</si>
  <si>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</si>
  <si>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</si>
  <si>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</si>
  <si>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</si>
  <si>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</si>
  <si>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</si>
  <si>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</si>
  <si>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</si>
  <si>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</si>
  <si>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</si>
  <si>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</si>
  <si>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</si>
  <si>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</si>
  <si>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</si>
  <si>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</si>
  <si>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</si>
  <si>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</si>
  <si>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</si>
  <si>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</si>
  <si>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</si>
  <si>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</si>
  <si>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</si>
  <si>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</si>
  <si>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</si>
  <si>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</si>
  <si>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</si>
  <si>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</si>
  <si>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</si>
  <si>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</si>
  <si>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</si>
  <si>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</si>
  <si>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</si>
  <si>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</si>
  <si>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</si>
  <si>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</si>
  <si>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</si>
  <si>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</si>
  <si>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</si>
  <si>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</si>
  <si>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</si>
  <si>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</si>
  <si>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</si>
  <si>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</si>
  <si>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</si>
  <si>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</si>
  <si>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</si>
  <si>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</si>
  <si>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</si>
  <si>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</si>
  <si>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</si>
  <si>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</si>
  <si>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</si>
  <si>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</si>
  <si>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</si>
  <si>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</si>
  <si>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</si>
  <si>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</si>
  <si>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</si>
  <si>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</si>
  <si>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</si>
  <si>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</si>
  <si>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</si>
  <si>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</si>
  <si>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</si>
  <si>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</si>
  <si>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</si>
  <si>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</si>
  <si>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</si>
  <si>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</si>
  <si>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</si>
  <si>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</si>
  <si>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</si>
  <si>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</si>
  <si>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</si>
  <si>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</si>
  <si>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</si>
  <si>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</si>
  <si>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</si>
  <si>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</si>
  <si>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</si>
  <si>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</si>
  <si>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</si>
  <si>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</si>
  <si>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</si>
  <si>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</si>
  <si>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</si>
  <si>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</si>
  <si>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</si>
  <si>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</si>
  <si>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</si>
  <si>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</si>
  <si>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</si>
  <si>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</si>
  <si>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</si>
  <si>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</si>
  <si>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</si>
  <si>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</si>
  <si>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</si>
  <si>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</si>
  <si>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</si>
  <si>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</si>
  <si>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</si>
  <si>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</si>
  <si>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</si>
  <si>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</si>
  <si>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</si>
  <si>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</si>
  <si>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</si>
  <si>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</si>
  <si>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</si>
  <si>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</si>
  <si>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</si>
  <si>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</si>
  <si>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</si>
  <si>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</si>
  <si>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</si>
  <si>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</si>
  <si>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</si>
  <si>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</si>
  <si>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</si>
  <si>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</si>
  <si>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</si>
  <si>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</si>
  <si>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</si>
  <si>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</si>
  <si>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</si>
  <si>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</si>
  <si>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</si>
  <si>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</si>
  <si>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</si>
  <si>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</si>
  <si>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</si>
  <si>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</si>
  <si>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</si>
  <si>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</si>
  <si>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</si>
  <si>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</si>
  <si>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</si>
  <si>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</si>
  <si>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</si>
  <si>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</si>
  <si>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</si>
  <si>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</si>
  <si>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</si>
  <si>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</si>
  <si>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</si>
  <si>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</si>
  <si>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</si>
  <si>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</si>
  <si>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</si>
  <si>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</si>
  <si>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</si>
  <si>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</si>
  <si>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</si>
  <si>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</si>
  <si>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</si>
  <si>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</si>
  <si>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</si>
  <si>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</si>
  <si>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</si>
  <si>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</si>
  <si>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</si>
  <si>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</si>
  <si>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</si>
  <si>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</si>
  <si>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</si>
  <si>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</si>
  <si>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</si>
  <si>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</si>
  <si>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</si>
  <si>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</si>
  <si>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</si>
  <si>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</si>
  <si>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</si>
  <si>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</si>
  <si>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</si>
  <si>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</si>
  <si>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</si>
  <si>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</si>
  <si>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</si>
  <si>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</si>
  <si>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</si>
  <si>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</si>
  <si>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</si>
  <si>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</si>
  <si>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</si>
  <si>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</si>
  <si>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</si>
  <si>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</si>
  <si>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</si>
  <si>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</si>
  <si>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(f)=(d)+(e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</si>
  <si>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</si>
  <si>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</si>
  <si>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</si>
  <si>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</si>
  <si>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</si>
  <si>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</si>
  <si>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</si>
  <si>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</si>
  <si>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</si>
  <si>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</si>
  <si>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</si>
  <si>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</si>
  <si>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</si>
  <si>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</si>
  <si>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</si>
  <si>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</si>
  <si>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</si>
  <si>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</si>
  <si>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</si>
  <si>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</si>
  <si>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</si>
  <si>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</si>
  <si>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</si>
  <si>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</si>
  <si>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</si>
  <si>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</si>
  <si>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</si>
  <si>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</si>
  <si>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</si>
  <si>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</si>
  <si>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</si>
  <si>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</si>
  <si>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</si>
  <si>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</si>
  <si>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</si>
  <si>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</si>
  <si>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</si>
  <si>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</si>
  <si>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</si>
  <si>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</si>
  <si>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</si>
  <si>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</si>
  <si>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</si>
  <si>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</si>
  <si>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</si>
  <si>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</si>
  <si>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</si>
  <si>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</si>
  <si>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</si>
  <si>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</si>
  <si>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</si>
  <si>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</si>
  <si>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</si>
  <si>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</si>
  <si>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Oct-Mar          (Estimated)</t>
  </si>
  <si>
    <t>Actual stacking loss</t>
  </si>
  <si>
    <t>MYT Order</t>
  </si>
  <si>
    <t>True-Up requirement</t>
  </si>
  <si>
    <t>Provisional True-Up requirement</t>
  </si>
  <si>
    <t>Target Availability (%)</t>
  </si>
  <si>
    <t>Petitioner should submit documentary evidence for actual interest on working capital incurred</t>
  </si>
  <si>
    <t>Legend</t>
  </si>
  <si>
    <t>(f) = (e) - (d)</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</si>
  <si>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</si>
  <si>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</si>
  <si>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</si>
  <si>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</si>
  <si>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</si>
  <si>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</si>
  <si>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</si>
  <si>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</si>
  <si>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</si>
  <si>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</si>
  <si>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</si>
  <si>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</si>
  <si>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</si>
  <si>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</si>
  <si>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</si>
  <si>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</si>
  <si>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</si>
  <si>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</si>
  <si>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</si>
  <si>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</si>
  <si>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</si>
  <si>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</si>
  <si>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</si>
  <si>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</si>
  <si>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</si>
  <si>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</si>
  <si>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</si>
  <si>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</si>
  <si>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</si>
  <si>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</si>
  <si>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</si>
  <si>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</si>
  <si>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</si>
  <si>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</si>
  <si>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</si>
  <si>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</si>
  <si>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</si>
  <si>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</si>
  <si>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</si>
  <si>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</si>
  <si>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</si>
  <si>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</si>
  <si>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</si>
  <si>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</si>
  <si>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</si>
  <si>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</si>
  <si>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 xml:space="preserve">(i) </t>
  </si>
  <si>
    <t>(j) = (h) + (i)</t>
  </si>
  <si>
    <t>(k) = (j) - (g)</t>
  </si>
  <si>
    <t>FY 2020-21</t>
  </si>
  <si>
    <t>FY 2021-22</t>
  </si>
  <si>
    <t>FY 2022-23</t>
  </si>
  <si>
    <t>FY 2023-24</t>
  </si>
  <si>
    <t>FY 2024-25</t>
  </si>
  <si>
    <t>(f)</t>
  </si>
  <si>
    <t>(i) = (h) - (g)</t>
  </si>
  <si>
    <t>Type of Thermal Generating Station (Pithead/Non-Pithead)</t>
  </si>
  <si>
    <t>2022-23</t>
  </si>
  <si>
    <t>2023-24</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</si>
  <si>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</si>
  <si>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</si>
  <si>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</si>
  <si>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</si>
  <si>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</si>
  <si>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</si>
  <si>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</si>
  <si>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</si>
  <si>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</si>
  <si>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</si>
  <si>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</si>
  <si>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</si>
  <si>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</si>
  <si>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</si>
  <si>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</si>
  <si>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</si>
  <si>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</si>
  <si>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</si>
  <si>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</si>
  <si>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</si>
  <si>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</si>
  <si>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</si>
  <si>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</si>
  <si>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</si>
  <si>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</si>
  <si>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</si>
  <si>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</si>
  <si>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</si>
  <si>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</si>
  <si>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</si>
  <si>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</si>
  <si>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</si>
  <si>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</si>
  <si>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</si>
  <si>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</si>
  <si>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</si>
  <si>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</si>
  <si>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Grant Funding</t>
  </si>
  <si>
    <t>Asset not in use</t>
  </si>
  <si>
    <t>(e) = (a)+(b)-(c)-(d)</t>
  </si>
  <si>
    <t>(i)</t>
  </si>
  <si>
    <t>(k)</t>
  </si>
  <si>
    <t>(l)</t>
  </si>
  <si>
    <t>(m)</t>
  </si>
  <si>
    <t>(n)</t>
  </si>
  <si>
    <t>(p)</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</si>
  <si>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</si>
  <si>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</si>
  <si>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</si>
  <si>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</si>
  <si>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</si>
  <si>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</si>
  <si>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</si>
  <si>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</si>
  <si>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</si>
  <si>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</si>
  <si>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</si>
  <si>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</si>
  <si>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</si>
  <si>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</si>
  <si>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</si>
  <si>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</si>
  <si>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</si>
  <si>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</si>
  <si>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</si>
  <si>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</si>
  <si>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</si>
  <si>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</si>
  <si>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</si>
  <si>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</si>
  <si>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</si>
  <si>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</si>
  <si>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</si>
  <si>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</si>
  <si>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</si>
  <si>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</si>
  <si>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</si>
  <si>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</si>
  <si>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</si>
  <si>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</si>
  <si>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</si>
  <si>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</si>
  <si>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</si>
  <si>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</si>
  <si>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</si>
  <si>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</si>
  <si>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</si>
  <si>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</si>
  <si>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</si>
  <si>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</si>
  <si>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</si>
  <si>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</si>
  <si>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</si>
  <si>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</si>
  <si>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</si>
  <si>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</si>
  <si>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</si>
  <si>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</si>
  <si>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</si>
  <si>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</si>
  <si>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</si>
  <si>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</si>
  <si>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</si>
  <si>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</si>
  <si>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</si>
  <si>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</si>
  <si>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(o)</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</si>
  <si>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</si>
  <si>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</si>
  <si>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</si>
  <si>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</si>
  <si>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</si>
  <si>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</si>
  <si>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</si>
  <si>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</si>
  <si>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</si>
  <si>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</si>
  <si>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</si>
  <si>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</si>
  <si>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</si>
  <si>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</si>
  <si>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</si>
  <si>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</si>
  <si>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</si>
  <si>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</si>
  <si>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</si>
  <si>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Revised Projections</t>
  </si>
  <si>
    <t>(c) = (b) - (a)</t>
  </si>
  <si>
    <t>(j) = (h)+(i)</t>
  </si>
  <si>
    <t>(m) = (k)+(l)</t>
  </si>
  <si>
    <t>(n) = (m) - (j)</t>
  </si>
  <si>
    <t>FY 2019-20*</t>
  </si>
  <si>
    <t>Provisional</t>
  </si>
  <si>
    <t>Scheduled PLF</t>
  </si>
  <si>
    <t>Actual Availability</t>
  </si>
  <si>
    <t>* - Truing Up for FY 2019-20 to be done under MERC MYT Regulations 2015 with reference to amounts approved in the MYT Order for FY 2020-21 to FY 2024-25</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</si>
  <si>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</si>
  <si>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</si>
  <si>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</si>
  <si>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</si>
  <si>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</si>
  <si>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</si>
  <si>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</si>
  <si>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</si>
  <si>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</si>
  <si>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</si>
  <si>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</si>
  <si>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</si>
  <si>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</si>
  <si>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</si>
  <si>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</si>
  <si>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</si>
  <si>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</si>
  <si>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</si>
  <si>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</si>
  <si>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</si>
  <si>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</si>
  <si>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</si>
  <si>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MYT Order*</t>
  </si>
  <si>
    <t>Scheduled Generation (MU)</t>
  </si>
  <si>
    <t xml:space="preserve"> * - In case MYT Order is yet to be issued, then MTR Order values to be captured under this column</t>
  </si>
  <si>
    <t>Receivables#</t>
  </si>
  <si>
    <t>(l) = (k) - (j)</t>
  </si>
  <si>
    <r>
      <rPr>
        <b/>
        <sz val="11"/>
        <rFont val="Times New Roman"/>
        <family val="1"/>
      </rPr>
      <t>Note</t>
    </r>
    <r>
      <rPr>
        <sz val="11"/>
        <rFont val="Times New Roman"/>
        <family val="1"/>
      </rPr>
      <t>:</t>
    </r>
  </si>
  <si>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</si>
  <si>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</si>
  <si>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</si>
  <si>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</si>
  <si>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</si>
  <si>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</si>
  <si>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</si>
  <si>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</si>
  <si>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</si>
  <si>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</si>
  <si>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</si>
  <si>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</si>
  <si>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</si>
  <si>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</si>
  <si>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</si>
  <si>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</si>
  <si>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</si>
  <si>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</si>
  <si>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</si>
  <si>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</si>
  <si>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</si>
  <si>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</si>
  <si>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r>
      <rPr>
        <b/>
        <sz val="11"/>
        <rFont val="Times New Roman"/>
        <family val="1"/>
      </rPr>
      <t>Note</t>
    </r>
    <r>
      <rPr>
        <sz val="11"/>
        <rFont val="Times New Roman"/>
        <family val="1"/>
      </rPr>
      <t>: 1. Generating Company shall provide justification for variation between approved and actual fuel utilisation plan</t>
    </r>
  </si>
  <si>
    <t>FY 2022-23 Approved</t>
  </si>
  <si>
    <t xml:space="preserve">Actual Shortage </t>
  </si>
  <si>
    <t>Actual Rate of Alternate Source</t>
  </si>
  <si>
    <t>Swapping of Fuel Source for Optimizing Cost</t>
  </si>
  <si>
    <t>Projected Generation (MU)</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</si>
  <si>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</si>
  <si>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</si>
  <si>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</si>
  <si>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</si>
  <si>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</si>
  <si>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</si>
  <si>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</si>
  <si>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</si>
  <si>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</si>
  <si>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</si>
  <si>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</si>
  <si>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</si>
  <si>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</si>
  <si>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</si>
  <si>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</si>
  <si>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</si>
  <si>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</si>
  <si>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</si>
  <si>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</si>
  <si>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</si>
  <si>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</si>
  <si>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</si>
  <si>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</si>
  <si>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</si>
  <si>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</si>
  <si>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</si>
  <si>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</si>
  <si>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</si>
  <si>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</si>
  <si>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Not Applicable for Thermal Power Plant</t>
  </si>
  <si>
    <t>ATTACHED SEPARATELY</t>
  </si>
  <si>
    <t>Efficiency Gain</t>
  </si>
  <si>
    <t>Sharing of Efficiency Gain</t>
  </si>
  <si>
    <t>c=b-a</t>
  </si>
  <si>
    <t>d=b-a</t>
  </si>
  <si>
    <t>Pay Revision Impact</t>
  </si>
  <si>
    <t xml:space="preserve">      Maharashtra State Power Generation Company Ltd.</t>
  </si>
  <si>
    <t>MYT Petition Formats for Bhusawal Unit 3</t>
  </si>
  <si>
    <t>Tax Rate</t>
  </si>
  <si>
    <t>MSEDCL</t>
  </si>
  <si>
    <t>Coal - Raw Coal</t>
  </si>
  <si>
    <t>Transporation</t>
  </si>
  <si>
    <t>Duties SED</t>
  </si>
  <si>
    <t>Royalty Charges</t>
  </si>
  <si>
    <t>Others STC</t>
  </si>
  <si>
    <t>Others-Energy Clean Charges</t>
  </si>
  <si>
    <t>Others-ED</t>
  </si>
  <si>
    <t>Coal - Imported  Coal</t>
  </si>
  <si>
    <t>Base Price</t>
  </si>
  <si>
    <t>Transportation</t>
  </si>
  <si>
    <t>Local Transportation</t>
  </si>
  <si>
    <t>Taxes</t>
  </si>
  <si>
    <t>Total Imported Coal</t>
  </si>
  <si>
    <t>Oil - LDO</t>
  </si>
  <si>
    <t>Total LDO</t>
  </si>
  <si>
    <t>Oil - FO</t>
  </si>
  <si>
    <t>Total FO</t>
  </si>
  <si>
    <t>Rs./KL</t>
  </si>
  <si>
    <t>D</t>
  </si>
  <si>
    <t>True-Up/Actual</t>
  </si>
  <si>
    <t>Coal Based</t>
  </si>
  <si>
    <t>Other Employee Benefits</t>
  </si>
  <si>
    <t>HO/SE Coal/WM</t>
  </si>
  <si>
    <t>Allocation : HO/SE Coal/WM</t>
  </si>
  <si>
    <t>Income of LD recovery</t>
  </si>
  <si>
    <t>Other Misc Income (Delayed payment charges, Interest on advances to suppliers, Land charges fm Contractors &amp; others, Sale of Tender forms, Registration fees, Ground rent on material lying in stores, Recruitment- exam fees, Income from Services, Miscellaneous receipts)</t>
  </si>
  <si>
    <t xml:space="preserve">Coal handling costs </t>
  </si>
  <si>
    <t>Other Gen expenses-Security</t>
  </si>
  <si>
    <t>Dep rate</t>
  </si>
  <si>
    <t>Balance useful life</t>
  </si>
  <si>
    <t>MYT 
Order</t>
  </si>
  <si>
    <t>True-Up 
requirement</t>
  </si>
  <si>
    <t>MYT 
Order*</t>
  </si>
  <si>
    <t>Revised 
Normative</t>
  </si>
  <si>
    <t>Rental from contractors &amp; staff Quarters</t>
  </si>
  <si>
    <t>C) Existing Actual Long-term Loans (Station Specific)</t>
  </si>
  <si>
    <t>D ) Actual Loans drawn during the year</t>
  </si>
  <si>
    <t>Other charges (NMET/DMF)</t>
  </si>
  <si>
    <t>Rescheduling charges</t>
  </si>
  <si>
    <t>Group 79 and its allocation</t>
  </si>
  <si>
    <t>Income on Energy saving certificate tra</t>
  </si>
  <si>
    <t>Taxes (CST/VAT/GST)</t>
  </si>
  <si>
    <t>Others (Discounts)</t>
  </si>
  <si>
    <t>Duties (Excise Duty)</t>
  </si>
  <si>
    <t>Others (Discount)</t>
  </si>
  <si>
    <t>Allowances</t>
  </si>
  <si>
    <t>Civil/Hydraulic, building</t>
  </si>
  <si>
    <t>Pollution control Exp</t>
  </si>
  <si>
    <t>Rent</t>
  </si>
  <si>
    <t>Gain/Loss on sale of Fixed Assets</t>
  </si>
  <si>
    <t>Profit / Loss on Exchange variance</t>
  </si>
  <si>
    <t>7.1.4</t>
  </si>
  <si>
    <t>7.1.5</t>
  </si>
  <si>
    <t>7.1.6</t>
  </si>
  <si>
    <t>7.1.7</t>
  </si>
  <si>
    <t>7.1.8</t>
  </si>
  <si>
    <t>7.1.9</t>
  </si>
  <si>
    <t>7.1.10</t>
  </si>
  <si>
    <t>7.1.11</t>
  </si>
  <si>
    <t>7.1.12</t>
  </si>
  <si>
    <t>7.1.13</t>
  </si>
  <si>
    <t>Land &amp; Rights</t>
  </si>
  <si>
    <t>Buildings</t>
  </si>
  <si>
    <t>Cooling Towers and Circulating Water Systems</t>
  </si>
  <si>
    <t>Hydraulic works</t>
  </si>
  <si>
    <t>Other &amp; Civil work</t>
  </si>
  <si>
    <t>Batteries</t>
  </si>
  <si>
    <t>Air Conditioning</t>
  </si>
  <si>
    <t>Lines &amp; cable Network</t>
  </si>
  <si>
    <t>Intangibles</t>
  </si>
  <si>
    <t>Other Variable Charges</t>
  </si>
  <si>
    <t>Other Adjustments (Pl. specify details)</t>
  </si>
  <si>
    <t>Variable Charges Amount (Mine Specific)</t>
  </si>
  <si>
    <t>Fuel 3-Washed Coal</t>
  </si>
  <si>
    <t>Fuel 6-LSHS</t>
  </si>
  <si>
    <t>Fuel 7-HSD</t>
  </si>
  <si>
    <t>2.1.5</t>
  </si>
  <si>
    <t>2.1.6</t>
  </si>
  <si>
    <t>2.1.7</t>
  </si>
  <si>
    <t>2.2.5</t>
  </si>
  <si>
    <t>2.2.6</t>
  </si>
  <si>
    <t>2.2.7</t>
  </si>
  <si>
    <t>2.5.5</t>
  </si>
  <si>
    <t>2.5.6</t>
  </si>
  <si>
    <t>2.5.7</t>
  </si>
  <si>
    <t>3.1.5</t>
  </si>
  <si>
    <t>3.1.6</t>
  </si>
  <si>
    <t>3.1.7</t>
  </si>
  <si>
    <t>3.2.5</t>
  </si>
  <si>
    <t>3.2.6</t>
  </si>
  <si>
    <t>3.2.7</t>
  </si>
  <si>
    <t>3.3.5</t>
  </si>
  <si>
    <t>3.3.6</t>
  </si>
  <si>
    <t>3.3.7</t>
  </si>
  <si>
    <t>4.1.1</t>
  </si>
  <si>
    <t>4.1.2</t>
  </si>
  <si>
    <t>4.1.3</t>
  </si>
  <si>
    <t>4.1.4</t>
  </si>
  <si>
    <t>4.1.5</t>
  </si>
  <si>
    <t>4.1.6</t>
  </si>
  <si>
    <t>4.1.7</t>
  </si>
  <si>
    <t>Coal - Washed Coal</t>
  </si>
  <si>
    <t>Rs./MT</t>
  </si>
  <si>
    <t>Others (Washing charges)</t>
  </si>
  <si>
    <t xml:space="preserve">Total Washed Coal </t>
  </si>
  <si>
    <t>E</t>
  </si>
  <si>
    <t>Oil - HSD</t>
  </si>
  <si>
    <t>Others (Additional VAT)</t>
  </si>
  <si>
    <t xml:space="preserve">Total HSD
</t>
  </si>
  <si>
    <t>Oil -LSHS</t>
  </si>
  <si>
    <t>Total LSHS</t>
  </si>
  <si>
    <t>F</t>
  </si>
  <si>
    <t>G</t>
  </si>
  <si>
    <t>unit/kWh</t>
  </si>
  <si>
    <t>unit</t>
  </si>
  <si>
    <t xml:space="preserve">HO Deprciation </t>
  </si>
  <si>
    <t>Communication Equipments</t>
  </si>
  <si>
    <t>I.T. Equipment</t>
  </si>
  <si>
    <t>Software</t>
  </si>
  <si>
    <t>RIGHT TO USE OF KGSC LEASE ASSET STAGE I &amp; II</t>
  </si>
  <si>
    <t>Revenue loss/(gain) due to higher auxiliary consumption</t>
  </si>
  <si>
    <t>Revenue for True Up</t>
  </si>
  <si>
    <t>Add : Pay revision</t>
  </si>
  <si>
    <t>Add : water charges</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</si>
  <si>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</si>
  <si>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</si>
  <si>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</si>
  <si>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</si>
  <si>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</si>
  <si>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</si>
  <si>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</si>
  <si>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</si>
  <si>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</si>
  <si>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To be approved</t>
  </si>
  <si>
    <t>Target Availability</t>
  </si>
  <si>
    <t>Total AFC</t>
  </si>
  <si>
    <t>Less: water charges</t>
  </si>
  <si>
    <t>AFC Reduction</t>
  </si>
  <si>
    <t>Reduced AFC</t>
  </si>
  <si>
    <t>Reduced AFC plus water charges</t>
  </si>
  <si>
    <t>UoM</t>
  </si>
  <si>
    <t>FY 22-23</t>
  </si>
  <si>
    <t>FY 23-24</t>
  </si>
  <si>
    <t>FY 24-25</t>
  </si>
  <si>
    <t>Working of AFC Reduction:</t>
  </si>
  <si>
    <t>Total Employee Expense incl. Pay Revision arrears</t>
  </si>
  <si>
    <t>Form 3:  Summary of Operations and Maintenance Expenses</t>
  </si>
  <si>
    <t>DPR</t>
  </si>
  <si>
    <t>Date of Submission</t>
  </si>
  <si>
    <t xml:space="preserve">Cost as per DPR  Crs. </t>
  </si>
  <si>
    <t>Old Asset retired against capitalised item (in Rs. Cr)</t>
  </si>
  <si>
    <t>Current Status</t>
  </si>
  <si>
    <t>N.A.</t>
  </si>
  <si>
    <t>Not Initiated</t>
  </si>
  <si>
    <t>A) DPR Schemes</t>
  </si>
  <si>
    <t>Scheme</t>
  </si>
  <si>
    <t>WIP</t>
  </si>
  <si>
    <t>Partially Capitalised</t>
  </si>
  <si>
    <t>Non-DPR</t>
  </si>
  <si>
    <t>Capitalised</t>
  </si>
  <si>
    <t>Cancelled</t>
  </si>
  <si>
    <t>To be cancelled</t>
  </si>
  <si>
    <t>To be confirmed</t>
  </si>
  <si>
    <t>Stack management by procurement of Bulldozer &amp; LOCO and CHP area schemes for performance &amp; unloading improvement</t>
  </si>
  <si>
    <t>MERC/CAPEX/20162017/01426</t>
  </si>
  <si>
    <t>Procurement of Locomotive 800 HP (2 No.’s)</t>
  </si>
  <si>
    <t xml:space="preserve">* Improvement in coal rake movement, shunting operation and placement of coal wagons at different tippler units at CHP-500 MW, BTPS.It results in increase in average unloading rate of rakes. Average unloading rate of coal wagons per hour is increased to 12 wagons/hrs from 6 to 8 wagons /hr at CHP-500 MW, BTPS.
* Average unloading of coal wagons per day is increased to 300 to 350.Avg unloading time per rake in hour is reduced from 10 hr to 6 hr since commissioning.
* Reduction in demurrage hours &amp; maintain sufficient bunker level by maintaining coal feeding rate due to efficient coal rake movement with the help of new locomotives. 
* R&amp;M expenditure against the locomotives since commissioning is nil.
* Availability &amp; reliability of new locomotives is maximum i.e. 90 to 95 % since commissioning.       
* Performance and efficiency of locomotives since commissioning is maximum. 
* Procurement for maintenance against these locomotives since commissioning is almost Nil. 
* Decrease in downtime of system resulting into overall improvement in system efficiency
</t>
  </si>
  <si>
    <t>Procurement of 2 No’s of Bulldozer Model D-155(2 No.’s)</t>
  </si>
  <si>
    <t xml:space="preserve">* Contribution in reduction of demurrage hours by doing proper coal stack management with help of bulldozers.
*  For maintaining the proper coal flow rate as per load demand while in reclaiming mode (dozing the coal from remote location to vicinity of the stacker reclaimer area).       
* O&amp;M expenditure on these bulldozers since commissioning is very less i.e. around 5 to 6.20 % per year asset cost. 
* Availability and reliability of bulldozers are around 90 to 95% since commissioning. 
* Performance and efficiency of bulldozers since commissioning is maximum. 
* Procurement for maintenance against these bulldozers since commissioning is almost nil. 
* Decrease in downtime of system resulting into overall improvement in system efficiency. 
</t>
  </si>
  <si>
    <t>Modification below primary crusher chutes 15A/B &amp; Conv.02</t>
  </si>
  <si>
    <t>1)Daily outage of the system is reduced almost 100%   
2)Wear and tear of the plates reduced.Due to these scheme system failure reduced in finacial year 20-21 around 20 lakh Rs saving done &amp; in finacial year 21-22 around 17 lakh Rs saving done</t>
  </si>
  <si>
    <t>New helical gear box for various conveyors</t>
  </si>
  <si>
    <t xml:space="preserve">Procurement of Elecon Make Ring Granulator Type TK-09-38B </t>
  </si>
  <si>
    <t>Procurement of Elecon Make Ring Granulator Type TK6 32B Ring Granulator</t>
  </si>
  <si>
    <t>HO
DPR 6</t>
  </si>
  <si>
    <t>Supply, Installation, Commissioning and Operation &amp; Maintenance Services of Continuous Ambient Air Quality Monitoring Stations (CAAQMS) at various TPS</t>
  </si>
  <si>
    <t>MERC/CAPEX/20162017/00423</t>
  </si>
  <si>
    <t>HO
DPR 7</t>
  </si>
  <si>
    <t>Installation of Real Time Online Coal-Ash Analyzer at various TPS</t>
  </si>
  <si>
    <t>MERC/CAPEX/20162017/00774</t>
  </si>
  <si>
    <t>B) Non-DPR Schemes</t>
  </si>
  <si>
    <t>Fixtures &amp; Fitting (10801)</t>
  </si>
  <si>
    <t>Office equpment (10901)</t>
  </si>
  <si>
    <t xml:space="preserve">Actual IoWC </t>
  </si>
  <si>
    <t>Add : Pay Revision Component</t>
  </si>
  <si>
    <t xml:space="preserve">Operation &amp; Maintenance Expenses Normative </t>
  </si>
  <si>
    <t>Operation &amp; Maintenance Expenses - Normative/actual</t>
  </si>
  <si>
    <t>ś</t>
  </si>
  <si>
    <t>Pay revision component</t>
  </si>
  <si>
    <t>Total AFC claim minus water charges</t>
  </si>
  <si>
    <t>Approved/ Revised Normative</t>
  </si>
  <si>
    <t>HDS - Peak hours</t>
  </si>
  <si>
    <t>HDS- Off-peak hours</t>
  </si>
  <si>
    <t>LDS- Peak hours</t>
  </si>
  <si>
    <t>LDS- Off-peak hours</t>
  </si>
  <si>
    <t>Actual availability</t>
  </si>
  <si>
    <t>MTR Order</t>
  </si>
  <si>
    <t>Ensuing Years</t>
  </si>
  <si>
    <t>FY 2025-26</t>
  </si>
  <si>
    <t>FY 2026-27</t>
  </si>
  <si>
    <t>FY 2027-28</t>
  </si>
  <si>
    <t>FY 2028-29</t>
  </si>
  <si>
    <t>FY 2029-30</t>
  </si>
  <si>
    <t>MTR
Order</t>
  </si>
  <si>
    <t>MTR 
Order</t>
  </si>
  <si>
    <t>April-March
  (Audited )</t>
  </si>
  <si>
    <r>
      <rPr>
        <b/>
        <sz val="11"/>
        <rFont val="Times New Roman"/>
        <family val="1"/>
      </rPr>
      <t>Note</t>
    </r>
    <r>
      <rPr>
        <sz val="11"/>
        <rFont val="Times New Roman"/>
        <family val="1"/>
      </rPr>
      <t xml:space="preserve">: </t>
    </r>
  </si>
  <si>
    <t>Year: FY 2023-24</t>
  </si>
  <si>
    <t>Year: FY 2024-25</t>
  </si>
  <si>
    <t>Ensuing Year FY 2025-26</t>
  </si>
  <si>
    <t>Ensuing Year FY 2026-27</t>
  </si>
  <si>
    <t>Ensuing Year FY 2027-28</t>
  </si>
  <si>
    <t>Ensuing Year FY 2028-29</t>
  </si>
  <si>
    <t>Ensuing Year FY 2029-30</t>
  </si>
  <si>
    <t>(k) = (i) - (g)</t>
  </si>
  <si>
    <t>Year : FY 2022-23</t>
  </si>
  <si>
    <t>Year : FY 2023-24</t>
  </si>
  <si>
    <t>Normative</t>
  </si>
  <si>
    <t>Normative Auxiliary Energy Consumption (Base)</t>
  </si>
  <si>
    <t>Normative Additional Aux: Selective Catalytic Reduction system</t>
  </si>
  <si>
    <t>Normative Additional Aux: Total</t>
  </si>
  <si>
    <t>Actual/Estimated/Projected: Selective Catalytic Reduction system</t>
  </si>
  <si>
    <t>Actual/Projected Auxiliary Energy Consumption - Total</t>
  </si>
  <si>
    <t>Normative  Aux COnsumption: Total</t>
  </si>
  <si>
    <t>Actual/Estimated/Projected Auxiliary Energy Consumption - Base</t>
  </si>
  <si>
    <t>Actual/normative/Projected Auxiliary Energy Consumption - Total</t>
  </si>
  <si>
    <t>Actual/Normative/Projected Auxiliary Energy Consumption with FGD</t>
  </si>
  <si>
    <t>Actual/Normative/Estimated/Projected Net Generation</t>
  </si>
  <si>
    <t>Normative Auxiliary Energy Consumption Base</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</si>
  <si>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</si>
  <si>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</si>
  <si>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</si>
  <si>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</si>
  <si>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</si>
  <si>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</si>
  <si>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</si>
  <si>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</si>
  <si>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B) Fifth Control Period</t>
  </si>
  <si>
    <t>Year:</t>
  </si>
  <si>
    <t>FY 2025-26 Projection</t>
  </si>
  <si>
    <t>FY 2026-27 Projection</t>
  </si>
  <si>
    <t>FY 2027-28 Projection</t>
  </si>
  <si>
    <t>FY 2028-29 Projection</t>
  </si>
  <si>
    <t>FY 2029-30 Projection</t>
  </si>
  <si>
    <t>A) FY 2022-23, FY 2023-24 &amp; FY 2024-25</t>
  </si>
  <si>
    <t>Maintenance Spares (% of Opg GFA)</t>
  </si>
  <si>
    <t>A) FY 2022-23</t>
  </si>
  <si>
    <t>Pay Revisiosn Impact</t>
  </si>
  <si>
    <t>Esc Rate</t>
  </si>
  <si>
    <t xml:space="preserve">Form 7:  Base Return on Regulatory Equity </t>
  </si>
  <si>
    <t>Supplementary bill</t>
  </si>
  <si>
    <t>FY 2022-23 Actual</t>
  </si>
  <si>
    <t>FY 2023-24 Approved</t>
  </si>
  <si>
    <t>FY 2023-24 Actual</t>
  </si>
  <si>
    <t>FY 2024-25 Approved</t>
  </si>
  <si>
    <t>FY 2024-25 Actual (Apr- Sep)</t>
  </si>
  <si>
    <t>FY 2024-25 Estimated</t>
  </si>
  <si>
    <t>FY 2025-26  Projected</t>
  </si>
  <si>
    <t>FY 2026-27 Projected</t>
  </si>
  <si>
    <t>FY 2027-28 Projected</t>
  </si>
  <si>
    <t>FY 2028-29 Projected</t>
  </si>
  <si>
    <t>FY 2029-30 Projected</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</si>
  <si>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</si>
  <si>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</si>
  <si>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</si>
  <si>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</si>
  <si>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</si>
  <si>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</si>
  <si>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</si>
  <si>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</si>
  <si>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</si>
  <si>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Price variation 71 Group</t>
  </si>
  <si>
    <t>Payments to railway staff-Fixed</t>
  </si>
  <si>
    <t xml:space="preserve">Material Variance cost - O &amp; M                    </t>
  </si>
  <si>
    <t xml:space="preserve">Income of LD recovery-Reduced from R&amp; M </t>
  </si>
  <si>
    <t>Commission to agents</t>
  </si>
  <si>
    <t>Consumption Lubricants &amp; consumables</t>
  </si>
  <si>
    <t>Consumption Lubricants &amp; consumables-Fi</t>
  </si>
  <si>
    <t>Commission to agents-Fixed</t>
  </si>
  <si>
    <t>Demurrage on oil receipts</t>
  </si>
  <si>
    <t>Net Revenue Requirement</t>
  </si>
  <si>
    <t>Form 5.1 (N): Assets &amp; Depreciation - New Schemes  (not covered under Existing Assets)</t>
  </si>
  <si>
    <t>(m) = (i)+(j)-(k)-(l)</t>
  </si>
  <si>
    <t>(q) = (m)+(n)-(o)-(p)</t>
  </si>
  <si>
    <t>(u)=(q)+(r)</t>
  </si>
  <si>
    <t>MYT Petition Formats - Generation</t>
  </si>
  <si>
    <t>Form 15:  Depreciation Schedule Assets</t>
  </si>
  <si>
    <t>Land</t>
  </si>
  <si>
    <t>Asset as on 1st April/Asset Addition during the Year</t>
  </si>
  <si>
    <t>Depreciation as on 1st April 2005</t>
  </si>
  <si>
    <t>Depreciation Rate for that Year</t>
  </si>
  <si>
    <t>Depreciation during the Year</t>
  </si>
  <si>
    <t>Depriciation as on 1st april</t>
  </si>
  <si>
    <t>Asset crossing 90% depreciation</t>
  </si>
  <si>
    <t>Remaining Depreciable value</t>
  </si>
  <si>
    <t>2005-06</t>
  </si>
  <si>
    <t>2006-07</t>
  </si>
  <si>
    <t>2007-08</t>
  </si>
  <si>
    <t>2008-09</t>
  </si>
  <si>
    <t>2009-10</t>
  </si>
  <si>
    <t>2010-11</t>
  </si>
  <si>
    <t>2011-12</t>
  </si>
  <si>
    <t>2012-13</t>
  </si>
  <si>
    <t>2013-14</t>
  </si>
  <si>
    <t>2014-15</t>
  </si>
  <si>
    <t>2015-16</t>
  </si>
  <si>
    <t>2016-17</t>
  </si>
  <si>
    <t>2017-18</t>
  </si>
  <si>
    <t>2018-19</t>
  </si>
  <si>
    <t xml:space="preserve">Opening </t>
  </si>
  <si>
    <t>Addition</t>
  </si>
  <si>
    <t>2019-20</t>
  </si>
  <si>
    <t>2020-21</t>
  </si>
  <si>
    <t>2021-22</t>
  </si>
  <si>
    <t>2024-25</t>
  </si>
  <si>
    <t>2025-26</t>
  </si>
  <si>
    <t>2026-27</t>
  </si>
  <si>
    <t>2027-28</t>
  </si>
  <si>
    <t>2028-29</t>
  </si>
  <si>
    <t>2029-30</t>
  </si>
  <si>
    <t>Building</t>
  </si>
  <si>
    <t>Asset as on 1st April 2005</t>
  </si>
  <si>
    <t>Hydraulic</t>
  </si>
  <si>
    <t>Other Civil work</t>
  </si>
  <si>
    <t>Plant and Machinery</t>
  </si>
  <si>
    <t>Lines and Cable Network</t>
  </si>
  <si>
    <t>Vehicle</t>
  </si>
  <si>
    <t>Furniture</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</si>
  <si>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</si>
  <si>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</si>
  <si>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</si>
  <si>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</si>
  <si>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</si>
  <si>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</si>
  <si>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</si>
  <si>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</si>
  <si>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</si>
  <si>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</si>
  <si>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</si>
  <si>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</si>
  <si>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</si>
  <si>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</si>
  <si>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</si>
  <si>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</si>
  <si>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</si>
  <si>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</si>
  <si>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</si>
  <si>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</si>
  <si>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</si>
  <si>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</si>
  <si>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</si>
  <si>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</si>
  <si>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</si>
  <si>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</si>
  <si>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</si>
  <si>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</si>
  <si>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</si>
  <si>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</si>
  <si>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</si>
  <si>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</si>
  <si>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</si>
  <si>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</si>
  <si>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</si>
  <si>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</si>
  <si>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</si>
  <si>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</si>
  <si>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</si>
  <si>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</si>
  <si>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</si>
  <si>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</si>
  <si>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</si>
  <si>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</si>
  <si>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</si>
  <si>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</si>
  <si>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</si>
  <si>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</si>
  <si>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</si>
  <si>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</si>
  <si>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</si>
  <si>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</si>
  <si>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SG Controls</t>
  </si>
  <si>
    <t>Ceraline Bends</t>
  </si>
  <si>
    <t>HVR with EC</t>
  </si>
  <si>
    <t>2.1.8</t>
  </si>
  <si>
    <t>Critical Piping</t>
  </si>
  <si>
    <t>Turbine Generator Island</t>
  </si>
  <si>
    <t>TG and Auxiliaries</t>
  </si>
  <si>
    <t>Power Cycle Pumps,LP Heaters 2&amp; 3,Drain Cooler,HP Heaters,Deaearators</t>
  </si>
  <si>
    <t>TG HT Motors,ACWP Motors</t>
  </si>
  <si>
    <t>TG Controls</t>
  </si>
  <si>
    <t>RE Joints &amp; Butterfly Valves,Misc.Tanks,Condensor&amp; Heat Exchanger</t>
  </si>
  <si>
    <t>Valves</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</si>
  <si>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</si>
  <si>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</si>
  <si>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</si>
  <si>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</si>
  <si>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</si>
  <si>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</si>
  <si>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</si>
  <si>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</si>
  <si>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</si>
  <si>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</si>
  <si>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</si>
  <si>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</si>
  <si>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</si>
  <si>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</si>
  <si>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</si>
  <si>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</si>
  <si>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</si>
  <si>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</si>
  <si>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</si>
  <si>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</si>
  <si>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</si>
  <si>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</si>
  <si>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2.3.1</t>
  </si>
  <si>
    <t>Water Treatment Plant</t>
  </si>
  <si>
    <t>2.3.2</t>
  </si>
  <si>
    <t>Fire Protection Alarm &amp; Detection System</t>
  </si>
  <si>
    <t>2.3.3</t>
  </si>
  <si>
    <t>Fuel Oil System</t>
  </si>
  <si>
    <t>2.3.4</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</si>
  <si>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</si>
  <si>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</si>
  <si>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</si>
  <si>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</si>
  <si>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</si>
  <si>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</si>
  <si>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</si>
  <si>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</si>
  <si>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</si>
  <si>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</si>
  <si>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</si>
  <si>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</si>
  <si>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</si>
  <si>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</si>
  <si>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</si>
  <si>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</si>
  <si>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</si>
  <si>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</si>
  <si>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</si>
  <si>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</si>
  <si>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</si>
  <si>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</si>
  <si>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</si>
  <si>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</si>
  <si>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</si>
  <si>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</si>
  <si>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</si>
  <si>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</si>
  <si>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</si>
  <si>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</si>
  <si>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</si>
  <si>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</si>
  <si>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</si>
  <si>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</si>
  <si>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</si>
  <si>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</si>
  <si>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</si>
  <si>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</si>
  <si>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</si>
  <si>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</si>
  <si>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</si>
  <si>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</si>
  <si>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</si>
  <si>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</si>
  <si>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</si>
  <si>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</si>
  <si>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</si>
  <si>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</si>
  <si>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</si>
  <si>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</si>
  <si>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</si>
  <si>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</si>
  <si>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</si>
  <si>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</si>
  <si>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</si>
  <si>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</si>
  <si>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</si>
  <si>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</si>
  <si>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</si>
  <si>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</si>
  <si>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2.4.1</t>
  </si>
  <si>
    <t>Power Transformer</t>
  </si>
  <si>
    <t>2.4.2</t>
  </si>
  <si>
    <t>Service Transformer</t>
  </si>
  <si>
    <t>2.4.3</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</si>
  <si>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</si>
  <si>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</si>
  <si>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</si>
  <si>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</si>
  <si>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</si>
  <si>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</si>
  <si>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</si>
  <si>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</si>
  <si>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</si>
  <si>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</si>
  <si>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</si>
  <si>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</si>
  <si>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</si>
  <si>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</si>
  <si>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</si>
  <si>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</si>
  <si>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</si>
  <si>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</si>
  <si>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</si>
  <si>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</si>
  <si>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</si>
  <si>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</si>
  <si>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</si>
  <si>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</si>
  <si>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</si>
  <si>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</si>
  <si>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</si>
  <si>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</si>
  <si>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</si>
  <si>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</si>
  <si>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</si>
  <si>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</si>
  <si>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</si>
  <si>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</si>
  <si>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</si>
  <si>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</si>
  <si>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</si>
  <si>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</si>
  <si>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</si>
  <si>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</si>
  <si>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</si>
  <si>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</si>
  <si>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</si>
  <si>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</si>
  <si>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</si>
  <si>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</si>
  <si>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</si>
  <si>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</si>
  <si>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</si>
  <si>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</si>
  <si>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</si>
  <si>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</si>
  <si>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</si>
  <si>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</si>
  <si>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</si>
  <si>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</si>
  <si>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</si>
  <si>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</si>
  <si>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</si>
  <si>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</si>
  <si>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</si>
  <si>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</si>
  <si>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</si>
  <si>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</si>
  <si>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</si>
  <si>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</si>
  <si>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</si>
  <si>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</si>
  <si>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</si>
  <si>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</si>
  <si>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</si>
  <si>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</si>
  <si>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</si>
  <si>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</si>
  <si>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</si>
  <si>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</si>
  <si>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</si>
  <si>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</si>
  <si>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</si>
  <si>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Name / No. of Construction / Supply / Service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</si>
  <si>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</si>
  <si>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</si>
  <si>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</si>
  <si>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</si>
  <si>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</si>
  <si>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</si>
  <si>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</si>
  <si>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</si>
  <si>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</si>
  <si>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</si>
  <si>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</si>
  <si>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</si>
  <si>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</si>
  <si>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</si>
  <si>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</si>
  <si>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</si>
  <si>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</si>
  <si>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</si>
  <si>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</si>
  <si>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</si>
  <si>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</si>
  <si>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</si>
  <si>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</si>
  <si>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</si>
  <si>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</si>
  <si>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</si>
  <si>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</si>
  <si>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</si>
  <si>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</si>
  <si>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</si>
  <si>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</si>
  <si>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</si>
  <si>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</si>
  <si>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14.8: Financing Additional Capitalisation</t>
  </si>
  <si>
    <t>Financial Year (Starting from COD)</t>
  </si>
  <si>
    <t>Not Applicable</t>
  </si>
  <si>
    <t>Amount capitalised</t>
  </si>
  <si>
    <t>Financing Details</t>
  </si>
  <si>
    <t>Equity</t>
  </si>
  <si>
    <t>Internal Resources</t>
  </si>
  <si>
    <t>Others (Pls provide details)</t>
  </si>
  <si>
    <t>MYT Petition Formats for Bhusawal Units 4&amp;5</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</si>
  <si>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</si>
  <si>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</si>
  <si>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</si>
  <si>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</si>
  <si>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</si>
  <si>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</si>
  <si>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</si>
  <si>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</si>
  <si>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</si>
  <si>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</si>
  <si>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</si>
  <si>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</si>
  <si>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</si>
  <si>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</si>
  <si>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</si>
  <si>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</si>
  <si>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</si>
  <si>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</si>
  <si>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</si>
  <si>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</si>
  <si>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</si>
  <si>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</si>
  <si>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</si>
  <si>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</si>
  <si>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</si>
  <si>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</si>
  <si>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</si>
  <si>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</si>
  <si>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</si>
  <si>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</si>
  <si>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</si>
  <si>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</si>
  <si>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</si>
  <si>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</si>
  <si>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 xml:space="preserve">Form 5= Form 5.1 (E) + Form 5.1 (N) : Total Assets &amp; Depreciation for assets </t>
  </si>
  <si>
    <t>(ac)</t>
  </si>
  <si>
    <t>(ad)</t>
  </si>
  <si>
    <t>(ae)</t>
  </si>
  <si>
    <t>(af)</t>
  </si>
  <si>
    <t>(ag) = (ac)+(ad)-(ae)-(af)</t>
  </si>
  <si>
    <t>Admin building Rent (Treatment is different as per IND AS)</t>
  </si>
  <si>
    <t>Calorific Value (As Fired) Imported</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</si>
  <si>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</si>
  <si>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</si>
  <si>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</si>
  <si>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</si>
  <si>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</si>
  <si>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</si>
  <si>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</si>
  <si>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</si>
  <si>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</si>
  <si>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</si>
  <si>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</si>
  <si>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</si>
  <si>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</si>
  <si>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</si>
  <si>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</si>
  <si>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Fuel 4 - GP II</t>
  </si>
  <si>
    <t>Fuel 5 - Biomass Pellets</t>
  </si>
  <si>
    <t>2.1.9</t>
  </si>
  <si>
    <t>2.5.8</t>
  </si>
  <si>
    <t>2.5.9</t>
  </si>
  <si>
    <t>3.1.8</t>
  </si>
  <si>
    <t>3.1.9</t>
  </si>
  <si>
    <t>3.2.8</t>
  </si>
  <si>
    <t>3.2.9</t>
  </si>
  <si>
    <t>3.3.8</t>
  </si>
  <si>
    <t>3.3.9</t>
  </si>
  <si>
    <t>4.1.8</t>
  </si>
  <si>
    <t>4.1.9</t>
  </si>
  <si>
    <t>Coal - GP II</t>
  </si>
  <si>
    <t>Total GP II Coal</t>
  </si>
  <si>
    <t>Biomass Pellet</t>
  </si>
  <si>
    <t>Total Biomass Pellet</t>
  </si>
  <si>
    <t>Fuel Related Expenses - ECS</t>
  </si>
  <si>
    <t>O&amp;M Charges - ECS</t>
  </si>
  <si>
    <t>Interest on Working Capital - ECS</t>
  </si>
  <si>
    <t>Interest on Working capital - towards Emission Control System</t>
  </si>
  <si>
    <t>Cost of limestone/reagent towards stock - 20 days</t>
  </si>
  <si>
    <t>Advance payment for 30 days towards cost of reagent - 30 days</t>
  </si>
  <si>
    <t>Normative O&amp;M expense in respect of Emission Control system for one month</t>
  </si>
  <si>
    <t>Maintenance Spares  (% of capitalisation)</t>
  </si>
  <si>
    <t>Total Working Capital Requirement - ECS</t>
  </si>
  <si>
    <t>Rate of IoWC</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</si>
  <si>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</si>
  <si>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</si>
  <si>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</si>
  <si>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</si>
  <si>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</si>
  <si>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</si>
  <si>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</si>
  <si>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</si>
  <si>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</si>
  <si>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</si>
  <si>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</si>
  <si>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[K x SHR x S/CVPF] x [85/LP]</t>
  </si>
  <si>
    <t>FY 25-26</t>
  </si>
  <si>
    <t>FY 26-27</t>
  </si>
  <si>
    <t>FY 27-28</t>
  </si>
  <si>
    <t>FY 28-29</t>
  </si>
  <si>
    <t>FY 29-30</t>
  </si>
  <si>
    <t>SHR (kCal/kWh)</t>
  </si>
  <si>
    <t>GCV (kCal/kg)</t>
  </si>
  <si>
    <t>CVPF (kCal/kg)</t>
  </si>
  <si>
    <t>S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</si>
  <si>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</si>
  <si>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</si>
  <si>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</si>
  <si>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</si>
  <si>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</si>
  <si>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</si>
  <si>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</si>
  <si>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</si>
  <si>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</si>
  <si>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</si>
  <si>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</si>
  <si>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</si>
  <si>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</si>
  <si>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</si>
  <si>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</si>
  <si>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</si>
  <si>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</si>
  <si>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t>
  </si>
  <si>
    <t>Interest on Loan Capital - HO Assets</t>
  </si>
  <si>
    <t>Add: Return on Equity Capital - HO Assets</t>
  </si>
  <si>
    <t>Bhusawal Unit 4</t>
  </si>
  <si>
    <t>Bhusawal Unit 5</t>
  </si>
  <si>
    <t>Total Bhusawal Unit 4-5</t>
  </si>
  <si>
    <t>Escalation</t>
  </si>
  <si>
    <t>MSEDCL - H1</t>
  </si>
  <si>
    <t>MSEDCL - H2</t>
  </si>
  <si>
    <t>Calorific Value (As Fired) Raw &amp; Washed</t>
  </si>
  <si>
    <t>MTR Order*</t>
  </si>
  <si>
    <t>(c )</t>
  </si>
  <si>
    <t>(d) = (c) - (b)</t>
  </si>
  <si>
    <t>(h) = (g) - (f)</t>
  </si>
  <si>
    <r>
      <rPr>
        <b/>
        <sz val="11"/>
        <rFont val="Times New Roman"/>
        <family val="1"/>
      </rPr>
      <t>Note</t>
    </r>
    <r>
      <rPr>
        <sz val="11"/>
        <rFont val="Times New Roman"/>
        <family val="1"/>
      </rPr>
      <t>: * - In case MTR Order is yet to be issued, then MYT Order values to be captured under this column</t>
    </r>
  </si>
  <si>
    <t xml:space="preserve">* As approved in MTR Order; in case MTR Order is not issued, then MYT Order values to be considered </t>
  </si>
  <si>
    <t xml:space="preserve">To be submitted separately for each Unit/Station for which Tariff is to be determined separately </t>
  </si>
  <si>
    <t>Justification provided in annexure</t>
  </si>
  <si>
    <t>Actual Capex till FY 2021-22</t>
  </si>
  <si>
    <t>Actual Capitalization till FY 2021-22</t>
  </si>
  <si>
    <t>(i) Submitted to MERC</t>
  </si>
  <si>
    <t>Interconnection of 210 MW CHP to 500 MW CHP through Conveyors BC-02 &amp; BC-03 having capacity of 500 TPH</t>
  </si>
  <si>
    <t>MERC/CAPEX/20162017/00227</t>
  </si>
  <si>
    <t>05.12.2016</t>
  </si>
  <si>
    <t xml:space="preserve">• Reduction in Cost of Road Transportation .
1) In finacial year 2020-21:687075 MT coal is transported from these belts. Rs.1.49 Cr. saving is done               
2) In finacial year 2020-21:520483 MT coal is transported from these belts. Rs.1.12 Cr. saving is done 
• Reduction in Demurrage charges. 
</t>
  </si>
  <si>
    <t>1st loco - 01-12-2018
2nd loco - 26-03-2019</t>
  </si>
  <si>
    <t>PO placed vide-HO/4370001547/No-07347 dated 19-06-2018.
1st loco- Material received on dtd. 23-11-2018.
Commisioning done on dtd.01-12-2018. 
2nd loco - Material received on dtd. 13-02-2019.
Commisioning done on dtd.26-03-2019. 
Capitalization done in FY-2018-19 of Rs. 5.84 Cr. 
4.83 Cr. amount capitalized in U#4 &amp; 5. Remaining amount capitalised in U#3.</t>
  </si>
  <si>
    <t>PO placed vide-HO/4370001085/No-010160 dated 18-08-2017.
Work completed on 13-09-2017. Capitalization done in FY-2017-18 of Rs. 4.2 Cr. 
3.47 Cr. amount capitalized in U#4 &amp; 5. Remaining amount capitalised in U#3.</t>
  </si>
  <si>
    <t>PO placed vide-HO/4370000471/No-04816 dated 19-07-2017.
Work completed on 01-02-2018. Capitalization done in FY-2017-18 of Rs. 0.46 Cr. 
0.38 Cr. amount capitalized in U#4 &amp; 5. Remaining amount capitalised in U#3.</t>
  </si>
  <si>
    <r>
      <rPr>
        <b/>
        <sz val="11"/>
        <rFont val="Calibri"/>
        <family val="2"/>
        <scheme val="minor"/>
      </rPr>
      <t>Reason for cancellation-</t>
    </r>
    <r>
      <rPr>
        <sz val="11"/>
        <rFont val="Calibri"/>
        <family val="2"/>
        <scheme val="minor"/>
      </rPr>
      <t xml:space="preserve"> Due to urgency of spares for Ring granulators, BTPS requested Parli TPS to issue spares of ring granulator from the decommissioned units. Accordingly Parli TPS issued the material to BTPS.</t>
    </r>
  </si>
  <si>
    <r>
      <rPr>
        <b/>
        <sz val="11"/>
        <rFont val="Calibri"/>
        <family val="2"/>
        <scheme val="minor"/>
      </rPr>
      <t>Reason for cancellation</t>
    </r>
    <r>
      <rPr>
        <sz val="11"/>
        <rFont val="Calibri"/>
        <family val="2"/>
        <scheme val="minor"/>
      </rPr>
      <t>- Due to urgency of spares for Ring granulators, BTPS requested Parli TPS to issue spares of ring granulator from the decommissioned units. Accordingly Parli TPS issued the material to BTPS.</t>
    </r>
  </si>
  <si>
    <t>Construction of 1st raising of Ash bund from T.B.L. 258M to 264M at Bhusawal TPS</t>
  </si>
  <si>
    <t>MERC/CAPEX/20172018/4267</t>
  </si>
  <si>
    <t xml:space="preserve">• Storage capacity of ash bund increased.
• Air pollution reduced. 
• Increased qty of ash water from bund for re-utilization.
• Safeguard stability of bund increased.
</t>
  </si>
  <si>
    <t>Revised PO No-4370001610, 
Work completed on 20-04-2019. Capitalization done in FY-2019-20 of Rs. 64.50 Cr.</t>
  </si>
  <si>
    <t>Augmentation of Ash Evacuation System &amp; Procurement of BCW Pump Motors at Bhusawal &amp; Khaperkheda TPS 500 MW Units</t>
  </si>
  <si>
    <t>MERC/CAPEX/20172018/4782</t>
  </si>
  <si>
    <t>Installation of standby Buffer Hopper parallel to existing pair of buffer hoppers</t>
  </si>
  <si>
    <t>Installation of additional vacuum pump for every two passes, near to intermediate hopper.</t>
  </si>
  <si>
    <t>Procurement of 02 Nos of M/s Torishima, Japan make, 350 KW, 6.6KV, Boiler Circulating Water (BCW) Pump Motors (without pump casing) with 02 lots of recommended Electrical &amp; C&amp;I spares for Bhusawal and Khaparkheda TPS 500MW.</t>
  </si>
  <si>
    <t xml:space="preserve">* Although the scheme does not have direct measurable benefit, however, there is improvement in availability and reliability of the BCW system. 
* In case of failure of running equipment,following Generation loss - If two BCW pumps are not available &amp; only one BCW Pump is in service, (Partial Load Loss)
Assume Gross Gen@280MW, Gen Loss will be 220MW.
AFC for one Unit- Rs. 1.47 Cr/day
Loading will be 56% only.
Then,
AFC recovery- Rs. 0.82 Cr.
Hence, AFC Loss- Rs. 0.65 Cr/day . 
</t>
  </si>
  <si>
    <r>
      <t xml:space="preserve">*PO placed vide BTPS/4370001282/No-01961 dated 19-03-2018. PO amount is Rs. 4.50 Cr.
* Work completed on 24-09-2019. Capitalization done in FY-2019-20 of Rs.4.67 Cr. (4.50 Cr+Intrest 0.17)
</t>
    </r>
    <r>
      <rPr>
        <sz val="11"/>
        <color rgb="FFFF0000"/>
        <rFont val="Calibri"/>
        <family val="2"/>
        <scheme val="minor"/>
      </rPr>
      <t xml:space="preserve">Reason for cost Overrun- Rate rise due to exchange rate variation, rate rise in duties, freight &amp; insurance &amp; basic rate rise. </t>
    </r>
  </si>
  <si>
    <t>Procurement of complete ACVF drive module comprising of 2 Nos. of Supply and 3 Nos. of  Inverter modules for GEHO pumps</t>
  </si>
  <si>
    <t xml:space="preserve">•The ACVFD drive are installed &amp; in service.
*  Due to availablity of this module, down time of HCSD pump was reduced. 
• The availability of the ash evacuation system is improved.
• Availability of GEHO pumps is improved.
• Due to availaility of module, It was replaced in shortest time when VFD failure.
</t>
  </si>
  <si>
    <t>*PO placed vide BTPS/4370001776/No-0125 dated 12-04-2019.
* Work completed on 17-07-2019. Capitalization done in FY-2019-20 of Rs.0.93 Cr.</t>
  </si>
  <si>
    <t>Supply, erection and commissioning of 24VDC, 100A Float &amp; Float cum Boost Battery Charger with 325Ah Battery Bank for CWPH at BTPS 2x500 MW.</t>
  </si>
  <si>
    <t>• Redundant 24V DC supply source is available at CWPH.
• Improved availability of CWP Pumps.
• System performance improved.
• With second 24VDC supply source, availability of standby source at CWPH.
• Due to availability of standby 24VDC source, generation loss due to  tripping of all auxiliary is avoided which results due to failure of previous single 24V DC supply source.</t>
  </si>
  <si>
    <t>* PO placed vide BTPS/4370000787/No-01153 dated 12-02-2018.
* Work completed on 13-12-2018. Capitalization done in FY-2018-19 of Rs.0.16 Cr.</t>
  </si>
  <si>
    <t xml:space="preserve">IDC </t>
  </si>
  <si>
    <r>
      <t xml:space="preserve">Various schemes for </t>
    </r>
    <r>
      <rPr>
        <b/>
        <sz val="12"/>
        <color indexed="36"/>
        <rFont val="Book Antiqua"/>
        <family val="1"/>
      </rPr>
      <t>renovation of colony at Bhusawal TPS</t>
    </r>
  </si>
  <si>
    <t>MERC/CAPEX/20172018/0221</t>
  </si>
  <si>
    <t>Renovation of staff quarters &amp; related work at BTPS Deepnagar</t>
  </si>
  <si>
    <t>a) 05-09-2018
b)05-09-2018
c) 16-11-2018
d) 16-11-2018
e)19-11-2018</t>
  </si>
  <si>
    <t>a) 05-06-2019
b) 05-09-2019
c) 16-11-2019
d) 16-11-2019
e) 19-05-2019</t>
  </si>
  <si>
    <t>a) 04-06-2019
b) 04-09-2019
c) 31-12-2019
d) 31-12-2019
e) 20-03-2020</t>
  </si>
  <si>
    <t xml:space="preserve">• Provided good aesthetic in colony premises.
• Ambience improvement. 
• Provided safe conveyance to residential families in colony premises.
• Provided good aesthetic in colony premises.
</t>
  </si>
  <si>
    <t>Colony Internal Roads at BTPS, Deepnagar</t>
  </si>
  <si>
    <t>a) 15-05-2018
b) 13-08-2018</t>
  </si>
  <si>
    <t>a) 15-02-2019
b) 13-02-2019</t>
  </si>
  <si>
    <t>a) 20-12-2018
b) 12-02-2019</t>
  </si>
  <si>
    <t xml:space="preserve">• Convenient transportation facilities.
• Proper approaches to everywhere.
</t>
  </si>
  <si>
    <t>Water supply , sanitary &amp; drainage works at BTPS, Deepnagar</t>
  </si>
  <si>
    <t xml:space="preserve">a) 07-08-2018
b) 23-11-2018
c) 16-11-2018
d) 16-11-2018
</t>
  </si>
  <si>
    <t>a) 07-08-2019
b) 23-08-2019
c) 16-08-2019
d) 16-08-2019</t>
  </si>
  <si>
    <t xml:space="preserve">a) 06-08-2019
b) 25-07-2019
c) 31-12-2019
d) 31-12-2019
</t>
  </si>
  <si>
    <t xml:space="preserve">• Rain water not getting accumulated on road side.
• Health and hygiene of colony people is maintained.
• Stoppage of leakages from Sanitary.
• Provided safe conveyance to residential families in colony premises.
• Provided good aesthetic in colony premises.
• Ambience improvement. 
• Leakage problem from building sanitary system are minimize.
• To increase the extended life of building and increase in hygiene of colony premises.
• Smooth flow of surface runoff water and to avoid water logging near building premises and on roads.
</t>
  </si>
  <si>
    <t>Plinth protection to existing buildings at BTPS, Deepnagar</t>
  </si>
  <si>
    <t>* Due to which dampness during rain is avoided.</t>
  </si>
  <si>
    <t>Pipeline from River Water Pump House (RWPH) to aquaduct over Bhogawati River and Other allied power house road works under DPR scheme at BTPS, Bhusawal</t>
  </si>
  <si>
    <t>MERC/CAPEX/2018-2019/0104</t>
  </si>
  <si>
    <t>Providing supplying laying, jointing, testing and commissioning of 1650 mm Ø ID 8 mm thick M.S. pipeline for raw water supply from RWPH to aquaduct over Bhogawati river at, BTPS, Bhusawal.</t>
  </si>
  <si>
    <t xml:space="preserve">• As per CE(Civil-III) letter dated 22-02-2021, “ Status-Work orders are not issued/Tender not invited, Directives of Hon. CMD- Not to initiate for placement of Work orders/invitation of tender.”
•As per discussion with 660MW project team, line erection is in scope of M/s. BHEL under 660MW Project </t>
  </si>
  <si>
    <t>Construction of WBM and Bituminous road along inlet &amp; outlet canals and concreate road along periphery of Major store at BTPS, Bhusawal.</t>
  </si>
  <si>
    <t>a) 20-08-2021
b) 27-03-2021 
c) 01-12-2022</t>
  </si>
  <si>
    <t>a) 10-04-2023
b) 25-04-2023
c) 20-03-2023</t>
  </si>
  <si>
    <t>•Easy approach to canal site.
•Safe conveyance for inspection of canal site.
•Heavy grass and thorny bushes will not 
  increase on canal road side.</t>
  </si>
  <si>
    <r>
      <rPr>
        <b/>
        <sz val="11"/>
        <rFont val="Calibri"/>
        <family val="2"/>
        <scheme val="minor"/>
      </rPr>
      <t>WBM Road :</t>
    </r>
    <r>
      <rPr>
        <sz val="11"/>
        <rFont val="Calibri"/>
        <family val="2"/>
        <scheme val="minor"/>
      </rPr>
      <t xml:space="preserve"> 
• PO placed vide-BTPS/4370002413/No-0180 dated 
  18-03-2020.  
• Work completed on 10-04-2023. Capitalization done in  
   FY-2022-23 of Rs.0.84 Cr.
</t>
    </r>
    <r>
      <rPr>
        <b/>
        <sz val="11"/>
        <rFont val="Calibri"/>
        <family val="2"/>
        <scheme val="minor"/>
      </rPr>
      <t>Bituminous road</t>
    </r>
    <r>
      <rPr>
        <sz val="11"/>
        <rFont val="Calibri"/>
        <family val="2"/>
        <scheme val="minor"/>
      </rPr>
      <t xml:space="preserve"> :
• PO placed vide-BTPS/4370002358/No-0176 dated 
  17-03-2020. </t>
    </r>
    <r>
      <rPr>
        <sz val="12"/>
        <rFont val="Calibri"/>
        <family val="2"/>
        <scheme val="minor"/>
      </rPr>
      <t xml:space="preserve">
• Work completed on 25-04-2023.Capitalization done  
   in FY-2022-23 of Rs.1.83 Cr.
</t>
    </r>
    <r>
      <rPr>
        <b/>
        <sz val="12"/>
        <rFont val="Calibri"/>
        <family val="2"/>
        <scheme val="minor"/>
      </rPr>
      <t xml:space="preserve">Tremix
• </t>
    </r>
    <r>
      <rPr>
        <sz val="12"/>
        <rFont val="Calibri"/>
        <family val="2"/>
        <scheme val="minor"/>
      </rPr>
      <t>PO placed vide-BTPS/4370002610/No- 0959dated 
  15-07-2022. 
• Work completed on 20-03-2023.Capitalization done  
   in FY-2022-23 of Rs.1.19 Cr.</t>
    </r>
  </si>
  <si>
    <t>Work of construction of self-supporting steel roofing system for a major store godown shed of span 25M at BTPS, Deepnagar.</t>
  </si>
  <si>
    <t>Due to this the spare parts of machineries and other material are protected from rain.</t>
  </si>
  <si>
    <t xml:space="preserve">  </t>
  </si>
  <si>
    <t>PO Placed vide- PO placed vide-BTPS/4370002455/No-0224 dated 26-03-2020. 100% work Completed.WCR  submitted on 28-03-2022 &amp; Scheme capitalized in FY 2021-22. Capitalization of 1.64 Cr. In FY-2022-23.</t>
  </si>
  <si>
    <t>Supply, erection, commissioning &amp; site testing of 220 V, 2035 AH, Station Battery Sets (4 Nos.) and 24 V, 2250 AH, SG/TG &amp; BOP Battery Sets (8 Nos.) for U# 4 &amp; 5 along with accessories at 2 x 500 MW BTPS, Bhusawal</t>
  </si>
  <si>
    <t>MERC/CAPEX/2017-2018/1226</t>
  </si>
  <si>
    <t>Supply, erection, commissioning &amp; site testing of 220V, 2035 AH Station Battery Sets (02 Nos.) and 24V, 2250AH, SG/TG &amp; BOP Battery Set (04 Nos.) along with accessories for Unit No.5 at BTPS 2x500MW.</t>
  </si>
  <si>
    <t xml:space="preserve">In case AC failure, if 220V battery is not available / failed, the severe damages may occur to all seven bearings of Turbine, Generator &amp; exciter. Loss due to bearing failure is uncountable.  Approximate estimate cost of Turbine bearing is Rs. 50 Lakhs &amp; at least 2 months period is required for rehabilitation of system causing generation loss for next Two months period
</t>
  </si>
  <si>
    <t>PO placed vide BTPS/4370001843/No-0230 dated-14-05-2019. 
Work completed on dtd.27.09.2019. Capitalization done in FY-2019-20 of Rs.6.37 Cr.
Reason for Cost overrun:- The BTPS has floated the Open Tender vide e-tender No-77527. In this open tender, the lowest L1 bidder was quoted the rate 4.81 Cr-Without GST( PO amount was 6.42 Cr-With GST).Bidder also submitted the other Utility work order Ref No-Slpp/matt/Exide Plante Battery/1504 dated 12-05-2015 of M/s. Gujarat Industries Power Company Ltd, Surat Lignite power plant, Surat-394110  for rate justification.</t>
  </si>
  <si>
    <t>Supply, erection, commissioning &amp; site testing of 220V, 2035 AH Station Battery Sets (02 Nos.) and 24V, 2250AH, SG/TG &amp; BOP Battery Set (04 Nos.) along with accessories for Unit No.4 at BTPS 2x500MW.</t>
  </si>
  <si>
    <t xml:space="preserve">In case AC failure, if 220V battery is not available / failed, the severe damages may occur to all seven bearings of Turbine, Generator &amp; exciter. Loss due to bearing failure is uncountable.  Approximate estimate cost of Turbine bearing is Rs. 50 Lakhs &amp; at least 2 months period is required for rehabilitation of system causing generation loss for next Two months period
</t>
  </si>
  <si>
    <t>PO placed vide BTPS/4385000469/No-0923 dated-28-09-2021.
Work completed on 12-02-2022 during AOH U-4. Capitalization done in FY-2021-22 of Rs.6.32 Cr .
Reason for Cost overrun:- The BTPS has floated the Open Tender vide RFx No-3000019299, In this open tender, the lowest L1 bidder was quoted the rate 4.96 Cr-Without GST (  PO amount was 6.32 Cr-With GST). Bidder also submitted the other Utility PO No-4000121930-M92-2018 dated 05-03-2018 of M/s. NTPC limited, Mouda Super Thermal Power Project, Mouda, Maharashtra-441104 for rate justification.</t>
  </si>
  <si>
    <t>Flue Gas Desulphurization (FGD) System for 500 MW Units (Total 8 Nos) of MSPGCL</t>
  </si>
  <si>
    <t>MERC/CAPEX/2020-2021/WFH/SBR/45</t>
  </si>
  <si>
    <t>Flue Gas Desulphurization (FGD) System for Bhusawal Unit 4-5</t>
  </si>
  <si>
    <t>Statutory requirement.</t>
  </si>
  <si>
    <t>•LOA (EPC Contract) : CE (P&amp;P)/3x500MW /Sch-B/FGD/No. 1239; Date:16-11-2023.
•Unit-4 completion period - April 2026 (29 months)
•Unit-5 completion period - July  2026 (32 months)</t>
  </si>
  <si>
    <t>Procurement of two BFP Cartridges &amp; one rotor of Turbine driven BFP &amp; at 500MW BTPS, Bhusawal</t>
  </si>
  <si>
    <t>MERC/CAPEX/2020-2021/WFO/SBR/49</t>
  </si>
  <si>
    <t>Procurement of two BFP Cartridges at 500MW BTPS, Bhusawal</t>
  </si>
  <si>
    <t>Material is received recently  but not installed/ not put in service till now. Hence, actual benefits are not calculated.
Expected benifites-
* Reduction in forced outages of pump.
* Reduction in downtime of machine during repair work.
* Increase in availability/healthiness of the pumps.
*Reduction in Auxiliary power consumption due to increase in efficiency of pumps.</t>
  </si>
  <si>
    <t xml:space="preserve">• PO dispatched vide BTPS/4385000468 /No-1014 dated 
  26-10-2021. 
• WCR Date-07-06-2022 and 16-07-2022
</t>
  </si>
  <si>
    <t>Procurement of one rotor of Turbine driven BFP at 500MW BTPS, Bhusawal</t>
  </si>
  <si>
    <t>Material is received but not installed/ not put in service till now. Hence, actual benefits are not calculated.
Expected benifites-
* Reduction in forced outages of pump.
* Reduction in downtime of machine during repair work.
* Increase in availability/healthiness of the pumps.
*Reduction in Auxiliary power consumption due to increase in efficiency of pumps.</t>
  </si>
  <si>
    <r>
      <t xml:space="preserve">* PO dispatched-4385000447/No-0668 dated 16-07-2021. 
* Material received at BTPS on 02-03-2022.
* WCR submitted on 11-04-2022.
* Capitalized in FY 2021-2022 of Rs.7.61 Cr.
</t>
    </r>
    <r>
      <rPr>
        <b/>
        <sz val="11"/>
        <rFont val="Calibri"/>
        <family val="2"/>
        <scheme val="minor"/>
      </rPr>
      <t xml:space="preserve">Reason for Cost overrun- </t>
    </r>
    <r>
      <rPr>
        <sz val="11"/>
        <rFont val="Calibri"/>
        <family val="2"/>
        <scheme val="minor"/>
      </rPr>
      <t>Approval of DPR scheme is proposed as per the budgetary offer received from M/s. BHEL Ref No. SB317M48008HYU017 dtd. 23.102.17. However, MERC in principle clearance for Procurement of one rotor of Turbine driven BFP is received vide letter No MERC/CAPEX/2020-2021/WFO/SBR/49 dtd. 08.03.2021. Accordingly, proposal is processed and enquiry for OEM procurement is sent to M/s. BHEL. But M/s. BHEL has quoted the price approx. 24.73% higher than the previously quoted price. Therefore, deviation clarification is demanded from M/s. BHEL for the quoted price and also asked for rate reasonability on the basis of NTPC Deepshikha, Angul P.O. No. 4000219019-M51-1026 dtdt. 08.04.219 available with this office. In reply M/s. BHEL provided justification for rate rise and also provided latest similar P.O. from NTPC Ltd SSC WR-I (Kawas) P.O. Aditya Nagar, Surat, Gujrat P.O. No. 4000256337-M51-1020 Dtd: 30.03.2021. Also, as a very special case, M/s. BHEL agreed to offer same price to MSPGCL as that of NTPC Ltd SSC WR-I (Kawas) subject to P.O. placement on or before 20.07.2021. Hence as per BHEL new offered price, the rate is higher by 19% than estimated rate.</t>
    </r>
  </si>
  <si>
    <t>CHP Improvement Schemes at 2X500MW, BTPS, Bhusawal</t>
  </si>
  <si>
    <t>MERC/CAPEX/2020-2021/WFH/SBR/09</t>
  </si>
  <si>
    <t>Revamping of Apron Feeder in CHP at 2X500MW, BTPS</t>
  </si>
  <si>
    <t>a) 01-09-2022 (Apron Feeder -2)
b) 05-11-2022  (Apron Feeder-3)</t>
  </si>
  <si>
    <t>Expected benefits-
• Reduction in plant outages.
• Reduction in maintenance cost.
• Reduction in wagon tippler outages.
• Improvement in performance of unloading.
• Demurrages will be reduced.</t>
  </si>
  <si>
    <t xml:space="preserve">• PO dispatched vide BTPS/ 4385000536/No-0128 dtd.27-01-2022.
• Work completed on 14-09-2022 and 20-11-2022. 
</t>
  </si>
  <si>
    <t>Design, engineering, manufacturing, supply, Erection and commissioning of short conveyor from stack yard to belt feeder 112 in CHP 2x500MW BTPS.</t>
  </si>
  <si>
    <t>Expected benefits-
• Improvement in reclaiming facility.
•Avoid generation loss in case of unavailability of stacker or conveyor 110.
•Enhance conveyor stream flexibility to operate stacking and reclaiming simultaneously.</t>
  </si>
  <si>
    <t>• PO Placed  vide BTPS /4385000597/0267) on 01-03-2023
• Work completed on 20-02-2024. Capitalization done in FY 2023-24 of Rs.3.96 Cr.
• IDC Component Rs. 0.0675241 Crore</t>
  </si>
  <si>
    <t>Design, engineering, manufacturing, supply, Erection and commissioning of stone grappler at Wagon Tippler No.3 in CHP 2x500MW BTPS.</t>
  </si>
  <si>
    <t>Expected benefits-
•Reduction in grilling work expenses.
•Reduction in time for grilling.
•Reduction in conveyor stream outages.
•Reduction in demurrages.
•Improved safety in grilling work.</t>
  </si>
  <si>
    <t>Procurement of suspended magnets in CHP 2x500MW BTPS.</t>
  </si>
  <si>
    <t xml:space="preserve">There is lots of foreign material received through coal rakes. This foreign material is prone to damage auxiliary such as wobbler feeder, crusher and conveyor belts etc. Hence, oil cooled suspended magnets are installed on conveyor belts. Due to these magnets foreign material arrested to go through wobbler and crusher. There is net following benefits are achieved by installation of magnets.
1) Conveyor belts tearing reduced by 40% tentatively.
2) Wobbler feeder outages reduced to 80%
3) Crusher hammer and internals damages reduced to 80%
4) Auxiliary availability increased effectively.
5) There is net saving in demurrage charges to be paid to railway on account of system failure. The expenditure towards demurrage charges saving is approx. 25 to 40K daily.
6) There is net saving in maintenance expenditure towards outages of conveyor belts, wobbler feeder, crusher and chute damages.
7) There is material saving achieved for attending various faults.  
8) There are several unmeasured benefits achieved due to which overall system outages are reduced and unloading constraints are overcome. 
9) There is net 25L to 30L approx. cost saving expected till end of the year from date of installation of suspended magnets.
</t>
  </si>
  <si>
    <t>* (T-272/2020)-PO distatched vide PO No. 4385000557/501/dtd.04-04-2022. 
* Material received on dated 06-04-2022. 100% Work Completed on 04-05-2022. WCR submitted on 10-05-2022. Capitalization done FY-2022-23 of Rs. 2.95 Cr.
* Work Completion date 04-05-2022</t>
  </si>
  <si>
    <t>Supply, Erection And Commissioning of Electro-Mechanical Drive to Apron Feeder at CHP 500MW</t>
  </si>
  <si>
    <t xml:space="preserve">
• Reduction in plant outages.
• Reduction in maintenance cost.
• Reduction in wagon tippler outages.
• Improvement in performance of unloading.
• Demurrages will be reduced.</t>
  </si>
  <si>
    <t>Tenderization is in process. Under Final Scrutiny.</t>
  </si>
  <si>
    <t>IDC on Short Conveyor</t>
  </si>
  <si>
    <t>Bhusawal: Unit 4-5 (3 Nos.)</t>
  </si>
  <si>
    <t xml:space="preserve">• Statutory norms of MPCB/CPCB/NGT achieved.
• Continuous monitoring of ambient air quality.
• Reduction in air pollution.
</t>
  </si>
  <si>
    <t>PO placed vide -HO/4370001152/No-0386 dated 08-01-2019. Work completed on dtd.05-06-2019. Capitalization done in FY-2019-20 of Rs.1.88 Cr in U#4 &amp; 5 and Rs.0.94 Cr. In U#3.
Addcap of maintenance period completed on 31-03-2023</t>
  </si>
  <si>
    <t>Bhusawal: Unit 4-5</t>
  </si>
  <si>
    <t xml:space="preserve">As per CPA, HO Email dated 15-09-2022, Procurement proposal for this scheme  is to be cancelled on the
basis of MoEF&amp;CC Notification No. S.O. 1561(E), dated 21.05.2020. </t>
  </si>
  <si>
    <t>HO
DPR 8</t>
  </si>
  <si>
    <t>Replacement of Fire Tenders at Various Power Stations of Mahagenco</t>
  </si>
  <si>
    <t>MERC/CAPEX/20172018/4653</t>
  </si>
  <si>
    <t>Advance Multipurpose Fire Tender for BTPS 4-5</t>
  </si>
  <si>
    <t>* Replacement of Fire Tenders may be treated as direct benefits towards life and property safety measures, not only to the organization but also to the Nation.</t>
  </si>
  <si>
    <t>* PO dispatched vide. HO/4370001800/5197 dtd.24-05-2019.  Adv 1.78 cr.
*Advanced MFT 1 No. is received at BTPS on 26-08-2021. 
*Capitalization done in FY-2021-22 of Rs.1.78 Cr.</t>
  </si>
  <si>
    <t>Normal Multipurpose Fire Tender for BTPS 4-5</t>
  </si>
  <si>
    <t>• Normal MFT-PO placed vide-HO/ 4370002840/02009 dated 02-03-2022 on M/s. Hi-Tech Services, Pune. 
• NMFT received at BTPS on 22-02-2023. 
• Work completed on 27-02-2023. Capitalization done in FY 2022-23 of 
   Rs.2.18 Cr.</t>
  </si>
  <si>
    <t>HO
DPR 10</t>
  </si>
  <si>
    <t>Implementation of IB recommendations- Civil works at various TPS of Mahagenco</t>
  </si>
  <si>
    <t>MERC/CAPEX/20172018/0177</t>
  </si>
  <si>
    <t>*Concrete compound wall construction with concertina coil around periphery of plant at various locations for Safety and security of plant and colony residence area .</t>
  </si>
  <si>
    <t>* Purchase Order placed vide  No.4370001644 dtd.19/09/2018. 
* 100% Work Completed on 15-07-2021.WCR is submitted on 05-10-2021.
*Scheme capitalized in FY 2021-22 of Rs.8.30 Cr.
* Add Cap of Compound wall 0.49 Cr and Price Variation 0.39 Cr</t>
  </si>
  <si>
    <t>Procurement of assembly of baskets for Air Pre-heater of type 31.5 VIM 2000 (72° PA), Replacement of thermal insulation of Boiler, Ducts &amp; Steam Pipelines and Coal Mill Gear Box in 2x500MW at BTPS, Bhusawal</t>
  </si>
  <si>
    <t>MERC/CAPEX/2021-2022/ SBR/ 15</t>
  </si>
  <si>
    <t>Procurement of assembly of baskets for Air Preheater of type 31.5 VIM 2000 (72° PA) for Unit-4&amp;5</t>
  </si>
  <si>
    <t>* Total Heat Rate improved by 26.12 Kcal/Kwh.
* Coal saved =78.36 MT/Per day.
* Amount Saved= 12.01  Cr./ Year.</t>
  </si>
  <si>
    <t xml:space="preserve">* PO dispatched -vide -HO/4370002768/No- 9480 dated 22-09-2021.
* Work completed in U#4 AOH. WCR submitted on dtd.17-02-2022. *Scheme capitalized in FY 2021-22 of Rs.8.41 Cr.
Reason for Cost Overrun- The major components of APH Baskets is Steel (85%). From the various statistics taken from web sites of some reputed organization involved in maintaining, analyzing and forecasting the demand, supply and price data of various metal components and their alloys, It can be seen that there has been tremendous rise in steel prices by almost 60-100 %  and the rising trend is still continue. Further, there has been a rise of almost 22% in transportation cost. </t>
  </si>
  <si>
    <t>Replacement of thermal insulation of Boiler, Ducts &amp; Steam Pipelines along with supply</t>
  </si>
  <si>
    <t>• The Generation loss will be avoided due to heat loss to environment.
• Heat rate of boiler will be improved.
• This scheme will improve Boiler life by avoiding further degradation due to aging.
• Improvement in working environment as reduction in heat loss to environment.</t>
  </si>
  <si>
    <t>Supply of XRP-1043 coal mill gearbox spares in unit-4&amp;5.</t>
  </si>
  <si>
    <t>• Huge Generation loss on account of non availability of coal mill will be reduced.
• Mill availability will be maintained.</t>
  </si>
  <si>
    <t>• PO approval received dtd.17-09-2022.
• Work completed on 02-04-2024. Capitalization done in FY 2024-25 of Rs.3.70 Cr.</t>
  </si>
  <si>
    <t>Up-gradation of Operating System of Max DNA DCS, GE Fanuc PLC system &amp; Schneider PLC system &amp; Procurement of Critical Insurance spares for PA and FD fans System at 2 x 500 MW Units BTPS Bhusawal</t>
  </si>
  <si>
    <t>MERC/CAPEX/2023-2024/0178</t>
  </si>
  <si>
    <t>Up-gradation of Existing MaxDNA System (HMI) at 500MW BTPS, Bhusawal</t>
  </si>
  <si>
    <t>• Emergency can be avoided by smooth operation of operating station by HMI Upgradation.
• The possibilities of catastrophic failures are minimum.</t>
  </si>
  <si>
    <t>Up-gradation of GE IP (GE-Fanuc) make PLC system (HMI) installed at AHP, CPU plant, FOPH, FWPH and Mill Reject system at 2x500MW BTPS, Bhusawal.</t>
  </si>
  <si>
    <t xml:space="preserve">•To avoid generation loss due to emergency caused due to malfunctioned in HMI.  
•Reduce repair &amp; maintenance cost.
•Increased reliability &amp; stability of process.    </t>
  </si>
  <si>
    <t>Up-gradation of Schneider PLC System at 2x500MW, BTPS, Bhusawal</t>
  </si>
  <si>
    <t>Procurement of Rotor assembly with blade set for PA and FD fan at 2 X 500 MW BTPS Bhusawal</t>
  </si>
  <si>
    <t>•Increase in Fan loading capacity.
•Furnace draft will be maintained.
•Reduction in coal consumption.
•Improvement in unit heat rate
•Improvement in PLF.</t>
  </si>
  <si>
    <t>HO
DPR 13</t>
  </si>
  <si>
    <t>Construction of new Administrative Building for Mahagenco at Vidyut Bhawan, Katol Road, Nagpur</t>
  </si>
  <si>
    <t>MERC/CAPEX/2021-2022/MSPGCL/063</t>
  </si>
  <si>
    <t>Status to be updated by HO</t>
  </si>
  <si>
    <t>HO
DPR 16</t>
  </si>
  <si>
    <t>Centralized Monitoring Solution</t>
  </si>
  <si>
    <t>MERC/CAPEX/MSPGCL/2023-24/0576</t>
  </si>
  <si>
    <t>Improvement of Loadability and Availability of Coal Handling Plant at BTPS, Bhusawal</t>
  </si>
  <si>
    <t>MERC/CAPEX/MSPGCL/2024-25/0309</t>
  </si>
  <si>
    <r>
      <t>Scheme-1:-</t>
    </r>
    <r>
      <rPr>
        <sz val="11"/>
        <color rgb="FF000000"/>
        <rFont val="Bookman Old Style"/>
        <family val="1"/>
      </rPr>
      <t>Design Engineering, Supply, Erection, commissioning, Extension of travel Length &amp; Capacity Enhancement of coal yard with additional drive system of stacker reclaimer conveyor No. 110 at in coal handling Plant BTPS.</t>
    </r>
  </si>
  <si>
    <t>•	Increased Stack Yard capacity.
•	Loadability and availability will get increased.
•	Will minimize dozer operation.
•	Dedicated stacking can be done.
•	Effective bunkering can be done.</t>
  </si>
  <si>
    <r>
      <t>Scheme-2:-</t>
    </r>
    <r>
      <rPr>
        <sz val="11"/>
        <color rgb="FF000000"/>
        <rFont val="Bookman Old Style"/>
        <family val="1"/>
      </rPr>
      <t>Design, Engineering, Rectification, Erection &amp; Commissioning of Z point at Conveyor 108A &amp; B at CHP-500MW.</t>
    </r>
  </si>
  <si>
    <t>•	No. of Z points of conveyor 108A and B will be reduced.
•	Reduction in fatigue failures of conveyor belts. 
•	Reduction in belt joint failures.
•	Increase belt life.
•	Reduction in probability of hampering complete bunkering of unit 4 and 5.</t>
  </si>
  <si>
    <r>
      <t>Scheme-3:-</t>
    </r>
    <r>
      <rPr>
        <sz val="11"/>
        <color rgb="FF000000"/>
        <rFont val="Bookman Old Style"/>
        <family val="1"/>
      </rPr>
      <t>Design, Engineering and provision of material lifting arrangement for crusher floor, wobbler feeder  &amp; C-105 floor In CHP BTPS.</t>
    </r>
  </si>
  <si>
    <t>•	Safely lifting and shifting  of material can be done.
•	Shifting of material can be done in minimum possible time.
•	Outage hours will get reduced.
•	Shifting of material without damages can be ensured.</t>
  </si>
  <si>
    <r>
      <t>Scheme-4:-S</t>
    </r>
    <r>
      <rPr>
        <sz val="11"/>
        <color rgb="FF000000"/>
        <rFont val="Bookman Old Style"/>
        <family val="1"/>
      </rPr>
      <t>tructural up-gradation and rehabilitation of reversible yard conveyor in coal handling plant.</t>
    </r>
  </si>
  <si>
    <t>•	Availability of conveyor will get increased.
•	Capacity will get restored.
•	Structural damages will get nullified.
•	Major outages can be avoided.</t>
  </si>
  <si>
    <r>
      <t>Scheme-5:-</t>
    </r>
    <r>
      <rPr>
        <sz val="11"/>
        <color rgb="FF000000"/>
        <rFont val="Bookman Old Style"/>
        <family val="1"/>
      </rPr>
      <t>Design, Engineering, Erection and commissioning of Receiving and discharge chutes of wobbler feeders in CHP BTPS.</t>
    </r>
  </si>
  <si>
    <t>•	Coal leakages will get minimized.
•	Fugitive emission of dust can be restricted.
•	Availability will get increased.
•	Chute choke ups will get minimized.
•	Better coal flow can be ensured.</t>
  </si>
  <si>
    <r>
      <t xml:space="preserve">Scheme-6: </t>
    </r>
    <r>
      <rPr>
        <sz val="11"/>
        <color theme="1"/>
        <rFont val="Bookman Old Style"/>
        <family val="1"/>
      </rPr>
      <t>Procurement of 3 Nos. of Bulldozers at BTPS, Bhusawal.</t>
    </r>
  </si>
  <si>
    <t>•	To avoid generation loss due to poor bunkering. 
•	Reduce the recurring expenditure on repair &amp; maintenance.
•	Increased reliability &amp; availability of dozers.
•	Helps in improving the system performance &amp; efficiency by purchasing new dozers.</t>
  </si>
  <si>
    <t>Performance Improvement of Coal Handling Plant at BTPS-U4 &amp; 5, Bhusawal</t>
  </si>
  <si>
    <t>MERC/CAPEX/MSPGCL/2024-25/0310</t>
  </si>
  <si>
    <r>
      <t>Scheme-1</t>
    </r>
    <r>
      <rPr>
        <sz val="11"/>
        <color theme="1"/>
        <rFont val="Bookman Old Style"/>
        <family val="1"/>
      </rPr>
      <t>: Revamping, Modification of Gravity take-up and Drive Augmentation of Bunkering conveyor in CHP BTPS</t>
    </r>
  </si>
  <si>
    <t>•Unloading and bunkering rate will be improved.
• System availability will get increased.
•Outage during Belt replacement will reduce.
•Cost saving on account of wastage of belt can be saved, Cost of belt joint and maintenance can be saved.</t>
  </si>
  <si>
    <t>MERC In-Principal Clearance Ref.  
No.0310 Date:17-06-2024.</t>
  </si>
  <si>
    <r>
      <t>Scheme-2</t>
    </r>
    <r>
      <rPr>
        <sz val="11"/>
        <color theme="1"/>
        <rFont val="Bookman Old Style"/>
        <family val="1"/>
      </rPr>
      <t>: Revamping of coal diverting chutes in CHP 2x500 MW BTPS</t>
    </r>
  </si>
  <si>
    <t>•Conveyor system availability will increase.
•Smooth coal flow can be establishing avoiding chute choke up incidences.
•Cleaning will get improved.
•Demurrage charges will get reduced.
•Maintenance of chutes will get reduced.</t>
  </si>
  <si>
    <r>
      <t>Scheme-3</t>
    </r>
    <r>
      <rPr>
        <sz val="11"/>
        <color theme="1"/>
        <rFont val="Bookman Old Style"/>
        <family val="1"/>
      </rPr>
      <t>: Revamping and structural augmentation of Reversible feeder conveyors in CHP-BTPS.</t>
    </r>
  </si>
  <si>
    <t>•Belt will be running with sufficient tension.
•Belt running out problems will be reduced.
•Coal spillages problems will be reduced.
•Coal chokes up &amp; overloading problems will be reduced</t>
  </si>
  <si>
    <r>
      <t>Scheme-4</t>
    </r>
    <r>
      <rPr>
        <sz val="11"/>
        <color theme="1"/>
        <rFont val="Bookman Old Style"/>
        <family val="1"/>
      </rPr>
      <t>: Revamping and up-gradation of air &amp; ventilation system in Coal Handling Plant-BTPS.</t>
    </r>
  </si>
  <si>
    <t>•Enhance capacity of air handling unit or ventilation system will get improved.
•Energy efficiency can be improved.
•100% fresh air.
•Better working atmosphere can be ensured and efficiency of working area can be improved.</t>
  </si>
  <si>
    <r>
      <t>Scheme-5</t>
    </r>
    <r>
      <rPr>
        <sz val="11"/>
        <color theme="1"/>
        <rFont val="Bookman Old Style"/>
        <family val="1"/>
      </rPr>
      <t>: Revamping, Structural &amp; drive up-gradation  of conveyor-111 in CHP-BTPS.</t>
    </r>
  </si>
  <si>
    <t>• Conveyor system availability will increase.
• Conveyor Loadability will get increased.
• Demurrage charges will get reduced.
• Chute leakages will get reduced.</t>
  </si>
  <si>
    <r>
      <t>Scheme-6</t>
    </r>
    <r>
      <rPr>
        <sz val="11"/>
        <color theme="1"/>
        <rFont val="Bookman Old Style"/>
        <family val="1"/>
      </rPr>
      <t>: Revamping and structural up-gradation of conveyor system in tunnel area in Coal Handling Plant-BTPS.</t>
    </r>
  </si>
  <si>
    <r>
      <t>Scheme-7</t>
    </r>
    <r>
      <rPr>
        <sz val="11"/>
        <color theme="1"/>
        <rFont val="Bookman Old Style"/>
        <family val="1"/>
      </rPr>
      <t>: Erection &amp; Commissioning of Travelling type coal chutes in CHP BTPS.</t>
    </r>
  </si>
  <si>
    <t>•Reliability will be improved.
•System outages will be reduced.
•Unloading &amp; stacking outages will be reduced.
•Structural stability will be improved.</t>
  </si>
  <si>
    <r>
      <t>Scheme-8</t>
    </r>
    <r>
      <rPr>
        <sz val="11"/>
        <color theme="1"/>
        <rFont val="Bookman Old Style"/>
        <family val="1"/>
      </rPr>
      <t>: Revamping of scoop cooling system installed in coal handling plant BTPS.</t>
    </r>
  </si>
  <si>
    <t>•Effective cooling can be ensured.
•Efficiency of Fluid coupling will get increased.</t>
  </si>
  <si>
    <r>
      <t>Scheme-9</t>
    </r>
    <r>
      <rPr>
        <sz val="11"/>
        <color theme="1"/>
        <rFont val="Bookman Old Style"/>
        <family val="1"/>
      </rPr>
      <t>: Retrofitting and Up-gradation of Dewatering system in CHP-BTPS.</t>
    </r>
  </si>
  <si>
    <t>• All the drain water will be pumped to ETP and system availability on account of accumulation of water at the tunnel will not get hampered.</t>
  </si>
  <si>
    <t>Asset Transfer from Projects</t>
  </si>
  <si>
    <t>SP Busduct Unit 4&amp;5</t>
  </si>
  <si>
    <t>(ii) DPR Yet to be Submitted to MERC</t>
  </si>
  <si>
    <t xml:space="preserve">FY 2025-26 </t>
  </si>
  <si>
    <t>Up gradation of coal mill reject system, Procurement of Air heater baskets &amp; spare Air heater gearbox at 2X500MW, Bhusawal TPS</t>
  </si>
  <si>
    <t xml:space="preserve">Work of Capacity enhancement, Engineering, modification, upgradation including spares and consumables and complete commissioning including operation and comprehensive maintenance for 12 months for coal mill reject handling system  in Unit-4&amp;5, 2X500MW, BTPS, Bhusawal </t>
  </si>
  <si>
    <t>Procurement of assembly of baskets &amp; seals for Air Preheater of type 31.5 VIM 2000 (72° PA), in Unit-5 2x500MW, BTPS Bhusawal</t>
  </si>
  <si>
    <t>Procurement of APH Gearbox to improve availability and performance of Air preheaters at 2 x 500 MW Units, BTPS, Bhusawal. </t>
  </si>
  <si>
    <t>Boiler Reliability &amp; Availability improvement at 2x500MW, Bhusawal TPS.</t>
  </si>
  <si>
    <t xml:space="preserve">Procurement &amp; Replacement Of LTSH Coils for Unit - 4 &amp; 5 (500MW) TPS, Bhusawal. </t>
  </si>
  <si>
    <t>Procurement &amp; Replacement Of Economiser Coils For Unit - 4 &amp; 5 (500MW) TPS, Bhusawal</t>
  </si>
  <si>
    <t>Procurement of assembly of APH Baskets Unit-4</t>
  </si>
  <si>
    <t>Procurement of APH Gearbox Unit-4&amp;5</t>
  </si>
  <si>
    <t>Various Turbine side reliability improvement schemes at 2x500MW, BTPS</t>
  </si>
  <si>
    <t>Reliability improvement of Atlas copco make (mode -ZR -500)</t>
  </si>
  <si>
    <t xml:space="preserve">Reliability improvement of  HPCV Valve with procurment cone assy </t>
  </si>
  <si>
    <t>Reliability improvement of Alfa Laval make Portable COP</t>
  </si>
  <si>
    <t>Reliability improvement of Seal Oil System with procurement of various U Seal rings</t>
  </si>
  <si>
    <t>Reliability improvement of Unit-4 &amp; 5 NDCT with replacement of PVC fills and allied work</t>
  </si>
  <si>
    <t>Upgradation of Chiller plant, GEHO pump house &amp; OLTC PLC system.</t>
  </si>
  <si>
    <t>IB recommended scheme related (Civil and Electrical)</t>
  </si>
  <si>
    <t>Work of fabricating and erecting structural steel watch tower (10 Nos.) in major store, plant area, ash pipe line and ash bund area at BTPS, Deepnagar.</t>
  </si>
  <si>
    <t>Work of construction of ladies frisking room for security section and visitors room near factory gate and providing at 2x500MW, BTPS, Deepnagar.</t>
  </si>
  <si>
    <t>Work of dismantling and construction old weathered UCR compound wall on bhogawati riverside in 2x500 MW at BTPS.</t>
  </si>
  <si>
    <t>Construcion of RCC comppund wall from remote silo to pimpri sekam railway siding cabin at BTPS</t>
  </si>
  <si>
    <t>Installation of Highmast towers</t>
  </si>
  <si>
    <t xml:space="preserve">FY 2026-27 </t>
  </si>
  <si>
    <t>Coal Mill Performance Improvement and Life Enhancement of BHEL Make XRP-1043 Coal Mills in 2x500 MW BTPS.</t>
  </si>
  <si>
    <t xml:space="preserve">Upgradation of Coal feeder weighing system and revamping of Boiler side pneumatic dampers system of Hot air, cold air, FD,PA and burner tilt at Bhusawal TPS 2x500W </t>
  </si>
  <si>
    <t xml:space="preserve">Upgradation of Coal feeder weighing system  at Bhusawal TPS 2x500W </t>
  </si>
  <si>
    <t>Up-gradation of carbon monoxide analyzer in flue gas installed</t>
  </si>
  <si>
    <t>Up- Gradation of condition monitoring &amp; analysis system for TSI of Main Turbine , TDBFP &amp; BOP System 2x500 MW BTPS.</t>
  </si>
  <si>
    <t xml:space="preserve">Revamping of Boiler side pneumatic dampers system of Hot air, cold air, FD,PA and burner tilt at BTPS 2X500MW </t>
  </si>
  <si>
    <t>Procurement of various high pressure valves at 2x500 MW.</t>
  </si>
  <si>
    <t>Schemes for Turbine side auxiliaries systems Performance &amp; efficiency improvement schemes at 2X500MW, Bhusawal TPS</t>
  </si>
  <si>
    <t>Procurement of BFP Booster Pump (FA-1B-75) complete assembly (04 Nos) at 500MW BTPS, Bhusawal.</t>
  </si>
  <si>
    <t>Procurement of Vacuum Pump complete assembly with recirculation Pump (01 No) and Impeller assembly (2 Nos) at 500MW BTPS, Bhusawal.</t>
  </si>
  <si>
    <t>Revamping, modification of outdoor ducting of Air ventilation system at 2x500MW BTPS, Bhusawal.</t>
  </si>
  <si>
    <t>Performance improvement of compressors</t>
  </si>
  <si>
    <t>Centralized Water Management System at BTPS, Deepnagar, Bhusawal</t>
  </si>
  <si>
    <t>Revamping and upgradation of Forbes Marshal make Steam &amp; Water Analysis System Installed at 2x500MW BTPS.</t>
  </si>
  <si>
    <t>Implementation of flexible operation solutions for technical minimum operation of 2x500MW, BTPS.</t>
  </si>
  <si>
    <t xml:space="preserve">FY 2027-28 </t>
  </si>
  <si>
    <t>Supply,Installation and commissioning of Boiler performance and reliability improvement schemes at BTPS 2x500MW.</t>
  </si>
  <si>
    <t>Procurement of  M/s Torishima, Japan make, 350 KW, 6.6KV, Boiler Circulating Water (BCW) Pump Motors at BTPS 2x500MW.</t>
  </si>
  <si>
    <t>Installation commissioning of Online DC Earth fault monitoring system at 220V DCDB at 500MW U-4&amp;5.</t>
  </si>
  <si>
    <t>Design,  supply, erection, comms. Of ID VFD &amp; AHP transformers for 2x500MW BTPS.</t>
  </si>
  <si>
    <t>Design,supply,installation and commissioning of Energy efficient  System for illumination at BTPS 2x500MW.</t>
  </si>
  <si>
    <t>Procurement of  Main Gear unit assembly of electrical Actuators in 2x500MW BTPS</t>
  </si>
  <si>
    <t>Supply, erection, commissioning &amp; site testing of 360V, 750 AH Station UPS Battery Sets  along with accessories for Unit No.5 at BTPS 2x500MW.</t>
  </si>
  <si>
    <t xml:space="preserve">Upgradation of EWLI system  at Bhusawal TPS 2x500W </t>
  </si>
  <si>
    <t>Performance improvement of Bottom ash evacualtion system to reduce auxillary power consumption, water consumption &amp; environmental pollution at 2X500MW, Bhusawal TPS</t>
  </si>
  <si>
    <t>Modification of latest design AR 200/550 Ash slurry pump assembly including auxillaries at AHP, 2x500MW, BTPS.</t>
  </si>
  <si>
    <t>Modification of single roll reversible clinker grinder system at AHP, 2x500MW, BTPS</t>
  </si>
  <si>
    <t>Modification of bottom ash &amp; coarse ash slurry pipe line disposal system at AHP 2X500 MW BTPS</t>
  </si>
  <si>
    <t>Procurement of Boiler Coils (CRH &amp;HRH) at 2x500MW BTPS.</t>
  </si>
  <si>
    <t>Procurement of ID fan impeller with shaft at 2x500 MW BTPS.</t>
  </si>
  <si>
    <t>Procurement SH,RH,MS outlet valves with actuator and motor at 2x500 MW BTPS.</t>
  </si>
  <si>
    <t>CHP Infrastructure Development Schemes</t>
  </si>
  <si>
    <t>Supply, installation and commissioning PLC system on a single platform to match with external aspect &amp; process improvement at CHP 2x500MW BTPS.</t>
  </si>
  <si>
    <t>Supply, installation, retrofitting and commissioning of HT breaker at HT Switchgear in CHP 2x500MW BTPS</t>
  </si>
  <si>
    <t>Supply, installation, retrofitting and commissioning of LT breaker at LT Switchgear in CHP 2x500MW BTPS.</t>
  </si>
  <si>
    <t>Supply, Installation &amp; Commissioning of  Magnetic Separators at CHP 2x 500MW BTPS Deepnagar</t>
  </si>
  <si>
    <t>Supply, Installation &amp; Commissioning Flameproof lighting at CHP 2x 500MW BTPS Deepnagar</t>
  </si>
  <si>
    <t>Supply, Installation &amp; upgradation of HT /LT relay at CHP BTPS.</t>
  </si>
  <si>
    <t>Detail  Project report of improvement of Unloading in Coal handling Plant BTPS.</t>
  </si>
  <si>
    <t>Procurement of 04 no of locomotives for Coal handling Plant BTPS.</t>
  </si>
  <si>
    <t>Design Supply Erection and Comission of Hour glass shape Coal diverting chutes with extra life wear resistant plates in CHP, BTPS.</t>
  </si>
  <si>
    <t>Design Supply Erection and Comission of Inverted Y Shape  Coal diverting chutes with extra life wear resistant plates in CHP, BTPS.</t>
  </si>
  <si>
    <t>Design Supply Erection and Comission of coal diverting chutes with extra life wear resistant plates in CHP BTPS.</t>
  </si>
  <si>
    <t>Work of Revamping and structural up-gradation of conveyor 104A&amp;B in Coal Handling Plant-BTPS.</t>
  </si>
  <si>
    <t>Supply and Installation of  reliability improvement schemes for HT/LT switchgears and auxilliaries at BTPS 2x500MW.</t>
  </si>
  <si>
    <t>Procurement of HT Motors of various ratings at 2x500MW.</t>
  </si>
  <si>
    <t>Procurement of Dry type transformers of varoius ratings at 2x500MW.</t>
  </si>
  <si>
    <t>Procurement of Inverter and converter trolleys of GEHO Pump at 2x500MW.</t>
  </si>
  <si>
    <t>Procurement of Vacuum Contactors of various ratings for  HT Switchgears  at BTPS 2x500MW.</t>
  </si>
  <si>
    <t>Supply, erection, commissioning &amp; site testing of 360V, 750 AH Station UPS Battery Sets  along with accessories for Unit No.4 at BTPS 2x500MW’.</t>
  </si>
  <si>
    <t>Updragation of Sox-Nox analyzer,PM analyzer, ETP analyzer at BTPS 2X500MW.</t>
  </si>
  <si>
    <t>Upgradation of O2 analyzer at BTPS 2X500MW</t>
  </si>
  <si>
    <t>Revamping &amp; Upgradation Of Vibration Monitoring Rack From VM7 TO VM7B at BTPS 2X500MW</t>
  </si>
  <si>
    <t>Procurement &amp; Installation of High Mast towers in various location in BTPS</t>
  </si>
  <si>
    <t>Renovation and Modification of Colony Electric Supply System to improve availability and reliability of supply system at BTPS Colony, Deepnagar</t>
  </si>
  <si>
    <t>Work of  Overhauling repairs of U-5 350KW BCWP motor of M/s Torishima make at BTPS 2x500MW.</t>
  </si>
  <si>
    <t xml:space="preserve">FY 2028-29 </t>
  </si>
  <si>
    <t>APH baskets with main drive Gear box and lub oil skids with motor at 2x500MW BTPS</t>
  </si>
  <si>
    <t>Detail Project Report for  Design, Engineering, Supply, Installation and commissioning of 1500TPH Stacker cum re-claimer in Coal Handling Plant-BTPS.</t>
  </si>
  <si>
    <t>Design, Engineering, Supply, Installation and commissioning of 1500TPH Stacker cum re-claimer in Coal Handling Plant-BTPS.</t>
  </si>
  <si>
    <t>Enhancement of Unloading &amp; Stacking Capacity of CHP.</t>
  </si>
  <si>
    <t>Design Supply errection &amp; Comissioning of Open Wagon Tippler along with stacking and reclaiming yard conveyors at CHP stack yard.</t>
  </si>
  <si>
    <t>Upgradation rail  track in CHP -BTPS</t>
  </si>
  <si>
    <t>Revamping and Upgradation of rail track from 52KG to 60KG in CHP-BTPS.</t>
  </si>
  <si>
    <t>Contract for modification of Wobbler feeder in CHP-2X500MW</t>
  </si>
  <si>
    <t>Contract for Revamping of Apron Feeder in CHP-2X500MW</t>
  </si>
  <si>
    <t> Procurement of double lip skirt sealing &amp; tracking idler in CHP at 2x500MW, BTPS</t>
  </si>
  <si>
    <t>Supply, erection &amp; commissioning of vibrating feeder in CHP at 2x500MW, BTPS</t>
  </si>
  <si>
    <t xml:space="preserve"> Coal chutes with extra life wear resistance plates in CHP at 2X500MW</t>
  </si>
  <si>
    <t xml:space="preserve">Epoxy Painting upto all height to structural steel work in main plant boiler side area and CHP area </t>
  </si>
  <si>
    <t xml:space="preserve"> Rectification of Belt feeder &amp; Gravity Take-up  in CHP-2X500MW.</t>
  </si>
  <si>
    <t>Coal diverting chutes in CHP at 2X500MW.</t>
  </si>
  <si>
    <t>Supply of Conveyor Pulleys with Ceramic lagging at CHP-2X500MW, BTPS, Bhusawal</t>
  </si>
  <si>
    <t xml:space="preserve">Non-DPR Project Report for  Design, Supply,Erection &amp; Commissioning of High Performance Energy Chain System for Side Arm Charger at 2x500 at CHP </t>
  </si>
  <si>
    <t>Implementation of Energy Conservation Demonstration Project in buildings of BTPS 2x500MW</t>
  </si>
  <si>
    <t>Installation of Fire &amp; Explosion Prevention system at Bhusawal 500MW Unit-4.</t>
  </si>
  <si>
    <t>150 W &amp; 40 W LED FIXTURES AT TG HOUSE BUILDING 2X500MW</t>
  </si>
  <si>
    <t>JUMBO DEESERT AIR COOLERS FOR POWER TRANSFORERS</t>
  </si>
  <si>
    <t>GEN ASSET (ALMIRAH,TABLE &amp; CHAIR) (10801)</t>
  </si>
  <si>
    <t>LAPTOP, 50 INCH TV,PRINTER,PROJECTOR,DESKTOP,UPS &amp; ETS. (10901)</t>
  </si>
  <si>
    <t>RESTAURANT EQUIP COMPOSTING MACHINE</t>
  </si>
  <si>
    <t>OFFICE TABLE,STORGE RACK,FAN</t>
  </si>
  <si>
    <t>CAMERAS</t>
  </si>
  <si>
    <t>VELHALA ASH BUND RD WORK</t>
  </si>
  <si>
    <t>CONCERETE ROAD FROM DIESEL PUMP TO 500MW FACTORY G</t>
  </si>
  <si>
    <t>Admin Building</t>
  </si>
  <si>
    <t>The expenditure is on Architectural Design and Conceptual Planning of Admin Building at Bhusawal. The PO is initiated by O/o CE (Civil III)</t>
  </si>
  <si>
    <t>Furniture &amp; Fixture</t>
  </si>
  <si>
    <t>Air Purifiers 13-04-2022
Office Chairs &amp; Exec Chairs - 28-11-2022
Watr cooler 29-08-2022
Ice lined Refridgerator - 30-09-2022
Split Air Conditioner - 12-09-2022</t>
  </si>
  <si>
    <t>Multifeeder Scanner - 13-05-2022
Dot Matri Printer - 03-04-2022</t>
  </si>
  <si>
    <t>S Type Chairs - 10-10-2023
Water Heaters - 14-03-2024</t>
  </si>
  <si>
    <t>CCTV - 07-11-2023
Printers - 31-03-2024
Franking Machine - 31-03-024</t>
  </si>
  <si>
    <t>Work of repairs of 350 KW BCWP-4B &amp; BCWP-5B motor of M/s. Torishima make at BTPS 2x500 MW</t>
  </si>
  <si>
    <t xml:space="preserve">•Due to availability of spare motor, failed motor can be  
  replaced in short duration. 
•Generation loss will be minimized
</t>
  </si>
  <si>
    <t>* PO Number 4385000600
* WCR Date - 15-05-2023 and 22-07-2023</t>
  </si>
  <si>
    <t>ABC Powder Type and Foam Type Composite Fire Extinguisher</t>
  </si>
  <si>
    <t xml:space="preserve">• Ensure Avaiilabilty of fire extinguisher and for the Safety of Plant. </t>
  </si>
  <si>
    <t>* PO Number 4500128925
* WCR Date - 03-01-2024</t>
  </si>
  <si>
    <t>Withdrawal of capex from Project (LD - Passenger Lifts)</t>
  </si>
  <si>
    <t>Asset No 1501005993</t>
  </si>
  <si>
    <t>Allowable Capitalisation</t>
  </si>
  <si>
    <t>Probable Disallowance</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</si>
  <si>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</si>
  <si>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</si>
  <si>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</si>
  <si>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</si>
  <si>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</si>
  <si>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</si>
  <si>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</si>
  <si>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</si>
  <si>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</si>
  <si>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</si>
  <si>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</si>
  <si>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</si>
  <si>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LP/SBC Purity (%)</t>
  </si>
  <si>
    <t>MSPGCL: Bhusawal U # 4-5</t>
  </si>
  <si>
    <t>MTR Petition Formats - Generation</t>
  </si>
  <si>
    <t>• PO Dispatched  vide BTPS /4385000667/1584) on 17-10-2023
• Material Expected in Nov -24</t>
  </si>
  <si>
    <t>• Tender -T-74/2021, RFx No-3000025763 (2nd Time) was published from 17-02-2022 &amp; further extended up to 13-04-2022. 
• No bidder is participated, Hence, Amendmend in QR is proposed &amp; submitted to HO for approval vide ltr No-1008 dated 07-05-2022. QR approval received dtd.17-06-2022. 
•Implementation of scheme in phase manner for Unit-4&amp;5. 
•Seprate proposal for U-4 &amp; U-5 are prepared are under process at CPA.
• PR approval received (110015621) on Dated: 30/7/24. (UNIT-4)
• PR approval received (110015623) on Dated: 29/8/24.(UNIT-5)
• Tender Published.</t>
  </si>
  <si>
    <t xml:space="preserve">• MERC In-Principal Clearance Ref. No.0178; Date:11-03-2024.
• Tender Published.
• Approval for Deviations to Terms &amp; Conditions  &amp; opening price 
    bid on single bid.( Disp No.10667;  Date: 11-10-24) </t>
  </si>
  <si>
    <r>
      <t xml:space="preserve">• MERC In-Principal Clearance Ref. No.0178; Date:11-03-2024.
• PO submitted to HO for approval  on 31-03-2024
• PO approval no 04587 on dated  8-05-2024
• Material delivery period 12 weeks from the date of techno- 
   commercially PO.
• </t>
    </r>
    <r>
      <rPr>
        <b/>
        <sz val="11"/>
        <rFont val="Calibri"/>
        <family val="2"/>
        <scheme val="minor"/>
      </rPr>
      <t>WCR received on 05.09.2024</t>
    </r>
  </si>
  <si>
    <r>
      <t>• Approval of PO ( Disp No.03784; Date:08-04-2024.
• Material delivery period 18 Months expected delivery in   
   Oct-2025. 
•</t>
    </r>
    <r>
      <rPr>
        <b/>
        <sz val="11"/>
        <rFont val="Calibri"/>
        <family val="2"/>
        <scheme val="minor"/>
      </rPr>
      <t xml:space="preserve"> Material received on 24 June-24</t>
    </r>
  </si>
  <si>
    <r>
      <rPr>
        <b/>
        <sz val="11"/>
        <rFont val="Calibri"/>
        <family val="2"/>
        <scheme val="minor"/>
      </rPr>
      <t>PA FAN:</t>
    </r>
    <r>
      <rPr>
        <sz val="11"/>
        <rFont val="Calibri"/>
        <family val="2"/>
        <scheme val="minor"/>
      </rPr>
      <t xml:space="preserve">
•PO Placed (Disp. No 2358) on 22-04-2024.
•Material delivery period 12 Months expected delivery in 
  April-2025.
• </t>
    </r>
    <r>
      <rPr>
        <b/>
        <sz val="11"/>
        <rFont val="Calibri"/>
        <family val="2"/>
        <scheme val="minor"/>
      </rPr>
      <t>WCR received on 07-10-24</t>
    </r>
    <r>
      <rPr>
        <sz val="11"/>
        <rFont val="Calibri"/>
        <family val="2"/>
        <scheme val="minor"/>
      </rPr>
      <t xml:space="preserve">
</t>
    </r>
    <r>
      <rPr>
        <b/>
        <sz val="11"/>
        <rFont val="Calibri"/>
        <family val="2"/>
        <scheme val="minor"/>
      </rPr>
      <t>FD Fan:</t>
    </r>
    <r>
      <rPr>
        <sz val="11"/>
        <rFont val="Calibri"/>
        <family val="2"/>
        <scheme val="minor"/>
      </rPr>
      <t xml:space="preserve">
• PO Placed (Disp. No 0017) on 03-04-2024.
• Material delivery period 12 Months expected delivery in 
   April-2025.
•</t>
    </r>
    <r>
      <rPr>
        <b/>
        <sz val="11"/>
        <rFont val="Calibri"/>
        <family val="2"/>
        <scheme val="minor"/>
      </rPr>
      <t xml:space="preserve"> WCR received on 07-10-24</t>
    </r>
    <r>
      <rPr>
        <sz val="11"/>
        <rFont val="Calibri"/>
        <family val="2"/>
        <scheme val="minor"/>
      </rPr>
      <t xml:space="preserve">
</t>
    </r>
  </si>
  <si>
    <t>• MERC In-Principal Clearance Ref.  
   No.0309 Date:17-06-2024.
•  PR approval received 11.10.24
•  Tender will be  further processed at HO.</t>
  </si>
  <si>
    <t>• MERC In-Principal Clearance Ref.  
   No.0309 Date:17-06-2024.
• PR Approval received on 11-10-24
• Tender is published.</t>
  </si>
  <si>
    <t>• MERC In-Principal Clearance Ref.  
   No.0309 Date:17-06-2024.
• PO Placed (Disp. No 1026) on 27-09-2024.
• Delivery Period: 06 Months (Feb-2025)</t>
  </si>
  <si>
    <t xml:space="preserve">• MERC In-Principal Clearance Ref.  
   No.0309 Date:17-06-2024.
• PR Approval received (Disp no.10679 on 11-10-24)
• Tender is published.
</t>
  </si>
  <si>
    <t>•MERC In-Principal Clearance Ref.  
  No.0309 Date:17-06-2024.
• PR Approval received on 11-10-24 
• Tender is published.</t>
  </si>
  <si>
    <t>• Capex PO under process at HO</t>
  </si>
  <si>
    <t>• MERC In-Principal Clearance Ref.  
   No.0310 Date:17-06-2024.
• PR approval received 04.10.24
• Tender is published.</t>
  </si>
  <si>
    <t>• MERC In-Principal Clearance Ref.  
   No.0310 Date:17-06-2024.
• PR approval received 23.09.24
• Deviation open.</t>
  </si>
  <si>
    <t>• MERC In-Principal Clearance Ref.  
   No.0310 Date:17-06-2024.
• PO Placed (Disp. No 0890) on 
    23-08-2024.
• Delivery Period: 06 Months (Feb-2025)</t>
  </si>
  <si>
    <t>• MERC In-Principal Clearance Ref.  
   No.0310 Date:17-06-2024.
• PR Approval received on 11-10-24
• Tender is published.</t>
  </si>
  <si>
    <t>• MERC In-Principal Clearance Ref.  
   No.0310 Date:17-06-2024.
• PR approval received 04.10.24 
• Tender is published.</t>
  </si>
  <si>
    <t>•Coal chokes up &amp; overloading problems will be 
   reduced.
•Cleaning becomes easier.
•Avoidance of generation loss due to on availability  
  coal feeding of streams.
•Structural stability will be improved.
•Leakages to chute will be minimized.
•Unloading of coal will get improved.</t>
  </si>
  <si>
    <t>• MERC In-Principal Clearance Ref.  
   No.0310 Date:17-06-2024.
• PR approval received 24.10.24</t>
  </si>
  <si>
    <t>• MERC In-Principal Clearance Ref.  
   No.0310 Date:17-06-2024.
• PR Approval received on 11-10-24 
• Tender is published.</t>
  </si>
  <si>
    <t>Avalibility of coal mill system will be improved.
• Saving of avg. load loss per day = Rs 16.67 Crore
( outage of 1 coal mill for 4-5 hrs due to choke -up problem)</t>
  </si>
  <si>
    <t xml:space="preserve"> • BR Approved  Ref No : 09835 , Date : 23.09.24</t>
  </si>
  <si>
    <t>Unit performance  improvement.
• Heat rate improvement by 20 kcal/Kwh
•  Saving of coal cost per year = Rs 9.50 Crore</t>
  </si>
  <si>
    <t>Reduction in generation loss &amp; to improve unit availability.
• Saving in term of AFC per year = Rs 28.20 crore.
( Considering 20 days of unit outage on account of non availabilty of APH)</t>
  </si>
  <si>
    <t xml:space="preserve">Reduction in boiler tube leakages , to improve unit availability &amp; boiler performance.
• Saving in term of AFC per year = Rs 4.91 crore.
( Considering 3 days of unit outage on account of 1 BTL occasion)
</t>
  </si>
  <si>
    <t>• DPR in preparation</t>
  </si>
  <si>
    <t>Reliability &amp; performance of the compressor improved.
• Saving in term of AFC per year = Rs 2.08 crore.
( Considering 1day of unit outage on account of non availabilty of instrument air)</t>
  </si>
  <si>
    <t xml:space="preserve">• Improve availability &amp; realiability of plant. </t>
  </si>
  <si>
    <t>• Overall unit efficiency will increase.
•  APC reduction by 0.073 %
• Generation loss will be 0.72 MUs</t>
  </si>
  <si>
    <t xml:space="preserve">•  Improve availability &amp; realiability of plant. </t>
  </si>
  <si>
    <t xml:space="preserve">To insure safety of plant.
• Plant security will be improved.
• Minimize the thefts.
• Improve shelter facilities for guards, so they can 
   observe longer distances by covering the maximum 
   area. </t>
  </si>
  <si>
    <t>• DPR send to HO for approval on 14-08-2024</t>
  </si>
  <si>
    <t xml:space="preserve">To insure safety of plant.
• It is comfortable and easy for lady security guards to 
   check female employees/ labours visitors &amp; Ensures  
    total privacy of the female employees /labours/ 
    visitors. </t>
  </si>
  <si>
    <t>To insure safety of plant.
• Threat to valuable of company, entry of unsocial  
    elements to functional plant and machinery of BTPS 
    will be controlled.</t>
  </si>
  <si>
    <t>To insure safety of plant.
• Protection from external threat to functional plants 
    and machinery.
• Security of BTPS will be improved.</t>
  </si>
  <si>
    <t>To insure safety of plant.
• LED consume less enegry so energy will be saved.
•  Maintenance &amp; replacement cost will be reduced.
•  IB recommendation.</t>
  </si>
  <si>
    <t>Avalibility of coal mill system will be improved.
• Saving of avg. load loss per day = Rs 16.67 Crore
( outage of 1 coal mill for 4-5 hrs )</t>
  </si>
  <si>
    <t>• This scheme lead to process improvement.</t>
  </si>
  <si>
    <t>Unit performance  improvement.
• Heat rate improvement by 4 kcal/Kwh
•  Saving of coal cost per year = Rs 1.9 Crore</t>
  </si>
  <si>
    <t>• To ensure safety of turbine &amp; avoid falls tripping unit. 
• To improve the system availability.</t>
  </si>
  <si>
    <t>• Improves flame stability &amp; load variation can be 
    possible.
• Reduces auxiliary consumption such as PA, FA fans.
• Boiler  efficiency will be improved.</t>
  </si>
  <si>
    <t>• Reduce the loss of steam/water and improve the 
   boiler heat rate.</t>
  </si>
  <si>
    <t>• Improvement in auxillary power consumption.
• Total Saving in power per year = Rs 0.54 Cr</t>
  </si>
  <si>
    <t>• Revised DPR send to HO for approval on 01-08-2024.
• Data gap received on 12-08-2024.</t>
  </si>
  <si>
    <t xml:space="preserve">Availability of unit
• Saving in term of AFC per year = Rs 8.57 crore.
( Considering 6 days of unit outage on account of 1 event)
</t>
  </si>
  <si>
    <t xml:space="preserve"> • For safety and health of human and plant auxiliaries</t>
  </si>
  <si>
    <t>•Reliability &amp; performance of the compressor improved.
• Total Saving in power per year = Rs 1.28 Crore
• R&amp;M Cost saving per year = Rs 0.62 Crore.
• Fixed Cost saving per year = Rs 0.96 Crore.</t>
  </si>
  <si>
    <t xml:space="preserve">
• Annual Savings in terms of Water Charges = Rs 1.04 
   Crore</t>
  </si>
  <si>
    <t xml:space="preserve">• Availability of boiler by reduction in Boiler tube 
   leakages. 
• Savings in terms of AFC &amp; Fuel Oil Consumption per 
    year = Rs 4.09 Crore
</t>
  </si>
  <si>
    <t>• As per GoI, increasing contribution from  renewable energy  sources. So to achieve flexible operation of thermal units scheme is mandatory.</t>
  </si>
  <si>
    <t>• Reduce auxiliary power consumption.                   
• Reduce maintenance cost. 
• Less maintenance.</t>
  </si>
  <si>
    <t>• DPR yet to be prepared.</t>
  </si>
  <si>
    <t xml:space="preserve">             
• For realability of protection of sysytem.
</t>
  </si>
  <si>
    <t xml:space="preserve">• Electrical power saving by 5 Amp per pump.
• Power saving per year = Rs 0.35 Crore </t>
  </si>
  <si>
    <t>• Annual energy saving per year = Rs 0.743 Crore.</t>
  </si>
  <si>
    <t>• The reliability of system improves.
• Reduction in R&amp;M cost per year = Rs 0.40 Crore.
• Non availability of critical valves hampers reliability 
   of the system.</t>
  </si>
  <si>
    <t>• Availability &amp; Reliability of Unit get Increased.</t>
  </si>
  <si>
    <t>• Fixed Cost saving per year = Rs 5.04 Crore.
• Saving in cost of electrical power &amp; water = Rs 1.67 
   Crore.</t>
  </si>
  <si>
    <t xml:space="preserve">• DPR send to HO for approval on 22-08-2024. 
• Data Gap received on 03-09-2024 </t>
  </si>
  <si>
    <t>• Fixed Cost saving per year = Rs 5.04 Crore.
• R&amp;M Cost saving per year = Rs 0.38 Crore.
• Saving in cost of electrical power &amp; water = Rs 0.17
   Crore.</t>
  </si>
  <si>
    <t>• Fixed Cost saving per year = Rs 5.04 Crore.
• Variable Cost saving per year = Rs 1.73 Crore.
• Saving in cost of electrical power &amp; water = Rs 0.167
   Crore.</t>
  </si>
  <si>
    <t>• Avalability of unit increased .
• Savings in partial loading of unit for 7 days ( Considering non- avalability of 1 ID fan)</t>
  </si>
  <si>
    <t xml:space="preserve">• Improved the boiler heat rate. 
• Saving of coal cost per year = Rs 2.11 Crore. </t>
  </si>
  <si>
    <t xml:space="preserve">• Maximum Coal Handling Plant availability
• Faster coal wagon Unloading
• Reduction in maintenance and operational cost.
• Release of spare time to maintain other auxiliaries.
• Utilization of rated capacity of conveyor belts
• Reduction in auxiliary consumption
• Reduction in breakdown time.
</t>
  </si>
  <si>
    <t xml:space="preserve">• Reduction in maintenance and operational cost.
• Release of spare time to maintain other auxiliaries.
• Utilization of rated capacity of conveyor belts
• Reduction in auxiliary consumption
• Reduction in breakdown time.
</t>
  </si>
  <si>
    <t>• minimize the risk of ignition in hazardous  
   environment.
• Reduce procurement &amp; maintenance cost.</t>
  </si>
  <si>
    <t>• Improved the safety &amp; protection under faulty 
   condition.
• Enhanced system reliability.
• Reduced the cost &amp; extends the life of the HT/LT 
   systems.</t>
  </si>
  <si>
    <t>• Reduction in outage hours in account of Locomotives 
   will get reduced, hence improvement in availability 
   &amp; reliability of Locomotives. Coal wagon movement 
    can be possible more rapidly &amp; efficiently.</t>
  </si>
  <si>
    <t>• Reduced wear &amp; tear &amp; lower the maintenance cost.
• Improved coal flow efficiency .</t>
  </si>
  <si>
    <t>• Conveyor system availability will increase.
•  Demurrage charges will get reduced.
•  Overloading of conveyor will be minimized.
•  Low auxiliary consumption can be achieved.</t>
  </si>
  <si>
    <t>• Energy efficient motor for auxillary power reduction
• Saving in term of AFC per year = Rs 1 crore.</t>
  </si>
  <si>
    <t xml:space="preserve">• Reduce auxiliary power consumption.      </t>
  </si>
  <si>
    <t>• System relability will be improved.</t>
  </si>
  <si>
    <t>• Relable operation &amp; protection of plant auxillary.</t>
  </si>
  <si>
    <t>• Relability of plant relay protection system.</t>
  </si>
  <si>
    <t xml:space="preserve">• Increased reliability &amp; stability of process . 
• Reduces environmental losses.                                                                                                                                        </t>
  </si>
  <si>
    <t>• Realability of the system will improved.</t>
  </si>
  <si>
    <t>• IB recommondation.</t>
  </si>
  <si>
    <t xml:space="preserve">• Reduction in power distribution losses 
• Improvement in system reliability &amp; uninterrupted 
   power supply as system is too old.
   </t>
  </si>
  <si>
    <t>• Reduction in R&amp;M cost per year = Rs 2 Crore.</t>
  </si>
  <si>
    <t xml:space="preserve">• The reliability of system improves.
• Reduction in R&amp;M cost per year = Rs 0.5 Crore.
</t>
  </si>
  <si>
    <t>Avalibility of coal mill system will be improved.
• Saving of avg. load loss per day = Rs 20.00 Crore
( outage of 1 coal mill for 4-5 hrs due to choke -up problem)</t>
  </si>
  <si>
    <t>• Improment in system reliability as railway track is old .
• It is necessary for safety and efficiency.
• Reduction in dummage charges.</t>
  </si>
  <si>
    <t>Various schemes for renovation of colony at Bhusawal TPS</t>
  </si>
  <si>
    <t>Scheme-1:-Design Engineering, Supply, Erection, commissioning, Extension of travel Length &amp; Capacity Enhancement of coal yard with additional drive system of stacker reclaimer conveyor No. 110 at in coal handling Plant BTPS.</t>
  </si>
  <si>
    <t>Scheme-2:-Design, Engineering, Rectification, Erection &amp; Commissioning of Z point at Conveyor 108A &amp; B at CHP-500MW.</t>
  </si>
  <si>
    <t>Scheme-3:-Design, Engineering and provision of material lifting arrangement for crusher floor, wobbler feeder  &amp; C-105 floor In CHP BTPS.</t>
  </si>
  <si>
    <t>Scheme-4:-Structural up-gradation and rehabilitation of reversible yard conveyor in coal handling plant.</t>
  </si>
  <si>
    <t>Scheme-5:-Design, Engineering, Erection and commissioning of Receiving and discharge chutes of wobbler feeders in CHP BTPS.</t>
  </si>
  <si>
    <t>Scheme-6: Procurement of 3 Nos. of Bulldozers at BTPS, Bhusawal.</t>
  </si>
  <si>
    <t>-</t>
  </si>
  <si>
    <t>Scheme-1: Revamping, Modification of Gravity take-up and Drive Augmentation of Bunkering conveyor in CHP BTPS</t>
  </si>
  <si>
    <t>Scheme-2: Revamping of coal diverting chutes in CHP 2x500 MW BTPS</t>
  </si>
  <si>
    <t>Scheme-3: Revamping and structural augmentation of Reversible feeder conveyors in CHP-BTPS.</t>
  </si>
  <si>
    <t>Scheme-4: Revamping and up-gradation of air &amp; ventilation system in Coal Handling Plant-BTPS.</t>
  </si>
  <si>
    <t>Scheme-5: Revamping, Structural &amp; drive up-gradation  of conveyor-111 in CHP-BTPS.</t>
  </si>
  <si>
    <t>Scheme-6: Revamping and structural up-gradation of conveyor system in tunnel area in Coal Handling Plant-BTPS.</t>
  </si>
  <si>
    <t>Scheme-7: Erection &amp; Commissioning of Travelling type coal chutes in CHP BTPS.</t>
  </si>
  <si>
    <t>Scheme-8: Revamping of scoop cooling system installed in coal handling plant BTPS.</t>
  </si>
  <si>
    <t>Scheme-9: Retrofitting and Up-gradation of Dewatering system in CHP-BTPS.</t>
  </si>
  <si>
    <t>Limestone</t>
  </si>
  <si>
    <t>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</si>
</sst>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0\ &quot;Days&quot;"/>
    <numFmt numFmtId="171" formatCode="0\ &quot;Month&quot;"/>
    <numFmt numFmtId="172" formatCode="0.000"/>
    <numFmt numFmtId="173" formatCode="_ * #,##0.0_ ;_ * \-#,##0.0_ ;_ * &quot;-&quot;??_ ;_ @_ "/>
    <numFmt numFmtId="174" formatCode="_ * #,##0.000_ ;_ * \-#,##0.000_ ;_ * &quot;-&quot;??_ ;_ @_ "/>
    <numFmt numFmtId="175" formatCode="_(* #,##0.000_);_(* \(#,##0.000\);_(* &quot;-&quot;??_);_(@_)"/>
    <numFmt numFmtId="176" formatCode="_(* #,##0.00000_);_(* \(#,##0.00000\);_(* &quot;-&quot;??_);_(@_)"/>
    <numFmt numFmtId="177" formatCode="[$-14009]dd\-mm\-yyyy;@"/>
    <numFmt numFmtId="178" formatCode="0.000%"/>
    <numFmt numFmtId="179" formatCode="0.0%"/>
    <numFmt numFmtId="180" formatCode="_ * #,##0.000_ ;_ * \-#,##0.000_ ;_ * &quot;-&quot;???_ ;_ @_ "/>
    <numFmt numFmtId="181" formatCode="_(* #,##0.0_);_(* \(#,##0.0\);_(* &quot;-&quot;??_);_(@_)"/>
    <numFmt numFmtId="182" formatCode="_-* #,##0_-;\-* #,##0_-;_-* &quot;-&quot;??_-;_-@_-"/>
    <numFmt numFmtId="183" formatCode="_ * #,##0_ ;_ * \-#,##0_ ;_ * &quot;-&quot;??_ ;_ @_ "/>
    <numFmt numFmtId="184" formatCode="0.0000"/>
    <numFmt numFmtId="185" formatCode="0.00000"/>
    <numFmt numFmtId="186" formatCode="0.000000000000000%"/>
    <numFmt numFmtId="187" formatCode="[$-14009]dd/mm/yy;@"/>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b/>
      <sz val="11"/>
      <name val="Arial"/>
      <family val="2"/>
    </font>
    <font>
      <b/>
      <u/>
      <sz val="11"/>
      <name val="Times New Roman"/>
      <family val="1"/>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sz val="10"/>
      <color theme="1"/>
      <name val="Arial"/>
      <family val="2"/>
    </font>
    <font>
      <b/>
      <sz val="10"/>
      <color theme="1"/>
      <name val="Arial"/>
      <family val="2"/>
    </font>
    <font>
      <b/>
      <sz val="12"/>
      <color theme="1"/>
      <name val="Arial"/>
      <family val="2"/>
    </font>
    <font>
      <b/>
      <sz val="11"/>
      <color theme="1"/>
      <name val="Calibri"/>
      <family val="2"/>
      <scheme val="minor"/>
    </font>
    <font>
      <b/>
      <sz val="10"/>
      <color theme="1"/>
      <name val="Cambria"/>
      <family val="2"/>
      <scheme val="major"/>
    </font>
    <font>
      <sz val="10"/>
      <color theme="1"/>
      <name val="Cambria"/>
      <family val="2"/>
      <scheme val="major"/>
    </font>
    <font>
      <sz val="11"/>
      <color rgb="FFFF0000"/>
      <name val="Calibri"/>
      <family val="2"/>
      <scheme val="minor"/>
    </font>
    <font>
      <b/>
      <vertAlign val="superscript"/>
      <sz val="11"/>
      <color theme="1"/>
      <name val="Times New Roman"/>
      <family val="1"/>
    </font>
    <font>
      <vertAlign val="superscript"/>
      <sz val="12"/>
      <name val="Times New Roman"/>
      <family val="1"/>
    </font>
    <font>
      <sz val="11"/>
      <color indexed="13"/>
      <name val="Times New Roman"/>
      <family val="1"/>
    </font>
    <font>
      <b/>
      <u/>
      <sz val="11"/>
      <color rgb="FFFF0000"/>
      <name val="Times New Roman"/>
      <family val="1"/>
    </font>
    <font>
      <b/>
      <sz val="12"/>
      <color indexed="36"/>
      <name val="Calibri"/>
      <family val="2"/>
    </font>
    <font>
      <sz val="12"/>
      <color indexed="8"/>
      <name val="Calibri"/>
      <family val="2"/>
    </font>
    <font>
      <sz val="11"/>
      <color indexed="8"/>
      <name val="Calibri"/>
      <family val="2"/>
      <scheme val="minor"/>
    </font>
    <font>
      <b/>
      <sz val="12"/>
      <color rgb="FF00B0F0"/>
      <name val="Calibri"/>
      <family val="2"/>
    </font>
    <font>
      <b/>
      <sz val="11"/>
      <name val="Book Antiqua"/>
      <family val="1"/>
    </font>
    <font>
      <b/>
      <sz val="12"/>
      <color rgb="FF800080"/>
      <name val="Calibri"/>
      <family val="2"/>
    </font>
    <font>
      <sz val="11"/>
      <name val="Calibri"/>
      <family val="2"/>
    </font>
    <font>
      <b/>
      <sz val="12"/>
      <color indexed="36"/>
      <name val="Book Antiqua"/>
      <family val="1"/>
    </font>
    <font>
      <sz val="12"/>
      <name val="Calibri"/>
      <family val="2"/>
      <scheme val="minor"/>
    </font>
    <font>
      <b/>
      <sz val="12"/>
      <name val="Calibri"/>
      <family val="2"/>
      <scheme val="minor"/>
    </font>
    <font>
      <sz val="11"/>
      <color theme="1"/>
      <name val="Aptos Narrow"/>
      <family val="2"/>
    </font>
    <font>
      <sz val="11"/>
      <name val="Book Antiqua"/>
      <family val="1"/>
    </font>
    <font>
      <sz val="11"/>
      <color rgb="FF000000"/>
      <name val="Bookman Old Style"/>
      <family val="1"/>
    </font>
    <font>
      <sz val="11"/>
      <color theme="1"/>
      <name val="Bookman Old Style"/>
      <family val="1"/>
    </font>
    <font>
      <sz val="12"/>
      <color indexed="8"/>
      <name val="Calibri"/>
      <family val="2"/>
      <scheme val="minor"/>
    </font>
    <font>
      <b/>
      <sz val="13"/>
      <color indexed="36"/>
      <name val="Calibri"/>
      <family val="2"/>
    </font>
    <font>
      <sz val="12"/>
      <color theme="1"/>
      <name val="Calibri"/>
      <family val="2"/>
    </font>
    <font>
      <b/>
      <sz val="12"/>
      <color theme="5" tint="-0.249977111117893"/>
      <name val="Calibri"/>
      <family val="2"/>
    </font>
    <font>
      <sz val="12"/>
      <color rgb="FFFF0000"/>
      <name val="Calibri"/>
      <family val="2"/>
    </font>
    <font>
      <sz val="11"/>
      <color rgb="FFFF0000"/>
      <name val="Calibri"/>
      <family val="2"/>
    </font>
    <font>
      <b/>
      <sz val="11"/>
      <color indexed="8"/>
      <name val="Calibri"/>
      <family val="2"/>
      <scheme val="minor"/>
    </font>
    <font>
      <sz val="11"/>
      <color rgb="FF000000"/>
      <name val="Times New Roman"/>
      <family val="1"/>
    </font>
    <font>
      <b/>
      <sz val="11"/>
      <color rgb="FF000000"/>
      <name val="Times New Roman"/>
      <family val="1"/>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FF99"/>
        <bgColor indexed="64"/>
      </patternFill>
    </fill>
    <fill>
      <patternFill patternType="solid">
        <fgColor rgb="FFA6A6A6"/>
        <bgColor rgb="FF000000"/>
      </patternFill>
    </fill>
    <fill>
      <patternFill patternType="solid">
        <fgColor theme="0"/>
        <bgColor rgb="FF000000"/>
      </patternFill>
    </fill>
    <fill>
      <patternFill patternType="solid">
        <fgColor rgb="FFFFFF00"/>
        <bgColor rgb="FF000000"/>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34998626667073579"/>
        <bgColor rgb="FF000000"/>
      </patternFill>
    </fill>
    <fill>
      <patternFill patternType="solid">
        <fgColor rgb="FF00B050"/>
        <bgColor indexed="64"/>
      </patternFill>
    </fill>
  </fills>
  <borders count="32">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8">
    <xf numFmtId="0" fontId="0" fillId="0" borderId="0"/>
    <xf numFmtId="0" fontId="18" fillId="0" borderId="0" applyNumberFormat="0" applyFill="0" applyBorder="0" applyAlignment="0" applyProtection="0"/>
    <xf numFmtId="0" fontId="19" fillId="0" borderId="1"/>
    <xf numFmtId="0" fontId="19" fillId="0" borderId="1"/>
    <xf numFmtId="38" fontId="20" fillId="2" borderId="0" applyNumberFormat="0" applyBorder="0" applyAlignment="0" applyProtection="0"/>
    <xf numFmtId="0" fontId="21" fillId="0" borderId="2" applyNumberFormat="0" applyAlignment="0" applyProtection="0">
      <alignment horizontal="left" vertical="center"/>
    </xf>
    <xf numFmtId="0" fontId="21" fillId="0" borderId="3">
      <alignment horizontal="left" vertical="center"/>
    </xf>
    <xf numFmtId="10" fontId="20" fillId="3" borderId="4" applyNumberFormat="0" applyBorder="0" applyAlignment="0" applyProtection="0"/>
    <xf numFmtId="37" fontId="22" fillId="0" borderId="0"/>
    <xf numFmtId="166" fontId="23" fillId="0" borderId="0"/>
    <xf numFmtId="0" fontId="17" fillId="0" borderId="0"/>
    <xf numFmtId="0" fontId="17" fillId="0" borderId="0"/>
    <xf numFmtId="0" fontId="9" fillId="0" borderId="0"/>
    <xf numFmtId="0" fontId="9" fillId="0" borderId="0"/>
    <xf numFmtId="0" fontId="17"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9" fillId="0" borderId="0"/>
    <xf numFmtId="0" fontId="32" fillId="0" borderId="0"/>
    <xf numFmtId="0" fontId="32" fillId="0" borderId="0"/>
    <xf numFmtId="0" fontId="29"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9" fillId="0" borderId="0"/>
    <xf numFmtId="0" fontId="17" fillId="0" borderId="0" applyBorder="0" applyProtection="0"/>
    <xf numFmtId="167" fontId="32"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6" fillId="0" borderId="0"/>
    <xf numFmtId="164" fontId="6" fillId="0" borderId="0" applyFont="0" applyFill="0" applyBorder="0" applyAlignment="0" applyProtection="0"/>
    <xf numFmtId="165"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7" fillId="0" borderId="0">
      <alignment vertical="center"/>
    </xf>
    <xf numFmtId="164" fontId="39" fillId="0" borderId="0" applyFont="0" applyFill="0" applyBorder="0" applyAlignment="0" applyProtection="0"/>
    <xf numFmtId="9" fontId="39" fillId="0" borderId="0" applyFont="0" applyFill="0" applyBorder="0" applyAlignment="0" applyProtection="0"/>
    <xf numFmtId="0" fontId="17"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164" fontId="17" fillId="0" borderId="0" applyFont="0" applyFill="0" applyBorder="0" applyAlignment="0" applyProtection="0"/>
    <xf numFmtId="9" fontId="17"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939">
    <xf numFmtId="0" fontId="0" fillId="0" borderId="0" xfId="0"/>
    <xf numFmtId="0" fontId="7" fillId="0" borderId="0" xfId="10" applyFont="1"/>
    <xf numFmtId="0" fontId="7" fillId="0" borderId="0" xfId="10" applyFont="1" applyFill="1"/>
    <xf numFmtId="0" fontId="7" fillId="0" borderId="4" xfId="10" applyFont="1" applyFill="1" applyBorder="1"/>
    <xf numFmtId="0" fontId="8" fillId="0" borderId="4" xfId="10" applyFont="1" applyFill="1" applyBorder="1"/>
    <xf numFmtId="0" fontId="7" fillId="0" borderId="0" xfId="10" applyFont="1" applyBorder="1"/>
    <xf numFmtId="0" fontId="8" fillId="0" borderId="0" xfId="10" applyFont="1" applyBorder="1"/>
    <xf numFmtId="0" fontId="7" fillId="5" borderId="0" xfId="10" applyFont="1" applyFill="1" applyBorder="1"/>
    <xf numFmtId="0" fontId="8" fillId="0" borderId="0" xfId="10" applyFont="1" applyAlignment="1">
      <alignment horizontal="centerContinuous"/>
    </xf>
    <xf numFmtId="0" fontId="7" fillId="0" borderId="4" xfId="10" applyFont="1" applyBorder="1"/>
    <xf numFmtId="0" fontId="7" fillId="5" borderId="4" xfId="10" applyFont="1" applyFill="1" applyBorder="1"/>
    <xf numFmtId="0" fontId="7" fillId="0" borderId="0" xfId="10" applyFont="1" applyFill="1" applyBorder="1"/>
    <xf numFmtId="0" fontId="8" fillId="0" borderId="0" xfId="14" applyFont="1" applyFill="1" applyBorder="1" applyAlignment="1">
      <alignment horizontal="center" vertical="center" wrapText="1"/>
    </xf>
    <xf numFmtId="0" fontId="8" fillId="4" borderId="4" xfId="10" applyFont="1" applyFill="1" applyBorder="1"/>
    <xf numFmtId="0" fontId="7" fillId="0" borderId="0" xfId="14" applyFont="1">
      <alignment vertical="center"/>
    </xf>
    <xf numFmtId="0" fontId="8" fillId="0" borderId="0" xfId="14" applyFont="1" applyAlignment="1">
      <alignment horizontal="centerContinuous" vertical="center"/>
    </xf>
    <xf numFmtId="0" fontId="7" fillId="0" borderId="0" xfId="14" applyFont="1" applyAlignment="1">
      <alignment horizontal="centerContinuous" vertical="center"/>
    </xf>
    <xf numFmtId="0" fontId="8" fillId="0" borderId="0" xfId="10" applyFont="1" applyBorder="1" applyAlignment="1">
      <alignment horizontal="centerContinuous" vertical="top"/>
    </xf>
    <xf numFmtId="0" fontId="7" fillId="0" borderId="0" xfId="10" applyFont="1" applyBorder="1" applyAlignment="1">
      <alignment horizontal="centerContinuous"/>
    </xf>
    <xf numFmtId="0" fontId="8" fillId="0" borderId="0" xfId="10" applyFont="1" applyBorder="1" applyAlignment="1">
      <alignment horizontal="centerContinuous"/>
    </xf>
    <xf numFmtId="0" fontId="7" fillId="6" borderId="0" xfId="10" applyFont="1" applyFill="1" applyBorder="1" applyAlignment="1">
      <alignment horizontal="centerContinuous"/>
    </xf>
    <xf numFmtId="0" fontId="8" fillId="0" borderId="0" xfId="14" applyFont="1" applyAlignment="1">
      <alignment horizontal="right" vertical="center"/>
    </xf>
    <xf numFmtId="0" fontId="8" fillId="0" borderId="0" xfId="14" applyFont="1">
      <alignment vertical="center"/>
    </xf>
    <xf numFmtId="0" fontId="7" fillId="6" borderId="0" xfId="14" applyFont="1" applyFill="1" applyBorder="1">
      <alignment vertical="center"/>
    </xf>
    <xf numFmtId="0" fontId="7" fillId="0" borderId="4" xfId="14" applyFont="1" applyBorder="1">
      <alignment vertical="center"/>
    </xf>
    <xf numFmtId="0" fontId="8" fillId="5" borderId="4" xfId="10" applyFont="1" applyFill="1" applyBorder="1" applyAlignment="1" applyProtection="1">
      <alignment horizontal="left"/>
    </xf>
    <xf numFmtId="0" fontId="7" fillId="5" borderId="4" xfId="10" applyFont="1" applyFill="1" applyBorder="1" applyAlignment="1" applyProtection="1">
      <alignment horizontal="left"/>
    </xf>
    <xf numFmtId="0" fontId="8" fillId="0" borderId="4" xfId="14" applyFont="1" applyBorder="1">
      <alignment vertical="center"/>
    </xf>
    <xf numFmtId="0" fontId="7" fillId="5" borderId="4" xfId="10" quotePrefix="1" applyFont="1" applyFill="1" applyBorder="1" applyAlignment="1">
      <alignment horizontal="left" vertical="top" wrapText="1"/>
    </xf>
    <xf numFmtId="0" fontId="7" fillId="5" borderId="4" xfId="10" applyFont="1" applyFill="1" applyBorder="1" applyAlignment="1" applyProtection="1">
      <alignment horizontal="left" wrapText="1"/>
    </xf>
    <xf numFmtId="0" fontId="15" fillId="0" borderId="0" xfId="10" applyFont="1" applyAlignment="1">
      <alignment horizontal="center" vertical="center"/>
    </xf>
    <xf numFmtId="0" fontId="16" fillId="0" borderId="0" xfId="14" applyFont="1">
      <alignment vertical="center"/>
    </xf>
    <xf numFmtId="0" fontId="12" fillId="0" borderId="0" xfId="14" applyFont="1" applyAlignment="1">
      <alignment horizontal="right" vertical="center"/>
    </xf>
    <xf numFmtId="0" fontId="7" fillId="0" borderId="0" xfId="14" applyFont="1" applyAlignment="1">
      <alignment vertical="center"/>
    </xf>
    <xf numFmtId="0" fontId="7" fillId="0" borderId="0" xfId="10" applyFont="1" applyBorder="1" applyAlignment="1">
      <alignment horizontal="center" vertical="top"/>
    </xf>
    <xf numFmtId="0" fontId="7" fillId="0" borderId="0" xfId="10" applyFont="1" applyBorder="1" applyAlignment="1"/>
    <xf numFmtId="0" fontId="7" fillId="0" borderId="0" xfId="10" applyFont="1" applyBorder="1" applyAlignment="1">
      <alignment vertical="top"/>
    </xf>
    <xf numFmtId="0" fontId="7" fillId="0" borderId="4" xfId="10" applyFont="1" applyBorder="1" applyAlignment="1">
      <alignment vertical="top"/>
    </xf>
    <xf numFmtId="0" fontId="7" fillId="0" borderId="4" xfId="10" applyFont="1" applyBorder="1" applyAlignment="1"/>
    <xf numFmtId="0" fontId="8" fillId="5" borderId="4" xfId="14" applyFont="1" applyFill="1" applyBorder="1" applyAlignment="1">
      <alignment horizontal="center" vertical="center" wrapText="1"/>
    </xf>
    <xf numFmtId="0" fontId="8" fillId="0" borderId="4" xfId="10" applyFont="1" applyBorder="1"/>
    <xf numFmtId="0" fontId="25" fillId="0" borderId="0" xfId="10" applyFont="1" applyFill="1" applyBorder="1" applyProtection="1"/>
    <xf numFmtId="0" fontId="7" fillId="0" borderId="0" xfId="10" applyFont="1" applyFill="1" applyBorder="1" applyProtection="1"/>
    <xf numFmtId="166" fontId="7" fillId="0" borderId="0" xfId="10" applyNumberFormat="1" applyFont="1" applyFill="1" applyBorder="1" applyAlignment="1" applyProtection="1">
      <alignment horizontal="center"/>
    </xf>
    <xf numFmtId="0" fontId="8" fillId="0" borderId="0" xfId="10" applyFont="1"/>
    <xf numFmtId="0" fontId="25" fillId="0" borderId="0" xfId="10" applyFont="1" applyBorder="1" applyAlignment="1">
      <alignment horizontal="left"/>
    </xf>
    <xf numFmtId="0" fontId="25" fillId="0" borderId="0" xfId="10" applyFont="1" applyBorder="1" applyAlignment="1">
      <alignment horizontal="center"/>
    </xf>
    <xf numFmtId="0" fontId="7" fillId="0" borderId="0" xfId="10" applyFont="1" applyBorder="1" applyAlignment="1">
      <alignment horizontal="left"/>
    </xf>
    <xf numFmtId="166" fontId="7" fillId="0" borderId="0" xfId="10" applyNumberFormat="1" applyFont="1" applyFill="1" applyBorder="1" applyProtection="1"/>
    <xf numFmtId="0" fontId="7" fillId="0" borderId="0" xfId="10" applyFont="1" applyBorder="1" applyAlignment="1">
      <alignment horizontal="center" vertical="top" wrapText="1"/>
    </xf>
    <xf numFmtId="0" fontId="7" fillId="0" borderId="0" xfId="10" applyFont="1" applyBorder="1" applyAlignment="1">
      <alignment horizontal="center"/>
    </xf>
    <xf numFmtId="0" fontId="7" fillId="0" borderId="0" xfId="10" applyFont="1" applyBorder="1" applyAlignment="1">
      <alignment horizontal="justify" vertical="top" wrapText="1"/>
    </xf>
    <xf numFmtId="0" fontId="8" fillId="0" borderId="0" xfId="10" applyFont="1" applyFill="1" applyBorder="1" applyAlignment="1">
      <alignment horizontal="left" vertical="top"/>
    </xf>
    <xf numFmtId="0" fontId="8" fillId="0" borderId="0" xfId="10" applyFont="1" applyBorder="1" applyAlignment="1">
      <alignment horizontal="left"/>
    </xf>
    <xf numFmtId="0" fontId="8" fillId="5" borderId="0" xfId="10" applyFont="1" applyFill="1" applyBorder="1"/>
    <xf numFmtId="0" fontId="26" fillId="0" borderId="0" xfId="10" applyFont="1" applyBorder="1" applyAlignment="1">
      <alignment vertical="top" wrapText="1"/>
    </xf>
    <xf numFmtId="0" fontId="7" fillId="5" borderId="0" xfId="10" applyFont="1" applyFill="1" applyBorder="1" applyAlignment="1">
      <alignment wrapText="1"/>
    </xf>
    <xf numFmtId="0" fontId="8" fillId="0" borderId="0" xfId="14" applyFont="1" applyFill="1" applyBorder="1" applyAlignment="1">
      <alignment vertical="center" wrapText="1"/>
    </xf>
    <xf numFmtId="0" fontId="8" fillId="0" borderId="4" xfId="10" applyFont="1" applyFill="1" applyBorder="1" applyProtection="1"/>
    <xf numFmtId="0" fontId="7" fillId="0" borderId="4" xfId="10" applyFont="1" applyFill="1" applyBorder="1" applyAlignment="1" applyProtection="1">
      <alignment horizontal="left"/>
    </xf>
    <xf numFmtId="0" fontId="7" fillId="5" borderId="4" xfId="10" applyFont="1" applyFill="1" applyBorder="1" applyAlignment="1" applyProtection="1">
      <alignment vertical="top" wrapText="1"/>
    </xf>
    <xf numFmtId="0" fontId="8" fillId="5" borderId="4" xfId="10" applyFont="1" applyFill="1" applyBorder="1" applyAlignment="1" applyProtection="1">
      <alignment vertical="top" wrapText="1"/>
    </xf>
    <xf numFmtId="0" fontId="8" fillId="5" borderId="4" xfId="10" applyFont="1" applyFill="1" applyBorder="1" applyAlignment="1">
      <alignment horizontal="left" vertical="top" wrapText="1"/>
    </xf>
    <xf numFmtId="0" fontId="8" fillId="0" borderId="0" xfId="10" applyFont="1" applyBorder="1" applyAlignment="1">
      <alignment horizontal="right"/>
    </xf>
    <xf numFmtId="0" fontId="7" fillId="0" borderId="0" xfId="14" applyFont="1" applyFill="1" applyBorder="1">
      <alignment vertical="center"/>
    </xf>
    <xf numFmtId="0" fontId="8" fillId="0" borderId="0" xfId="10" applyFont="1" applyBorder="1" applyAlignment="1">
      <alignment vertical="center"/>
    </xf>
    <xf numFmtId="0" fontId="7" fillId="0" borderId="0" xfId="10" applyFont="1" applyFill="1" applyBorder="1" applyAlignment="1">
      <alignment horizontal="centerContinuous"/>
    </xf>
    <xf numFmtId="0" fontId="8" fillId="0" borderId="0" xfId="10" applyFont="1" applyFill="1" applyBorder="1" applyAlignment="1">
      <alignment horizontal="centerContinuous"/>
    </xf>
    <xf numFmtId="0" fontId="8" fillId="0" borderId="0" xfId="10" applyFont="1" applyBorder="1" applyAlignment="1">
      <alignment horizontal="left" vertical="top"/>
    </xf>
    <xf numFmtId="0" fontId="7" fillId="0" borderId="0" xfId="10" applyFont="1" applyAlignment="1"/>
    <xf numFmtId="0" fontId="7" fillId="0" borderId="0" xfId="10" applyFont="1" applyBorder="1" applyAlignment="1">
      <alignment horizontal="centerContinuous" vertical="top"/>
    </xf>
    <xf numFmtId="0" fontId="28" fillId="0" borderId="0" xfId="10" applyFont="1" applyFill="1" applyBorder="1"/>
    <xf numFmtId="0" fontId="8" fillId="0" borderId="0" xfId="10" applyFont="1" applyBorder="1" applyAlignment="1">
      <alignment horizontal="center"/>
    </xf>
    <xf numFmtId="0" fontId="8" fillId="0" borderId="4" xfId="10" applyFont="1" applyBorder="1" applyAlignment="1">
      <alignment vertical="top"/>
    </xf>
    <xf numFmtId="0" fontId="9" fillId="0" borderId="0" xfId="14" applyFont="1">
      <alignment vertical="center"/>
    </xf>
    <xf numFmtId="0" fontId="10" fillId="0" borderId="0" xfId="14" applyFont="1">
      <alignment vertical="center"/>
    </xf>
    <xf numFmtId="0" fontId="9" fillId="0" borderId="0" xfId="14" applyFont="1" applyFill="1">
      <alignment vertical="center"/>
    </xf>
    <xf numFmtId="0" fontId="10" fillId="0" borderId="0" xfId="14" applyFont="1" applyFill="1" applyBorder="1">
      <alignment vertical="center"/>
    </xf>
    <xf numFmtId="0" fontId="9" fillId="0" borderId="0" xfId="14" applyFont="1" applyFill="1" applyBorder="1">
      <alignment vertical="center"/>
    </xf>
    <xf numFmtId="0" fontId="7" fillId="6" borderId="0" xfId="10" applyFont="1" applyFill="1" applyBorder="1"/>
    <xf numFmtId="0" fontId="28" fillId="0" borderId="0" xfId="14" applyFont="1" applyFill="1">
      <alignment vertical="center"/>
    </xf>
    <xf numFmtId="0" fontId="8" fillId="0" borderId="0" xfId="10" applyFont="1" applyBorder="1" applyAlignment="1"/>
    <xf numFmtId="0" fontId="8" fillId="0" borderId="0" xfId="14" applyFont="1" applyFill="1" applyBorder="1" applyAlignment="1">
      <alignment horizontal="left" vertical="center"/>
    </xf>
    <xf numFmtId="0" fontId="25" fillId="0" borderId="4" xfId="10" applyFont="1" applyBorder="1" applyAlignment="1">
      <alignment horizontal="left"/>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0" borderId="0" xfId="10" applyFont="1" applyBorder="1" applyAlignment="1">
      <alignment horizontal="center" vertical="top"/>
    </xf>
    <xf numFmtId="0" fontId="10" fillId="0" borderId="0" xfId="10" applyFont="1" applyBorder="1" applyAlignment="1">
      <alignment horizontal="center" vertical="center"/>
    </xf>
    <xf numFmtId="0" fontId="7" fillId="0" borderId="0" xfId="10" applyFont="1" applyBorder="1" applyAlignment="1">
      <alignment vertical="center"/>
    </xf>
    <xf numFmtId="0" fontId="7" fillId="0" borderId="4" xfId="10" applyFont="1" applyFill="1" applyBorder="1" applyAlignment="1" applyProtection="1">
      <alignment horizontal="left" vertical="center"/>
    </xf>
    <xf numFmtId="0" fontId="7" fillId="0" borderId="0" xfId="10" applyFont="1" applyFill="1" applyBorder="1" applyAlignment="1">
      <alignment vertical="center"/>
    </xf>
    <xf numFmtId="0" fontId="8" fillId="0" borderId="0" xfId="10" applyFont="1" applyBorder="1" applyAlignment="1">
      <alignment horizontal="center" vertical="center"/>
    </xf>
    <xf numFmtId="0" fontId="9" fillId="0" borderId="0" xfId="10" applyFont="1"/>
    <xf numFmtId="0" fontId="7" fillId="0" borderId="4" xfId="10" applyFont="1" applyBorder="1" applyAlignment="1">
      <alignment horizontal="center" vertical="top"/>
    </xf>
    <xf numFmtId="0" fontId="7" fillId="0" borderId="0" xfId="10" applyFont="1" applyAlignment="1">
      <alignment vertical="center"/>
    </xf>
    <xf numFmtId="0" fontId="8" fillId="0" borderId="4" xfId="10" applyFont="1" applyBorder="1" applyAlignment="1">
      <alignment horizontal="left" vertical="top"/>
    </xf>
    <xf numFmtId="0" fontId="7" fillId="0" borderId="0" xfId="14" applyFont="1" applyAlignment="1">
      <alignment horizontal="center" vertical="center"/>
    </xf>
    <xf numFmtId="0" fontId="7" fillId="0" borderId="4" xfId="14" applyFont="1" applyBorder="1" applyAlignment="1">
      <alignment horizontal="center" vertical="center"/>
    </xf>
    <xf numFmtId="0" fontId="8" fillId="0" borderId="4" xfId="14" applyFont="1" applyBorder="1" applyAlignment="1">
      <alignment horizontal="center" vertical="center"/>
    </xf>
    <xf numFmtId="0" fontId="13" fillId="0" borderId="0" xfId="14" applyFont="1" applyAlignment="1">
      <alignment horizontal="left" vertical="center"/>
    </xf>
    <xf numFmtId="0" fontId="7" fillId="0" borderId="4" xfId="14" applyFont="1" applyBorder="1" applyAlignment="1">
      <alignment vertical="top" wrapText="1"/>
    </xf>
    <xf numFmtId="0" fontId="7" fillId="0" borderId="4" xfId="14" applyFont="1" applyBorder="1" applyAlignment="1">
      <alignment horizontal="center" vertical="top" wrapText="1"/>
    </xf>
    <xf numFmtId="0" fontId="8" fillId="0" borderId="4" xfId="14" applyFont="1" applyBorder="1" applyAlignment="1">
      <alignment vertical="top" wrapText="1"/>
    </xf>
    <xf numFmtId="0" fontId="8" fillId="4" borderId="4" xfId="10" applyFont="1" applyFill="1" applyBorder="1" applyAlignment="1">
      <alignment vertical="top" wrapText="1"/>
    </xf>
    <xf numFmtId="16" fontId="8" fillId="4" borderId="4" xfId="10" applyNumberFormat="1" applyFont="1" applyFill="1" applyBorder="1" applyAlignment="1">
      <alignment horizontal="center" vertical="center" wrapText="1"/>
    </xf>
    <xf numFmtId="0" fontId="8" fillId="0" borderId="4" xfId="10" applyFont="1" applyFill="1" applyBorder="1" applyAlignment="1" applyProtection="1">
      <alignment vertical="top" wrapText="1"/>
    </xf>
    <xf numFmtId="0" fontId="17" fillId="4" borderId="4" xfId="10" applyFill="1" applyBorder="1" applyAlignment="1">
      <alignment horizontal="center" vertical="center" wrapText="1"/>
    </xf>
    <xf numFmtId="0" fontId="8" fillId="0" borderId="4" xfId="10" applyFont="1" applyBorder="1" applyAlignment="1"/>
    <xf numFmtId="0" fontId="9" fillId="0" borderId="4" xfId="14" applyFont="1" applyFill="1" applyBorder="1" applyAlignment="1">
      <alignment horizontal="center" vertical="center"/>
    </xf>
    <xf numFmtId="0" fontId="10" fillId="0" borderId="4" xfId="10" applyFont="1" applyFill="1" applyBorder="1" applyAlignment="1">
      <alignment horizontal="center" vertical="center" wrapText="1"/>
    </xf>
    <xf numFmtId="0" fontId="10" fillId="0" borderId="4" xfId="10" applyFont="1" applyFill="1" applyBorder="1" applyAlignment="1">
      <alignment horizontal="center" vertical="center"/>
    </xf>
    <xf numFmtId="0" fontId="9" fillId="0" borderId="4" xfId="14" applyFont="1" applyBorder="1">
      <alignment vertical="center"/>
    </xf>
    <xf numFmtId="0" fontId="9" fillId="0" borderId="0" xfId="14" applyFont="1" applyAlignment="1">
      <alignment horizontal="center" vertical="center"/>
    </xf>
    <xf numFmtId="0" fontId="10" fillId="0" borderId="0" xfId="10" applyFont="1"/>
    <xf numFmtId="0" fontId="9" fillId="0" borderId="0" xfId="10" applyFont="1" applyAlignment="1">
      <alignment vertical="center"/>
    </xf>
    <xf numFmtId="0" fontId="17" fillId="0" borderId="0" xfId="10" applyAlignment="1">
      <alignment vertical="center"/>
    </xf>
    <xf numFmtId="0" fontId="8" fillId="0" borderId="4" xfId="14" applyFont="1" applyBorder="1" applyAlignment="1">
      <alignment horizontal="center" vertical="top" wrapText="1"/>
    </xf>
    <xf numFmtId="0" fontId="7" fillId="0" borderId="4" xfId="14" applyFont="1" applyFill="1" applyBorder="1">
      <alignment vertical="center"/>
    </xf>
    <xf numFmtId="0" fontId="7" fillId="0" borderId="4" xfId="14" applyFont="1" applyFill="1" applyBorder="1" applyAlignment="1">
      <alignment vertical="top" wrapText="1"/>
    </xf>
    <xf numFmtId="0" fontId="16" fillId="0" borderId="4" xfId="14" applyFont="1" applyBorder="1">
      <alignment vertical="center"/>
    </xf>
    <xf numFmtId="0" fontId="16" fillId="0" borderId="4" xfId="14" applyFont="1" applyBorder="1" applyAlignment="1">
      <alignment horizontal="center" vertical="center"/>
    </xf>
    <xf numFmtId="0" fontId="16"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7" fillId="0" borderId="4" xfId="14" applyFont="1" applyBorder="1" applyAlignment="1">
      <alignment horizontal="left" vertical="center"/>
    </xf>
    <xf numFmtId="0" fontId="7" fillId="0" borderId="4" xfId="14" applyFont="1" applyFill="1" applyBorder="1" applyAlignment="1">
      <alignment horizontal="left" vertical="center"/>
    </xf>
    <xf numFmtId="0" fontId="7" fillId="0" borderId="0" xfId="10" applyFont="1" applyAlignment="1">
      <alignment vertical="top"/>
    </xf>
    <xf numFmtId="0" fontId="8" fillId="0" borderId="0" xfId="10" applyFont="1" applyAlignment="1">
      <alignment horizontal="center"/>
    </xf>
    <xf numFmtId="0" fontId="8" fillId="0" borderId="4" xfId="10" applyFont="1" applyBorder="1" applyAlignment="1">
      <alignment horizontal="center" vertical="center"/>
    </xf>
    <xf numFmtId="0" fontId="7" fillId="0" borderId="4" xfId="10" applyFont="1" applyBorder="1" applyAlignment="1">
      <alignment horizontal="center"/>
    </xf>
    <xf numFmtId="0" fontId="17" fillId="0" borderId="0" xfId="10" applyAlignment="1">
      <alignment horizontal="center" vertical="center"/>
    </xf>
    <xf numFmtId="0" fontId="8" fillId="0" borderId="0" xfId="14" applyFont="1" applyAlignment="1">
      <alignment horizontal="center" vertical="center"/>
    </xf>
    <xf numFmtId="0" fontId="8" fillId="4" borderId="4"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7" fillId="5" borderId="4" xfId="10" applyFont="1" applyFill="1" applyBorder="1" applyAlignment="1">
      <alignment horizontal="center" vertical="top"/>
    </xf>
    <xf numFmtId="0" fontId="7" fillId="5" borderId="4" xfId="14" applyFont="1" applyFill="1" applyBorder="1">
      <alignment vertical="center"/>
    </xf>
    <xf numFmtId="0" fontId="8" fillId="5" borderId="4" xfId="10" applyFont="1" applyFill="1" applyBorder="1" applyAlignment="1" applyProtection="1">
      <alignment horizontal="left" vertical="top" wrapText="1"/>
    </xf>
    <xf numFmtId="0" fontId="7" fillId="5" borderId="4" xfId="10" applyFont="1" applyFill="1" applyBorder="1" applyAlignment="1">
      <alignment horizontal="center"/>
    </xf>
    <xf numFmtId="0" fontId="8" fillId="5" borderId="4" xfId="10" applyFont="1" applyFill="1" applyBorder="1" applyAlignment="1">
      <alignment horizontal="center"/>
    </xf>
    <xf numFmtId="0" fontId="8" fillId="5" borderId="4" xfId="14" quotePrefix="1" applyFont="1" applyFill="1" applyBorder="1" applyAlignment="1">
      <alignment horizontal="center" vertical="center" wrapText="1"/>
    </xf>
    <xf numFmtId="0" fontId="8" fillId="5" borderId="4" xfId="14" applyFont="1" applyFill="1" applyBorder="1" applyAlignment="1">
      <alignment horizontal="left" vertical="center" wrapText="1"/>
    </xf>
    <xf numFmtId="0" fontId="7" fillId="5" borderId="4" xfId="14" quotePrefix="1" applyFont="1" applyFill="1" applyBorder="1" applyAlignment="1">
      <alignment horizontal="center" vertical="center" wrapText="1"/>
    </xf>
    <xf numFmtId="0" fontId="7" fillId="5" borderId="4" xfId="14" applyFont="1" applyFill="1" applyBorder="1" applyAlignment="1">
      <alignment horizontal="center" vertical="center" wrapText="1"/>
    </xf>
    <xf numFmtId="0" fontId="7" fillId="6" borderId="4" xfId="14" applyFont="1" applyFill="1" applyBorder="1" applyAlignment="1">
      <alignment horizontal="left" vertical="center" wrapText="1"/>
    </xf>
    <xf numFmtId="0" fontId="7" fillId="5" borderId="4" xfId="14" applyFont="1" applyFill="1" applyBorder="1" applyAlignment="1">
      <alignment horizontal="left" vertical="center" wrapText="1"/>
    </xf>
    <xf numFmtId="0" fontId="8" fillId="0" borderId="4" xfId="10" applyFont="1" applyBorder="1" applyAlignment="1">
      <alignment vertical="top" wrapText="1"/>
    </xf>
    <xf numFmtId="0" fontId="7" fillId="0" borderId="4" xfId="10" applyFont="1" applyFill="1" applyBorder="1" applyProtection="1"/>
    <xf numFmtId="0" fontId="8" fillId="5" borderId="4" xfId="10" applyFont="1" applyFill="1" applyBorder="1" applyAlignment="1">
      <alignment horizontal="center" vertical="center"/>
    </xf>
    <xf numFmtId="0" fontId="8" fillId="5" borderId="4" xfId="10" applyFont="1" applyFill="1" applyBorder="1" applyAlignment="1">
      <alignment horizontal="center" vertical="top"/>
    </xf>
    <xf numFmtId="0" fontId="7" fillId="5" borderId="4" xfId="14" applyFont="1" applyFill="1" applyBorder="1" applyAlignment="1">
      <alignment vertical="center" wrapText="1"/>
    </xf>
    <xf numFmtId="0" fontId="7" fillId="0" borderId="4" xfId="14" applyFont="1" applyFill="1" applyBorder="1" applyAlignment="1">
      <alignment vertical="center" wrapText="1"/>
    </xf>
    <xf numFmtId="0" fontId="8" fillId="5" borderId="4" xfId="10" quotePrefix="1" applyFont="1" applyFill="1" applyBorder="1" applyAlignment="1">
      <alignment horizontal="center" vertical="top" wrapText="1"/>
    </xf>
    <xf numFmtId="0" fontId="8" fillId="0" borderId="0" xfId="10" applyFont="1" applyBorder="1" applyAlignment="1">
      <alignment horizontal="left" vertical="center"/>
    </xf>
    <xf numFmtId="0" fontId="8" fillId="0" borderId="0" xfId="10" applyFont="1" applyBorder="1" applyAlignment="1">
      <alignment horizontal="centerContinuous" vertical="center"/>
    </xf>
    <xf numFmtId="0" fontId="7" fillId="0" borderId="0" xfId="10" applyFont="1" applyBorder="1" applyAlignment="1">
      <alignment horizontal="centerContinuous" vertical="center"/>
    </xf>
    <xf numFmtId="0" fontId="7" fillId="5" borderId="4" xfId="10" applyFont="1" applyFill="1" applyBorder="1" applyAlignment="1">
      <alignment horizontal="center" vertical="center"/>
    </xf>
    <xf numFmtId="0" fontId="7" fillId="5" borderId="4" xfId="10" applyFont="1" applyFill="1" applyBorder="1" applyAlignment="1" applyProtection="1">
      <alignment vertical="center" wrapText="1"/>
    </xf>
    <xf numFmtId="0" fontId="8" fillId="5" borderId="4" xfId="10" applyFont="1" applyFill="1" applyBorder="1" applyAlignment="1" applyProtection="1">
      <alignment horizontal="left" vertical="center" wrapText="1"/>
    </xf>
    <xf numFmtId="0" fontId="7" fillId="0" borderId="4" xfId="10" applyFont="1" applyBorder="1" applyAlignment="1">
      <alignment vertical="center"/>
    </xf>
    <xf numFmtId="0" fontId="7" fillId="5" borderId="0" xfId="10" applyFont="1" applyFill="1" applyBorder="1" applyAlignment="1">
      <alignment vertical="center"/>
    </xf>
    <xf numFmtId="0" fontId="7" fillId="0" borderId="0" xfId="10" applyFont="1" applyBorder="1" applyAlignment="1">
      <alignment horizontal="left" vertical="center"/>
    </xf>
    <xf numFmtId="0" fontId="25" fillId="0" borderId="0" xfId="10" applyFont="1" applyBorder="1" applyAlignment="1">
      <alignment horizontal="left" vertical="center"/>
    </xf>
    <xf numFmtId="166" fontId="7" fillId="0" borderId="0" xfId="10" applyNumberFormat="1" applyFont="1" applyFill="1" applyBorder="1" applyAlignment="1" applyProtection="1">
      <alignment vertical="center"/>
    </xf>
    <xf numFmtId="0" fontId="7" fillId="0" borderId="4" xfId="10" applyFont="1" applyBorder="1" applyAlignment="1">
      <alignment horizontal="center" vertical="center"/>
    </xf>
    <xf numFmtId="0" fontId="8" fillId="5" borderId="4" xfId="10" applyFont="1" applyFill="1" applyBorder="1" applyAlignment="1" applyProtection="1">
      <alignment vertical="center" wrapText="1"/>
    </xf>
    <xf numFmtId="0" fontId="31" fillId="6" borderId="9" xfId="10" applyFont="1" applyFill="1" applyBorder="1"/>
    <xf numFmtId="0" fontId="31" fillId="6" borderId="11" xfId="10" applyFont="1" applyFill="1" applyBorder="1"/>
    <xf numFmtId="0" fontId="31" fillId="6" borderId="0" xfId="10" applyFont="1" applyFill="1" applyBorder="1"/>
    <xf numFmtId="0" fontId="31" fillId="6" borderId="0" xfId="10" applyFont="1" applyFill="1"/>
    <xf numFmtId="0" fontId="31" fillId="6" borderId="12" xfId="10" applyFont="1" applyFill="1" applyBorder="1"/>
    <xf numFmtId="0" fontId="30" fillId="6" borderId="0" xfId="10" applyFont="1" applyFill="1" applyBorder="1" applyAlignment="1">
      <alignment horizontal="left" vertical="top"/>
    </xf>
    <xf numFmtId="0" fontId="7" fillId="0" borderId="0" xfId="14" applyFont="1" applyAlignment="1"/>
    <xf numFmtId="0" fontId="8" fillId="5" borderId="4" xfId="14" quotePrefix="1" applyFont="1" applyFill="1" applyBorder="1" applyAlignment="1">
      <alignment horizontal="center" wrapText="1"/>
    </xf>
    <xf numFmtId="0" fontId="8" fillId="5" borderId="0" xfId="10" applyFont="1" applyFill="1" applyBorder="1" applyAlignment="1">
      <alignment vertical="center"/>
    </xf>
    <xf numFmtId="0" fontId="7"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8" fillId="0" borderId="4" xfId="10" applyFont="1" applyFill="1" applyBorder="1" applyAlignment="1" applyProtection="1">
      <alignment horizontal="left" vertical="center" wrapText="1"/>
    </xf>
    <xf numFmtId="0" fontId="8" fillId="0" borderId="4" xfId="10" applyFont="1" applyFill="1" applyBorder="1" applyAlignment="1" applyProtection="1">
      <alignment horizontal="center" vertical="center" wrapText="1"/>
    </xf>
    <xf numFmtId="0" fontId="8" fillId="0" borderId="4" xfId="10" applyFont="1" applyFill="1" applyBorder="1" applyAlignment="1" applyProtection="1">
      <alignment horizontal="left" vertical="center"/>
    </xf>
    <xf numFmtId="0" fontId="7" fillId="0" borderId="4" xfId="10" applyFont="1" applyBorder="1" applyAlignment="1">
      <alignment vertical="top" wrapText="1"/>
    </xf>
    <xf numFmtId="0" fontId="8" fillId="0" borderId="4" xfId="10" applyFont="1" applyBorder="1" applyAlignment="1">
      <alignment horizontal="center" vertical="top"/>
    </xf>
    <xf numFmtId="0" fontId="7" fillId="4" borderId="4" xfId="10" applyFont="1" applyFill="1" applyBorder="1" applyAlignment="1">
      <alignment horizontal="center"/>
    </xf>
    <xf numFmtId="0" fontId="7" fillId="6" borderId="4" xfId="10" applyFont="1" applyFill="1" applyBorder="1" applyAlignment="1" applyProtection="1">
      <alignment horizontal="left"/>
    </xf>
    <xf numFmtId="0" fontId="8" fillId="4" borderId="7" xfId="14" applyFont="1" applyFill="1" applyBorder="1" applyAlignment="1">
      <alignment vertical="center" wrapText="1"/>
    </xf>
    <xf numFmtId="0" fontId="8" fillId="4" borderId="7" xfId="14" applyFont="1" applyFill="1" applyBorder="1" applyAlignment="1">
      <alignment vertical="center"/>
    </xf>
    <xf numFmtId="0" fontId="8" fillId="0" borderId="0" xfId="14" applyFont="1" applyAlignment="1">
      <alignment vertical="center"/>
    </xf>
    <xf numFmtId="0" fontId="8" fillId="4" borderId="4" xfId="14" applyFont="1" applyFill="1" applyBorder="1" applyAlignment="1">
      <alignment horizontal="center" vertical="center" wrapText="1"/>
    </xf>
    <xf numFmtId="0" fontId="14" fillId="0" borderId="0" xfId="10" applyFont="1" applyFill="1" applyBorder="1"/>
    <xf numFmtId="0" fontId="9" fillId="0" borderId="0" xfId="10" applyFont="1" applyFill="1" applyBorder="1"/>
    <xf numFmtId="0" fontId="9" fillId="0" borderId="0" xfId="10" applyFont="1" applyFill="1" applyBorder="1" applyAlignment="1">
      <alignment horizontal="centerContinuous"/>
    </xf>
    <xf numFmtId="0" fontId="9" fillId="0" borderId="0" xfId="10" applyFont="1" applyFill="1" applyBorder="1" applyAlignment="1">
      <alignment horizontal="centerContinuous" vertical="top"/>
    </xf>
    <xf numFmtId="0" fontId="10" fillId="0" borderId="0" xfId="10" applyFont="1" applyFill="1" applyBorder="1" applyAlignment="1">
      <alignment horizontal="centerContinuous"/>
    </xf>
    <xf numFmtId="0" fontId="10" fillId="7"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vertical="center"/>
    </xf>
    <xf numFmtId="0" fontId="9" fillId="0" borderId="0" xfId="10" applyFont="1" applyFill="1" applyBorder="1" applyAlignment="1">
      <alignment horizontal="center"/>
    </xf>
    <xf numFmtId="0" fontId="9" fillId="0" borderId="0" xfId="10" applyFont="1" applyFill="1" applyBorder="1" applyAlignment="1">
      <alignment horizontal="center" vertical="top"/>
    </xf>
    <xf numFmtId="0" fontId="10" fillId="0" borderId="0" xfId="10" applyFont="1" applyFill="1" applyBorder="1" applyAlignment="1">
      <alignment horizontal="center"/>
    </xf>
    <xf numFmtId="0" fontId="10" fillId="0" borderId="0" xfId="14" applyFont="1" applyFill="1">
      <alignment vertical="center"/>
    </xf>
    <xf numFmtId="0" fontId="8" fillId="4" borderId="4" xfId="14" applyFont="1" applyFill="1" applyBorder="1" applyAlignment="1">
      <alignment horizontal="center" vertical="center" wrapText="1"/>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5" borderId="0" xfId="10" applyFont="1" applyFill="1" applyBorder="1" applyAlignment="1">
      <alignment horizontal="center" vertical="center"/>
    </xf>
    <xf numFmtId="0" fontId="7" fillId="5" borderId="0" xfId="14" applyFont="1" applyFill="1" applyBorder="1">
      <alignment vertical="center"/>
    </xf>
    <xf numFmtId="0" fontId="7" fillId="9" borderId="4" xfId="14" applyFont="1" applyFill="1" applyBorder="1">
      <alignment vertical="center"/>
    </xf>
    <xf numFmtId="0" fontId="7" fillId="0" borderId="0" xfId="14" applyFont="1" applyBorder="1">
      <alignment vertical="center"/>
    </xf>
    <xf numFmtId="0" fontId="9" fillId="0" borderId="0" xfId="10" applyFont="1" applyAlignment="1">
      <alignment vertical="center" wrapText="1"/>
    </xf>
    <xf numFmtId="0" fontId="17" fillId="0" borderId="0" xfId="10" applyAlignment="1">
      <alignment horizontal="center" vertical="center"/>
    </xf>
    <xf numFmtId="0" fontId="8" fillId="0" borderId="0" xfId="10" applyFont="1" applyBorder="1" applyAlignment="1">
      <alignment horizontal="center" vertical="center"/>
    </xf>
    <xf numFmtId="0" fontId="8" fillId="0" borderId="0" xfId="14" applyFont="1" applyBorder="1">
      <alignment vertical="center"/>
    </xf>
    <xf numFmtId="0" fontId="16" fillId="0" borderId="4" xfId="14" applyFont="1" applyBorder="1" applyAlignment="1">
      <alignment vertical="top"/>
    </xf>
    <xf numFmtId="0" fontId="8" fillId="4" borderId="4" xfId="14" applyFont="1" applyFill="1" applyBorder="1" applyAlignment="1">
      <alignment horizontal="center" vertical="center" wrapText="1"/>
    </xf>
    <xf numFmtId="0" fontId="8" fillId="0" borderId="0" xfId="15" applyFont="1" applyAlignment="1">
      <alignment vertical="center" wrapText="1"/>
    </xf>
    <xf numFmtId="0" fontId="31" fillId="6" borderId="0" xfId="10" applyFont="1" applyFill="1" applyAlignment="1">
      <alignment vertical="center"/>
    </xf>
    <xf numFmtId="0" fontId="8" fillId="0" borderId="0" xfId="10" applyFont="1" applyBorder="1" applyAlignment="1">
      <alignment vertical="top"/>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0" borderId="0" xfId="10" applyFont="1" applyBorder="1" applyAlignment="1">
      <alignment horizontal="center" vertical="top"/>
    </xf>
    <xf numFmtId="0" fontId="11" fillId="0" borderId="0" xfId="10" applyFont="1" applyFill="1" applyBorder="1"/>
    <xf numFmtId="0" fontId="27" fillId="0" borderId="0" xfId="10" applyFont="1" applyFill="1" applyBorder="1"/>
    <xf numFmtId="0" fontId="8" fillId="0" borderId="0" xfId="10" applyFont="1" applyFill="1" applyBorder="1" applyAlignment="1" applyProtection="1">
      <alignment vertical="top" wrapText="1"/>
    </xf>
    <xf numFmtId="0" fontId="26" fillId="0" borderId="0" xfId="10" applyFont="1"/>
    <xf numFmtId="0" fontId="37" fillId="0" borderId="0" xfId="10" applyFont="1"/>
    <xf numFmtId="0" fontId="7" fillId="0" borderId="4" xfId="14" applyFont="1" applyFill="1" applyBorder="1" applyAlignment="1">
      <alignment horizontal="center" vertical="center"/>
    </xf>
    <xf numFmtId="0" fontId="8" fillId="0" borderId="4" xfId="10" applyFont="1" applyFill="1" applyBorder="1" applyAlignment="1">
      <alignment horizontal="center" vertical="center" wrapText="1"/>
    </xf>
    <xf numFmtId="0" fontId="8" fillId="0" borderId="4" xfId="10" applyFont="1" applyFill="1" applyBorder="1" applyAlignment="1">
      <alignment horizontal="center" vertical="center"/>
    </xf>
    <xf numFmtId="0" fontId="8" fillId="0" borderId="4" xfId="14" applyFont="1" applyFill="1" applyBorder="1">
      <alignment vertical="center"/>
    </xf>
    <xf numFmtId="0" fontId="26" fillId="0" borderId="0" xfId="10" applyFont="1" applyAlignment="1">
      <alignment vertical="center"/>
    </xf>
    <xf numFmtId="0" fontId="8" fillId="0" borderId="0" xfId="14" applyFont="1" applyBorder="1" applyAlignment="1">
      <alignment horizontal="center" vertical="top" wrapText="1"/>
    </xf>
    <xf numFmtId="0" fontId="8" fillId="0" borderId="0" xfId="14" applyFont="1" applyBorder="1" applyAlignment="1">
      <alignment vertical="top" wrapText="1"/>
    </xf>
    <xf numFmtId="0" fontId="7" fillId="0" borderId="4" xfId="14" applyFont="1" applyBorder="1" applyAlignment="1">
      <alignment horizontal="center" vertical="center" wrapText="1"/>
    </xf>
    <xf numFmtId="0" fontId="7" fillId="0" borderId="0" xfId="14" applyFont="1" applyAlignment="1">
      <alignment horizontal="left" vertical="center"/>
    </xf>
    <xf numFmtId="0" fontId="7" fillId="0" borderId="0" xfId="0" applyFont="1"/>
    <xf numFmtId="0" fontId="38" fillId="0" borderId="0" xfId="14" applyFont="1" applyAlignment="1">
      <alignment horizontal="left"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11" fillId="0" borderId="0" xfId="10" applyFont="1" applyAlignment="1">
      <alignment horizontal="left"/>
    </xf>
    <xf numFmtId="0" fontId="8" fillId="0" borderId="0" xfId="10" applyFont="1" applyAlignment="1">
      <alignment horizontal="right"/>
    </xf>
    <xf numFmtId="0" fontId="8" fillId="4" borderId="4" xfId="68" applyFont="1" applyFill="1" applyBorder="1" applyAlignment="1">
      <alignment horizontal="center" vertical="center" wrapText="1"/>
    </xf>
    <xf numFmtId="0" fontId="7" fillId="6" borderId="0" xfId="68" applyFont="1" applyFill="1">
      <alignment vertical="center"/>
    </xf>
    <xf numFmtId="0" fontId="25" fillId="0" borderId="0" xfId="10" applyFont="1" applyAlignment="1">
      <alignment horizontal="left"/>
    </xf>
    <xf numFmtId="0" fontId="8" fillId="4" borderId="4" xfId="31" quotePrefix="1" applyFont="1" applyFill="1" applyBorder="1" applyAlignment="1">
      <alignment horizontal="center" vertical="center" wrapText="1"/>
    </xf>
    <xf numFmtId="0" fontId="8" fillId="0" borderId="0" xfId="10" applyFont="1" applyAlignment="1">
      <alignment horizontal="left" vertical="top"/>
    </xf>
    <xf numFmtId="0" fontId="8" fillId="6" borderId="0" xfId="31" applyFont="1" applyFill="1" applyAlignment="1">
      <alignment horizontal="left" vertical="top"/>
    </xf>
    <xf numFmtId="0" fontId="8" fillId="6" borderId="0" xfId="10" applyFont="1" applyFill="1" applyAlignment="1">
      <alignment horizontal="left" vertical="top"/>
    </xf>
    <xf numFmtId="0" fontId="25" fillId="6" borderId="0" xfId="10" applyFont="1" applyFill="1" applyAlignment="1">
      <alignment horizontal="left"/>
    </xf>
    <xf numFmtId="0" fontId="7" fillId="6" borderId="0" xfId="14" applyFont="1" applyFill="1">
      <alignment vertical="center"/>
    </xf>
    <xf numFmtId="0" fontId="7" fillId="6" borderId="4" xfId="10" applyFont="1" applyFill="1" applyBorder="1"/>
    <xf numFmtId="0" fontId="7" fillId="0" borderId="0" xfId="68" applyFont="1">
      <alignment vertical="center"/>
    </xf>
    <xf numFmtId="0" fontId="7" fillId="0" borderId="4" xfId="68" applyFont="1" applyBorder="1">
      <alignment vertical="center"/>
    </xf>
    <xf numFmtId="0" fontId="7" fillId="0" borderId="4" xfId="68" applyFont="1" applyBorder="1" applyAlignment="1">
      <alignment horizontal="center" vertical="center"/>
    </xf>
    <xf numFmtId="0" fontId="8" fillId="0" borderId="4" xfId="68" applyFont="1" applyBorder="1">
      <alignment vertical="center"/>
    </xf>
    <xf numFmtId="0" fontId="8" fillId="0" borderId="0" xfId="68" applyFont="1">
      <alignment vertical="center"/>
    </xf>
    <xf numFmtId="0" fontId="8" fillId="0" borderId="4" xfId="31" applyFont="1" applyBorder="1" applyAlignment="1">
      <alignment horizontal="center" vertical="center" wrapText="1"/>
    </xf>
    <xf numFmtId="0" fontId="8" fillId="0" borderId="7" xfId="31" applyFont="1" applyBorder="1" applyAlignment="1">
      <alignment horizontal="center" vertical="center" wrapText="1"/>
    </xf>
    <xf numFmtId="0" fontId="8" fillId="0" borderId="6" xfId="68" applyFont="1" applyBorder="1" applyAlignment="1">
      <alignment horizontal="center" vertical="center"/>
    </xf>
    <xf numFmtId="0" fontId="8" fillId="7" borderId="4" xfId="31" applyFont="1" applyFill="1" applyBorder="1" applyAlignment="1">
      <alignment horizontal="center" vertical="center" wrapText="1"/>
    </xf>
    <xf numFmtId="0" fontId="8" fillId="7" borderId="7" xfId="31" applyFont="1" applyFill="1" applyBorder="1" applyAlignment="1">
      <alignment horizontal="center" vertical="center" wrapText="1"/>
    </xf>
    <xf numFmtId="0" fontId="7" fillId="0" borderId="0" xfId="68" applyFont="1" applyAlignment="1">
      <alignment horizontal="center" vertical="center"/>
    </xf>
    <xf numFmtId="0" fontId="8" fillId="0" borderId="0" xfId="68" applyFont="1" applyAlignment="1">
      <alignment horizontal="left" vertical="center"/>
    </xf>
    <xf numFmtId="0" fontId="8" fillId="0" borderId="0" xfId="10" applyFont="1" applyAlignment="1">
      <alignment vertical="top"/>
    </xf>
    <xf numFmtId="0" fontId="16" fillId="6" borderId="4" xfId="14" applyFont="1" applyFill="1" applyBorder="1">
      <alignment vertical="center"/>
    </xf>
    <xf numFmtId="0" fontId="16" fillId="6" borderId="4" xfId="14" applyFont="1" applyFill="1" applyBorder="1" applyAlignment="1">
      <alignment horizontal="left" vertical="center"/>
    </xf>
    <xf numFmtId="0" fontId="9" fillId="6" borderId="0" xfId="14" applyFont="1" applyFill="1">
      <alignment vertical="center"/>
    </xf>
    <xf numFmtId="0" fontId="10" fillId="6" borderId="0" xfId="14" applyFont="1" applyFill="1">
      <alignment vertical="center"/>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8" fillId="7"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0" fillId="7" borderId="4" xfId="10" applyFont="1" applyFill="1" applyBorder="1" applyAlignment="1">
      <alignment horizontal="center" vertical="center"/>
    </xf>
    <xf numFmtId="0" fontId="8" fillId="0" borderId="0" xfId="10" applyFont="1" applyAlignment="1">
      <alignment horizontal="left"/>
    </xf>
    <xf numFmtId="0" fontId="38" fillId="0" borderId="0" xfId="14" applyFont="1" applyAlignment="1">
      <alignment horizontal="left" vertical="center"/>
    </xf>
    <xf numFmtId="0" fontId="8" fillId="7" borderId="4" xfId="14" applyFont="1" applyFill="1" applyBorder="1" applyAlignment="1">
      <alignment horizontal="center" vertical="center"/>
    </xf>
    <xf numFmtId="0" fontId="7" fillId="6" borderId="0" xfId="10" applyFont="1" applyFill="1" applyBorder="1" applyAlignment="1">
      <alignment horizontal="center"/>
    </xf>
    <xf numFmtId="0" fontId="38" fillId="0" borderId="0" xfId="14" applyFont="1">
      <alignment vertical="center"/>
    </xf>
    <xf numFmtId="0" fontId="7" fillId="5" borderId="4" xfId="10" applyFont="1" applyFill="1" applyBorder="1" applyAlignment="1" applyProtection="1">
      <alignment horizont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0" fontId="8" fillId="4" borderId="4" xfId="14" applyFont="1" applyFill="1" applyBorder="1" applyAlignment="1">
      <alignment horizontal="center" vertical="center" wrapText="1"/>
    </xf>
    <xf numFmtId="164" fontId="7" fillId="0" borderId="4" xfId="69" applyFont="1" applyBorder="1" applyAlignment="1">
      <alignment vertical="center"/>
    </xf>
    <xf numFmtId="164" fontId="7" fillId="6" borderId="4" xfId="69" applyFont="1" applyFill="1" applyBorder="1" applyAlignment="1">
      <alignment vertical="center"/>
    </xf>
    <xf numFmtId="164" fontId="7" fillId="0" borderId="4" xfId="14" applyNumberFormat="1" applyFont="1" applyBorder="1">
      <alignment vertical="center"/>
    </xf>
    <xf numFmtId="0" fontId="8" fillId="0" borderId="4" xfId="10" applyFont="1" applyFill="1" applyBorder="1" applyAlignment="1" applyProtection="1">
      <alignment horizontal="left"/>
    </xf>
    <xf numFmtId="164" fontId="8" fillId="5" borderId="4" xfId="69" applyFont="1" applyFill="1" applyBorder="1" applyAlignment="1" applyProtection="1">
      <alignment horizontal="left"/>
    </xf>
    <xf numFmtId="9" fontId="9" fillId="0" borderId="0" xfId="14" applyNumberFormat="1" applyFont="1" applyFill="1">
      <alignment vertical="center"/>
    </xf>
    <xf numFmtId="1" fontId="9" fillId="0" borderId="0" xfId="14" applyNumberFormat="1" applyFont="1" applyFill="1">
      <alignment vertical="center"/>
    </xf>
    <xf numFmtId="164" fontId="8" fillId="0" borderId="4" xfId="14" applyNumberFormat="1" applyFont="1" applyBorder="1">
      <alignment vertical="center"/>
    </xf>
    <xf numFmtId="0" fontId="8" fillId="0" borderId="4" xfId="14" applyFont="1" applyFill="1" applyBorder="1" applyAlignment="1">
      <alignment horizontal="center" vertical="center"/>
    </xf>
    <xf numFmtId="0" fontId="7" fillId="0" borderId="0" xfId="14" applyFont="1" applyFill="1">
      <alignment vertical="center"/>
    </xf>
    <xf numFmtId="0" fontId="8" fillId="7" borderId="4" xfId="14" applyFont="1" applyFill="1" applyBorder="1" applyAlignment="1">
      <alignment horizontal="center" vertical="center" wrapText="1"/>
    </xf>
    <xf numFmtId="164" fontId="8" fillId="0" borderId="4" xfId="69" applyFont="1" applyBorder="1"/>
    <xf numFmtId="164" fontId="7" fillId="5" borderId="4" xfId="69" applyFont="1" applyFill="1" applyBorder="1" applyAlignment="1" applyProtection="1">
      <alignment horizontal="left"/>
    </xf>
    <xf numFmtId="164" fontId="7" fillId="0" borderId="4" xfId="69" applyFont="1" applyFill="1" applyBorder="1" applyAlignment="1">
      <alignment vertical="center"/>
    </xf>
    <xf numFmtId="164" fontId="17" fillId="0" borderId="4" xfId="69" applyFont="1" applyFill="1" applyBorder="1" applyAlignment="1">
      <alignment horizontal="center" vertical="center" wrapText="1"/>
    </xf>
    <xf numFmtId="164" fontId="7" fillId="0" borderId="0" xfId="69" applyFont="1" applyBorder="1" applyAlignment="1">
      <alignment vertical="center"/>
    </xf>
    <xf numFmtId="164" fontId="7" fillId="0" borderId="4" xfId="69" applyFont="1" applyFill="1" applyBorder="1" applyAlignment="1" applyProtection="1">
      <alignment horizontal="left" vertical="center"/>
    </xf>
    <xf numFmtId="164" fontId="26" fillId="0" borderId="4" xfId="69" applyFont="1" applyFill="1" applyBorder="1" applyAlignment="1">
      <alignment vertical="center"/>
    </xf>
    <xf numFmtId="164" fontId="7" fillId="0" borderId="0" xfId="69" applyFont="1" applyFill="1" applyBorder="1" applyAlignment="1">
      <alignment vertical="center"/>
    </xf>
    <xf numFmtId="164" fontId="8" fillId="0" borderId="4" xfId="69" applyFont="1" applyBorder="1" applyAlignment="1">
      <alignment vertical="center"/>
    </xf>
    <xf numFmtId="164" fontId="7" fillId="0" borderId="0" xfId="69" applyFont="1" applyAlignment="1">
      <alignment vertical="center"/>
    </xf>
    <xf numFmtId="164" fontId="7" fillId="0" borderId="4" xfId="69" applyFont="1" applyBorder="1" applyAlignment="1">
      <alignment vertical="top" wrapText="1"/>
    </xf>
    <xf numFmtId="9" fontId="7" fillId="0" borderId="4" xfId="14" applyNumberFormat="1" applyFont="1" applyBorder="1">
      <alignment vertical="center"/>
    </xf>
    <xf numFmtId="9" fontId="7" fillId="0" borderId="4" xfId="70" applyFont="1" applyBorder="1" applyAlignment="1">
      <alignment vertical="center"/>
    </xf>
    <xf numFmtId="164" fontId="9" fillId="0" borderId="4" xfId="69" applyFont="1" applyBorder="1" applyAlignment="1">
      <alignment vertical="center"/>
    </xf>
    <xf numFmtId="2" fontId="9" fillId="0" borderId="4" xfId="14" applyNumberFormat="1" applyFont="1" applyBorder="1">
      <alignment vertical="center"/>
    </xf>
    <xf numFmtId="164" fontId="9" fillId="0" borderId="4" xfId="14" applyNumberFormat="1" applyFont="1" applyBorder="1">
      <alignment vertical="center"/>
    </xf>
    <xf numFmtId="164" fontId="9" fillId="0" borderId="4" xfId="69" applyFont="1" applyFill="1" applyBorder="1" applyAlignment="1">
      <alignment vertical="center"/>
    </xf>
    <xf numFmtId="164" fontId="9" fillId="0" borderId="0" xfId="69" applyFont="1"/>
    <xf numFmtId="0" fontId="8" fillId="7" borderId="4" xfId="14" applyFont="1" applyFill="1" applyBorder="1" applyAlignment="1">
      <alignment horizontal="center" vertical="center" wrapText="1"/>
    </xf>
    <xf numFmtId="0" fontId="7" fillId="0" borderId="0" xfId="14" applyFont="1" applyFill="1" applyBorder="1" applyAlignment="1">
      <alignment horizontal="centerContinuous" vertical="center"/>
    </xf>
    <xf numFmtId="0" fontId="7" fillId="0" borderId="0" xfId="10" applyFont="1" applyFill="1" applyBorder="1" applyAlignment="1">
      <alignment horizontal="center"/>
    </xf>
    <xf numFmtId="164" fontId="7" fillId="0" borderId="4" xfId="14" applyNumberFormat="1" applyFont="1" applyFill="1" applyBorder="1">
      <alignment vertical="center"/>
    </xf>
    <xf numFmtId="0" fontId="8" fillId="0" borderId="0" xfId="14" applyFont="1" applyAlignment="1">
      <alignment horizontal="center" vertical="center"/>
    </xf>
    <xf numFmtId="0" fontId="12" fillId="0" borderId="4" xfId="10" applyFont="1" applyBorder="1" applyAlignment="1">
      <alignment horizontal="center" vertical="center" wrapText="1"/>
    </xf>
    <xf numFmtId="0" fontId="12" fillId="0" borderId="4" xfId="10" applyFont="1" applyBorder="1" applyAlignment="1">
      <alignment horizontal="left" vertical="center"/>
    </xf>
    <xf numFmtId="166" fontId="7" fillId="0" borderId="4" xfId="10" applyNumberFormat="1" applyFont="1" applyFill="1" applyBorder="1" applyProtection="1"/>
    <xf numFmtId="0" fontId="12" fillId="5" borderId="4" xfId="10" applyFont="1" applyFill="1" applyBorder="1" applyAlignment="1">
      <alignment horizontal="center" vertical="top"/>
    </xf>
    <xf numFmtId="0" fontId="12" fillId="0" borderId="4" xfId="10" applyFont="1" applyFill="1" applyBorder="1" applyAlignment="1" applyProtection="1">
      <alignment horizontal="left"/>
    </xf>
    <xf numFmtId="0" fontId="16" fillId="5" borderId="4" xfId="10" applyFont="1" applyFill="1" applyBorder="1" applyAlignment="1">
      <alignment horizontal="center" vertical="top"/>
    </xf>
    <xf numFmtId="164" fontId="7" fillId="0" borderId="4" xfId="69" applyFont="1" applyBorder="1"/>
    <xf numFmtId="2" fontId="7" fillId="5" borderId="0" xfId="10" applyNumberFormat="1" applyFont="1" applyFill="1" applyBorder="1"/>
    <xf numFmtId="164" fontId="8" fillId="0" borderId="4" xfId="69" applyFont="1" applyBorder="1" applyAlignment="1">
      <alignment horizontal="left" vertical="top"/>
    </xf>
    <xf numFmtId="164" fontId="7" fillId="0" borderId="4" xfId="69" applyFont="1" applyBorder="1" applyAlignment="1">
      <alignment horizontal="left" vertical="top"/>
    </xf>
    <xf numFmtId="164" fontId="7" fillId="6" borderId="4" xfId="69" applyFont="1" applyFill="1" applyBorder="1" applyAlignment="1">
      <alignment horizontal="left" vertical="top"/>
    </xf>
    <xf numFmtId="164" fontId="7" fillId="6" borderId="4" xfId="69" applyFont="1" applyFill="1" applyBorder="1" applyAlignment="1">
      <alignment horizontal="left" vertical="top" wrapText="1"/>
    </xf>
    <xf numFmtId="164" fontId="7" fillId="0" borderId="4" xfId="69" applyFont="1" applyFill="1" applyBorder="1" applyAlignment="1" applyProtection="1">
      <alignment horizontal="left"/>
    </xf>
    <xf numFmtId="164" fontId="10" fillId="0" borderId="4" xfId="69" applyFont="1" applyFill="1" applyBorder="1" applyAlignment="1">
      <alignment vertical="center"/>
    </xf>
    <xf numFmtId="164" fontId="10" fillId="0" borderId="4" xfId="69" applyFont="1" applyFill="1" applyBorder="1" applyAlignment="1">
      <alignment horizontal="center" vertical="center" wrapText="1"/>
    </xf>
    <xf numFmtId="164" fontId="10" fillId="0" borderId="4" xfId="69" applyFont="1" applyFill="1" applyBorder="1" applyAlignment="1">
      <alignment horizontal="center" vertical="center"/>
    </xf>
    <xf numFmtId="0" fontId="7" fillId="0" borderId="0" xfId="10" applyFont="1" applyFill="1" applyAlignment="1">
      <alignment vertical="center"/>
    </xf>
    <xf numFmtId="0" fontId="7" fillId="0" borderId="0" xfId="10" applyFont="1" applyFill="1" applyAlignment="1">
      <alignment vertical="top"/>
    </xf>
    <xf numFmtId="0" fontId="16" fillId="5" borderId="4" xfId="14" applyFont="1" applyFill="1" applyBorder="1" applyAlignment="1">
      <alignment horizontal="center" vertical="center" wrapText="1"/>
    </xf>
    <xf numFmtId="10" fontId="7" fillId="0" borderId="4" xfId="70" applyNumberFormat="1" applyFont="1" applyFill="1" applyBorder="1" applyAlignment="1">
      <alignment vertical="center"/>
    </xf>
    <xf numFmtId="164" fontId="7" fillId="0" borderId="4" xfId="69" applyFont="1" applyFill="1" applyBorder="1" applyAlignment="1">
      <alignment vertical="top" wrapText="1"/>
    </xf>
    <xf numFmtId="164" fontId="8" fillId="0" borderId="4" xfId="69" applyFont="1" applyFill="1" applyBorder="1" applyAlignment="1">
      <alignment vertical="center"/>
    </xf>
    <xf numFmtId="164" fontId="7" fillId="0" borderId="0" xfId="14" applyNumberFormat="1" applyFont="1">
      <alignment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12" fillId="5" borderId="4" xfId="14" applyFont="1" applyFill="1" applyBorder="1" applyAlignment="1">
      <alignment horizontal="center" wrapText="1"/>
    </xf>
    <xf numFmtId="0" fontId="12" fillId="5" borderId="4" xfId="14" applyFont="1" applyFill="1" applyBorder="1" applyAlignment="1">
      <alignment horizontal="left" vertical="center" wrapText="1"/>
    </xf>
    <xf numFmtId="0" fontId="16" fillId="5" borderId="4" xfId="14" quotePrefix="1" applyFont="1" applyFill="1" applyBorder="1" applyAlignment="1">
      <alignment horizontal="center" vertical="center" wrapText="1"/>
    </xf>
    <xf numFmtId="0" fontId="16" fillId="5" borderId="4" xfId="14" applyFont="1" applyFill="1" applyBorder="1" applyAlignment="1">
      <alignment horizontal="center" wrapText="1"/>
    </xf>
    <xf numFmtId="0" fontId="16" fillId="6" borderId="4" xfId="14" applyFont="1" applyFill="1" applyBorder="1" applyAlignment="1">
      <alignment horizontal="left" vertical="center" wrapText="1"/>
    </xf>
    <xf numFmtId="0" fontId="16" fillId="6" borderId="4" xfId="14" applyFont="1" applyFill="1" applyBorder="1" applyAlignment="1">
      <alignment horizontal="left" vertical="center" wrapText="1" indent="1"/>
    </xf>
    <xf numFmtId="0" fontId="16" fillId="6" borderId="4" xfId="14" applyFont="1" applyFill="1" applyBorder="1" applyAlignment="1">
      <alignment horizontal="left" vertical="center" wrapText="1" indent="2"/>
    </xf>
    <xf numFmtId="0" fontId="16" fillId="0" borderId="4" xfId="14" applyFont="1" applyFill="1" applyBorder="1" applyAlignment="1">
      <alignment horizontal="left" vertical="center" wrapText="1"/>
    </xf>
    <xf numFmtId="0" fontId="16" fillId="6" borderId="4" xfId="14" applyFont="1" applyFill="1" applyBorder="1" applyAlignment="1">
      <alignment vertical="center" wrapText="1"/>
    </xf>
    <xf numFmtId="168" fontId="16" fillId="5" borderId="4" xfId="14" applyNumberFormat="1" applyFont="1" applyFill="1" applyBorder="1" applyAlignment="1">
      <alignment horizontal="center" wrapText="1"/>
    </xf>
    <xf numFmtId="2" fontId="16" fillId="5" borderId="4" xfId="14" applyNumberFormat="1" applyFont="1" applyFill="1" applyBorder="1" applyAlignment="1">
      <alignment horizontal="center" vertical="center" wrapText="1"/>
    </xf>
    <xf numFmtId="2" fontId="16" fillId="5" borderId="4" xfId="14" applyNumberFormat="1" applyFont="1" applyFill="1" applyBorder="1" applyAlignment="1">
      <alignment horizontal="center" wrapText="1"/>
    </xf>
    <xf numFmtId="0" fontId="12" fillId="0" borderId="4" xfId="10" applyFont="1" applyBorder="1" applyAlignment="1">
      <alignment horizontal="center"/>
    </xf>
    <xf numFmtId="0" fontId="12" fillId="6" borderId="4" xfId="10" applyFont="1" applyFill="1" applyBorder="1" applyAlignment="1">
      <alignment vertical="top"/>
    </xf>
    <xf numFmtId="0" fontId="16" fillId="0" borderId="4" xfId="10" applyFont="1" applyBorder="1" applyAlignment="1">
      <alignment horizontal="center"/>
    </xf>
    <xf numFmtId="0" fontId="16" fillId="0" borderId="4" xfId="10" applyFont="1" applyBorder="1" applyAlignment="1">
      <alignment vertical="top"/>
    </xf>
    <xf numFmtId="9" fontId="16" fillId="5" borderId="4" xfId="70" applyFont="1" applyFill="1" applyBorder="1" applyAlignment="1">
      <alignment horizontal="center" vertical="center" wrapText="1"/>
    </xf>
    <xf numFmtId="0" fontId="12" fillId="5" borderId="4" xfId="14" applyFont="1" applyFill="1" applyBorder="1" applyAlignment="1">
      <alignment horizontal="center" vertical="center" wrapText="1"/>
    </xf>
    <xf numFmtId="0" fontId="16" fillId="0" borderId="4"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6" fillId="0" borderId="4" xfId="10" applyFont="1" applyFill="1" applyBorder="1" applyAlignment="1">
      <alignment vertical="top"/>
    </xf>
    <xf numFmtId="10" fontId="16" fillId="5" borderId="4" xfId="70" applyNumberFormat="1" applyFont="1" applyFill="1" applyBorder="1" applyAlignment="1">
      <alignment horizontal="center" vertical="center" wrapText="1"/>
    </xf>
    <xf numFmtId="0" fontId="12" fillId="0" borderId="4" xfId="10" applyFont="1" applyBorder="1"/>
    <xf numFmtId="0" fontId="12" fillId="6" borderId="4" xfId="14" applyFont="1" applyFill="1" applyBorder="1" applyAlignment="1">
      <alignment horizontal="left" vertical="center" wrapText="1"/>
    </xf>
    <xf numFmtId="9" fontId="16" fillId="6" borderId="4" xfId="70" applyFont="1" applyFill="1" applyBorder="1" applyAlignment="1">
      <alignment horizontal="left" vertical="center" wrapText="1"/>
    </xf>
    <xf numFmtId="173" fontId="16" fillId="5" borderId="4" xfId="69" applyNumberFormat="1" applyFont="1" applyFill="1" applyBorder="1" applyAlignment="1">
      <alignment horizontal="center" vertical="center" wrapText="1"/>
    </xf>
    <xf numFmtId="0" fontId="12" fillId="6" borderId="4" xfId="14" applyFont="1" applyFill="1" applyBorder="1" applyAlignment="1">
      <alignment vertical="center" wrapText="1"/>
    </xf>
    <xf numFmtId="0" fontId="15" fillId="5" borderId="4" xfId="10" applyFont="1" applyFill="1" applyBorder="1" applyAlignment="1">
      <alignment horizontal="center" vertical="center"/>
    </xf>
    <xf numFmtId="0" fontId="16" fillId="0" borderId="4" xfId="10" applyFont="1" applyFill="1" applyBorder="1" applyProtection="1"/>
    <xf numFmtId="0" fontId="16" fillId="0" borderId="4" xfId="10" applyFont="1" applyFill="1" applyBorder="1" applyAlignment="1" applyProtection="1">
      <alignment horizontal="left"/>
    </xf>
    <xf numFmtId="164" fontId="12" fillId="0" borderId="4" xfId="69" applyFont="1" applyBorder="1"/>
    <xf numFmtId="0" fontId="12" fillId="5" borderId="4" xfId="10" applyFont="1" applyFill="1" applyBorder="1" applyAlignment="1" applyProtection="1">
      <alignment vertical="top" wrapText="1"/>
    </xf>
    <xf numFmtId="164" fontId="12" fillId="0" borderId="4" xfId="69" applyFont="1" applyFill="1" applyBorder="1"/>
    <xf numFmtId="0" fontId="12" fillId="0" borderId="4" xfId="10" applyFont="1" applyFill="1" applyBorder="1"/>
    <xf numFmtId="0" fontId="12" fillId="5" borderId="4" xfId="10" applyFont="1" applyFill="1" applyBorder="1" applyAlignment="1">
      <alignment horizontal="center" vertical="center"/>
    </xf>
    <xf numFmtId="0" fontId="16" fillId="5" borderId="4" xfId="10" applyFont="1" applyFill="1" applyBorder="1" applyAlignment="1">
      <alignment horizontal="center" vertical="center"/>
    </xf>
    <xf numFmtId="0" fontId="12" fillId="5" borderId="4" xfId="10" applyFont="1" applyFill="1" applyBorder="1" applyAlignment="1">
      <alignment horizontal="center"/>
    </xf>
    <xf numFmtId="0" fontId="12" fillId="5" borderId="4" xfId="10" applyFont="1" applyFill="1" applyBorder="1"/>
    <xf numFmtId="0" fontId="16" fillId="5" borderId="4" xfId="10" applyFont="1" applyFill="1" applyBorder="1"/>
    <xf numFmtId="0" fontId="8" fillId="7" borderId="4" xfId="14" applyFont="1" applyFill="1" applyBorder="1" applyAlignment="1">
      <alignment horizontal="center" vertical="center" wrapText="1"/>
    </xf>
    <xf numFmtId="0" fontId="7" fillId="0" borderId="4" xfId="14" applyFont="1" applyBorder="1" applyAlignment="1">
      <alignment vertical="center"/>
    </xf>
    <xf numFmtId="0" fontId="7" fillId="0" borderId="4" xfId="14" applyFont="1" applyFill="1" applyBorder="1" applyAlignment="1">
      <alignment vertical="center"/>
    </xf>
    <xf numFmtId="0" fontId="7" fillId="6" borderId="4" xfId="14" applyFont="1" applyFill="1" applyBorder="1" applyAlignment="1">
      <alignment vertical="center"/>
    </xf>
    <xf numFmtId="0" fontId="7" fillId="0" borderId="4" xfId="10" applyFont="1" applyFill="1" applyBorder="1" applyAlignment="1" applyProtection="1">
      <alignment vertical="center"/>
    </xf>
    <xf numFmtId="0" fontId="8" fillId="0" borderId="4" xfId="10" applyFont="1" applyFill="1" applyBorder="1" applyAlignment="1" applyProtection="1">
      <alignment vertical="center" wrapText="1"/>
    </xf>
    <xf numFmtId="0" fontId="7" fillId="0" borderId="4" xfId="10" applyFont="1" applyFill="1" applyBorder="1" applyAlignment="1" applyProtection="1">
      <alignment vertical="center" wrapText="1"/>
    </xf>
    <xf numFmtId="0" fontId="16" fillId="0" borderId="4" xfId="14" applyFont="1" applyFill="1" applyBorder="1" applyAlignment="1">
      <alignment vertical="center" wrapText="1"/>
    </xf>
    <xf numFmtId="0" fontId="7" fillId="0" borderId="0" xfId="10" applyFont="1" applyFill="1" applyBorder="1" applyAlignment="1">
      <alignment vertical="top"/>
    </xf>
    <xf numFmtId="0" fontId="16" fillId="0" borderId="4" xfId="10" applyFont="1" applyFill="1" applyBorder="1" applyAlignment="1">
      <alignment horizontal="center" vertical="top"/>
    </xf>
    <xf numFmtId="164" fontId="12" fillId="0" borderId="4" xfId="69" applyFont="1" applyFill="1" applyBorder="1" applyAlignment="1">
      <alignment horizontal="center" vertical="center" wrapText="1"/>
    </xf>
    <xf numFmtId="0" fontId="8" fillId="0" borderId="0" xfId="10" applyFont="1" applyFill="1" applyBorder="1"/>
    <xf numFmtId="0" fontId="12" fillId="0" borderId="4" xfId="10" applyFont="1" applyFill="1" applyBorder="1" applyAlignment="1" applyProtection="1">
      <alignment vertical="top" wrapText="1"/>
    </xf>
    <xf numFmtId="0" fontId="16" fillId="0" borderId="4" xfId="10" applyFont="1" applyFill="1" applyBorder="1" applyAlignment="1" applyProtection="1">
      <alignment vertical="top" wrapText="1"/>
    </xf>
    <xf numFmtId="0" fontId="12" fillId="0" borderId="4" xfId="10" applyFont="1" applyFill="1" applyBorder="1" applyAlignment="1">
      <alignment horizontal="center" vertical="center"/>
    </xf>
    <xf numFmtId="0" fontId="7" fillId="0" borderId="4" xfId="10" applyFont="1" applyFill="1" applyBorder="1" applyAlignment="1">
      <alignment horizontal="center" vertical="center"/>
    </xf>
    <xf numFmtId="0" fontId="7" fillId="0" borderId="0" xfId="10" applyFont="1" applyFill="1" applyBorder="1" applyAlignment="1"/>
    <xf numFmtId="0" fontId="8" fillId="0" borderId="4" xfId="10" applyFont="1" applyFill="1" applyBorder="1" applyAlignment="1" applyProtection="1">
      <alignment vertical="center"/>
    </xf>
    <xf numFmtId="174" fontId="7" fillId="0" borderId="4" xfId="69" applyNumberFormat="1" applyFont="1" applyFill="1" applyBorder="1" applyAlignment="1" applyProtection="1">
      <alignment vertical="center" wrapText="1"/>
    </xf>
    <xf numFmtId="174" fontId="7" fillId="0" borderId="0" xfId="69" applyNumberFormat="1" applyFont="1" applyAlignment="1">
      <alignment vertical="center"/>
    </xf>
    <xf numFmtId="0" fontId="7" fillId="5" borderId="4" xfId="10" applyFont="1" applyFill="1" applyBorder="1" applyAlignment="1">
      <alignment horizontal="left"/>
    </xf>
    <xf numFmtId="174" fontId="7" fillId="5" borderId="4" xfId="69" applyNumberFormat="1" applyFont="1" applyFill="1" applyBorder="1" applyAlignment="1" applyProtection="1">
      <alignment horizontal="left"/>
    </xf>
    <xf numFmtId="174" fontId="8" fillId="5" borderId="4" xfId="69" applyNumberFormat="1" applyFont="1" applyFill="1" applyBorder="1" applyAlignment="1" applyProtection="1">
      <alignment horizontal="left"/>
    </xf>
    <xf numFmtId="174" fontId="7" fillId="0" borderId="4" xfId="69" applyNumberFormat="1" applyFont="1" applyBorder="1"/>
    <xf numFmtId="174" fontId="8" fillId="0" borderId="4" xfId="69" applyNumberFormat="1" applyFont="1" applyFill="1" applyBorder="1" applyAlignment="1">
      <alignment vertical="center"/>
    </xf>
    <xf numFmtId="174" fontId="7" fillId="5" borderId="4" xfId="69" quotePrefix="1" applyNumberFormat="1" applyFont="1" applyFill="1" applyBorder="1" applyAlignment="1">
      <alignment horizontal="left" vertical="top" wrapText="1"/>
    </xf>
    <xf numFmtId="174" fontId="7" fillId="5" borderId="0" xfId="69" quotePrefix="1" applyNumberFormat="1" applyFont="1" applyFill="1" applyBorder="1" applyAlignment="1">
      <alignment horizontal="left" vertical="top" wrapText="1"/>
    </xf>
    <xf numFmtId="174" fontId="7" fillId="0" borderId="0" xfId="69" applyNumberFormat="1" applyFont="1" applyBorder="1" applyAlignment="1">
      <alignment vertical="center"/>
    </xf>
    <xf numFmtId="174" fontId="13" fillId="0" borderId="0" xfId="69" applyNumberFormat="1" applyFont="1" applyAlignment="1">
      <alignment horizontal="left" vertical="center"/>
    </xf>
    <xf numFmtId="174" fontId="8" fillId="7" borderId="4" xfId="69" applyNumberFormat="1" applyFont="1" applyFill="1" applyBorder="1" applyAlignment="1">
      <alignment horizontal="center" vertical="center"/>
    </xf>
    <xf numFmtId="174" fontId="8" fillId="7" borderId="4" xfId="69" applyNumberFormat="1" applyFont="1" applyFill="1" applyBorder="1" applyAlignment="1">
      <alignment horizontal="center" vertical="center" wrapText="1"/>
    </xf>
    <xf numFmtId="174" fontId="7" fillId="9" borderId="4" xfId="69" applyNumberFormat="1" applyFont="1" applyFill="1" applyBorder="1" applyAlignment="1">
      <alignment vertical="center"/>
    </xf>
    <xf numFmtId="174" fontId="7" fillId="0" borderId="4" xfId="69" applyNumberFormat="1" applyFont="1" applyBorder="1" applyAlignment="1">
      <alignment vertical="center"/>
    </xf>
    <xf numFmtId="174" fontId="8" fillId="0" borderId="4" xfId="69" applyNumberFormat="1" applyFont="1" applyFill="1" applyBorder="1" applyAlignment="1" applyProtection="1">
      <alignment vertical="center" wrapText="1"/>
    </xf>
    <xf numFmtId="174" fontId="8" fillId="0" borderId="4" xfId="69" applyNumberFormat="1" applyFont="1" applyBorder="1" applyAlignment="1">
      <alignment vertical="center"/>
    </xf>
    <xf numFmtId="164" fontId="7" fillId="0" borderId="4" xfId="69" applyFont="1" applyFill="1" applyBorder="1"/>
    <xf numFmtId="164" fontId="8" fillId="0" borderId="4" xfId="69" applyFont="1" applyFill="1" applyBorder="1"/>
    <xf numFmtId="0" fontId="7" fillId="0" borderId="4" xfId="10" quotePrefix="1" applyFont="1" applyFill="1" applyBorder="1" applyAlignment="1">
      <alignment horizontal="left" vertical="top" wrapText="1"/>
    </xf>
    <xf numFmtId="0" fontId="7" fillId="0" borderId="4" xfId="10" applyFont="1" applyFill="1" applyBorder="1" applyAlignment="1">
      <alignment horizontal="left" vertical="top" wrapText="1"/>
    </xf>
    <xf numFmtId="0" fontId="31" fillId="0" borderId="4" xfId="0" applyFont="1" applyBorder="1"/>
    <xf numFmtId="0" fontId="7" fillId="0" borderId="4" xfId="10" applyFont="1" applyBorder="1" applyAlignment="1">
      <alignment horizontal="left"/>
    </xf>
    <xf numFmtId="0" fontId="8" fillId="4" borderId="4" xfId="14" applyFont="1" applyFill="1" applyBorder="1" applyAlignment="1">
      <alignment horizontal="center" vertical="center" wrapText="1"/>
    </xf>
    <xf numFmtId="10" fontId="16" fillId="0" borderId="4" xfId="70" applyNumberFormat="1" applyFont="1" applyFill="1" applyBorder="1" applyAlignment="1">
      <alignment vertical="center"/>
    </xf>
    <xf numFmtId="0" fontId="7" fillId="0" borderId="4" xfId="14" applyFont="1" applyFill="1" applyBorder="1" applyAlignment="1">
      <alignment horizontal="center" vertical="top" wrapText="1"/>
    </xf>
    <xf numFmtId="164" fontId="8" fillId="0" borderId="4" xfId="69" applyFont="1" applyFill="1" applyBorder="1" applyAlignment="1">
      <alignment vertical="top" wrapText="1"/>
    </xf>
    <xf numFmtId="164" fontId="16" fillId="5" borderId="4" xfId="69" applyFont="1" applyFill="1" applyBorder="1" applyAlignment="1">
      <alignment horizontal="center" vertical="center" wrapText="1"/>
    </xf>
    <xf numFmtId="10" fontId="7" fillId="0" borderId="4" xfId="40" applyNumberFormat="1" applyFont="1" applyFill="1" applyBorder="1" applyAlignment="1">
      <alignment horizontal="center" vertical="center"/>
    </xf>
    <xf numFmtId="164" fontId="8" fillId="0" borderId="4" xfId="69" applyFont="1" applyFill="1" applyBorder="1" applyAlignment="1">
      <alignment horizontal="center" vertical="center"/>
    </xf>
    <xf numFmtId="9" fontId="9" fillId="0" borderId="4" xfId="14" applyNumberFormat="1" applyFont="1" applyBorder="1">
      <alignment vertical="center"/>
    </xf>
    <xf numFmtId="10" fontId="7" fillId="12" borderId="0" xfId="70" applyNumberFormat="1" applyFont="1" applyFill="1" applyBorder="1"/>
    <xf numFmtId="10" fontId="7" fillId="0" borderId="0" xfId="70" applyNumberFormat="1" applyFont="1" applyBorder="1"/>
    <xf numFmtId="0" fontId="12" fillId="0" borderId="4" xfId="14" applyFont="1" applyFill="1" applyBorder="1" applyAlignment="1">
      <alignment horizontal="left" vertical="center" wrapText="1"/>
    </xf>
    <xf numFmtId="0" fontId="12" fillId="0" borderId="4" xfId="14" applyFont="1" applyFill="1" applyBorder="1" applyAlignment="1">
      <alignment horizontal="center" wrapText="1"/>
    </xf>
    <xf numFmtId="0" fontId="16" fillId="0" borderId="4" xfId="14" quotePrefix="1" applyFont="1" applyFill="1" applyBorder="1" applyAlignment="1">
      <alignment horizontal="center" vertical="center" wrapText="1"/>
    </xf>
    <xf numFmtId="0" fontId="12" fillId="0" borderId="4" xfId="10" applyFont="1" applyFill="1" applyBorder="1" applyAlignment="1">
      <alignment horizontal="center"/>
    </xf>
    <xf numFmtId="0" fontId="12" fillId="0" borderId="4" xfId="10" applyFont="1" applyFill="1" applyBorder="1" applyAlignment="1">
      <alignment vertical="top"/>
    </xf>
    <xf numFmtId="0" fontId="7" fillId="0" borderId="4" xfId="10" applyFont="1" applyFill="1" applyBorder="1" applyAlignment="1">
      <alignment horizontal="center"/>
    </xf>
    <xf numFmtId="0" fontId="7" fillId="0" borderId="4" xfId="10" applyFont="1" applyFill="1" applyBorder="1" applyAlignment="1">
      <alignment horizontal="center" vertical="top"/>
    </xf>
    <xf numFmtId="0" fontId="8" fillId="0" borderId="0" xfId="10" applyFont="1" applyFill="1"/>
    <xf numFmtId="0" fontId="31" fillId="0" borderId="4" xfId="0" applyFont="1" applyFill="1" applyBorder="1"/>
    <xf numFmtId="164" fontId="7" fillId="0" borderId="4" xfId="69" applyFont="1" applyFill="1" applyBorder="1" applyAlignment="1">
      <alignment horizontal="left" vertical="top"/>
    </xf>
    <xf numFmtId="164" fontId="7" fillId="0" borderId="4" xfId="69" applyFont="1" applyFill="1" applyBorder="1" applyAlignment="1">
      <alignment horizontal="left" vertical="top" wrapText="1"/>
    </xf>
    <xf numFmtId="43" fontId="9" fillId="0" borderId="0" xfId="14" applyNumberFormat="1" applyFont="1" applyFill="1">
      <alignment vertical="center"/>
    </xf>
    <xf numFmtId="173" fontId="16" fillId="0" borderId="4" xfId="69" applyNumberFormat="1" applyFont="1" applyFill="1" applyBorder="1" applyAlignment="1">
      <alignment horizontal="center" vertical="center" wrapText="1"/>
    </xf>
    <xf numFmtId="9" fontId="16" fillId="0" borderId="4" xfId="70" applyFont="1" applyFill="1" applyBorder="1" applyAlignment="1">
      <alignment horizontal="left" vertical="center" wrapText="1"/>
    </xf>
    <xf numFmtId="9" fontId="16" fillId="0" borderId="4" xfId="70" applyFont="1" applyFill="1" applyBorder="1" applyAlignment="1">
      <alignment horizontal="center" vertical="center" wrapText="1"/>
    </xf>
    <xf numFmtId="9" fontId="16" fillId="0" borderId="4" xfId="70" applyFont="1" applyFill="1" applyBorder="1" applyAlignment="1">
      <alignment vertical="top"/>
    </xf>
    <xf numFmtId="0" fontId="16" fillId="0" borderId="4" xfId="14" applyFont="1" applyFill="1" applyBorder="1" applyAlignment="1">
      <alignment horizontal="center" wrapText="1"/>
    </xf>
    <xf numFmtId="0" fontId="8" fillId="0" borderId="0" xfId="10" applyFont="1" applyFill="1" applyBorder="1" applyAlignment="1">
      <alignment vertical="top"/>
    </xf>
    <xf numFmtId="0" fontId="12" fillId="0" borderId="4" xfId="10" applyFont="1" applyFill="1" applyBorder="1" applyAlignment="1">
      <alignment horizontal="center" vertical="top"/>
    </xf>
    <xf numFmtId="175" fontId="7" fillId="0" borderId="4" xfId="69" applyNumberFormat="1" applyFont="1" applyFill="1" applyBorder="1" applyAlignment="1">
      <alignment horizontal="center" vertical="center"/>
    </xf>
    <xf numFmtId="175" fontId="8" fillId="0" borderId="4" xfId="69" applyNumberFormat="1" applyFont="1" applyFill="1" applyBorder="1" applyAlignment="1">
      <alignment horizontal="center" vertical="center"/>
    </xf>
    <xf numFmtId="164" fontId="8" fillId="0" borderId="0" xfId="69" applyFont="1" applyAlignment="1">
      <alignment horizontal="left" vertical="top"/>
    </xf>
    <xf numFmtId="164" fontId="8" fillId="12" borderId="0" xfId="69" applyFont="1" applyFill="1" applyAlignment="1">
      <alignment horizontal="center" vertical="top"/>
    </xf>
    <xf numFmtId="164" fontId="25" fillId="0" borderId="0" xfId="69" applyFont="1" applyAlignment="1">
      <alignment horizontal="left"/>
    </xf>
    <xf numFmtId="164" fontId="7" fillId="0" borderId="4" xfId="69" applyFont="1" applyFill="1" applyBorder="1" applyAlignment="1" applyProtection="1">
      <alignment vertical="center" wrapText="1"/>
    </xf>
    <xf numFmtId="164" fontId="7" fillId="0" borderId="4" xfId="69" applyFont="1" applyBorder="1" applyAlignment="1">
      <alignment vertical="center" wrapText="1"/>
    </xf>
    <xf numFmtId="164" fontId="7" fillId="0" borderId="4" xfId="69" applyFont="1" applyFill="1" applyBorder="1" applyAlignment="1" applyProtection="1">
      <alignment vertical="center"/>
    </xf>
    <xf numFmtId="164" fontId="8" fillId="0" borderId="4" xfId="69" applyFont="1" applyFill="1" applyBorder="1" applyAlignment="1" applyProtection="1">
      <alignment vertical="center"/>
    </xf>
    <xf numFmtId="0" fontId="12" fillId="0" borderId="4" xfId="14" applyFont="1" applyFill="1" applyBorder="1" applyAlignment="1">
      <alignment horizontal="left" vertical="center"/>
    </xf>
    <xf numFmtId="164" fontId="9" fillId="0" borderId="4" xfId="69" applyFont="1" applyFill="1" applyBorder="1" applyAlignment="1">
      <alignment horizontal="center" vertical="center"/>
    </xf>
    <xf numFmtId="0" fontId="9" fillId="0" borderId="4" xfId="71" applyFont="1" applyFill="1" applyBorder="1" applyAlignment="1">
      <alignment vertical="center" wrapText="1"/>
    </xf>
    <xf numFmtId="0" fontId="9" fillId="0" borderId="4" xfId="71" applyFont="1" applyFill="1" applyBorder="1" applyAlignment="1">
      <alignment horizontal="center" vertical="center" wrapText="1"/>
    </xf>
    <xf numFmtId="0" fontId="7" fillId="0" borderId="4" xfId="10" applyFont="1" applyFill="1" applyBorder="1" applyAlignment="1">
      <alignment vertical="center"/>
    </xf>
    <xf numFmtId="164" fontId="7" fillId="0" borderId="4" xfId="29" applyFont="1" applyFill="1" applyBorder="1" applyAlignment="1">
      <alignment vertical="center"/>
    </xf>
    <xf numFmtId="0" fontId="7" fillId="0" borderId="0" xfId="10" applyFont="1" applyFill="1" applyAlignment="1">
      <alignment horizontal="center" vertical="center"/>
    </xf>
    <xf numFmtId="164" fontId="7" fillId="0" borderId="0" xfId="29" applyFont="1" applyFill="1" applyAlignment="1">
      <alignment horizontal="center" vertical="center"/>
    </xf>
    <xf numFmtId="0" fontId="7" fillId="0" borderId="0" xfId="10" applyFont="1" applyAlignment="1">
      <alignment vertical="center" wrapText="1"/>
    </xf>
    <xf numFmtId="174" fontId="12" fillId="0" borderId="4" xfId="29" applyNumberFormat="1" applyFont="1" applyFill="1" applyBorder="1"/>
    <xf numFmtId="174" fontId="12" fillId="0" borderId="4" xfId="29" applyNumberFormat="1" applyFont="1" applyFill="1" applyBorder="1" applyAlignment="1">
      <alignment horizontal="center"/>
    </xf>
    <xf numFmtId="164" fontId="8" fillId="0" borderId="4" xfId="14" applyNumberFormat="1" applyFont="1" applyFill="1" applyBorder="1">
      <alignment vertical="center"/>
    </xf>
    <xf numFmtId="164" fontId="8" fillId="0" borderId="4" xfId="29" applyFont="1" applyFill="1" applyBorder="1" applyAlignment="1">
      <alignment vertical="center"/>
    </xf>
    <xf numFmtId="2" fontId="7" fillId="0" borderId="4" xfId="14" applyNumberFormat="1" applyFont="1" applyFill="1" applyBorder="1">
      <alignment vertical="center"/>
    </xf>
    <xf numFmtId="0" fontId="8" fillId="0" borderId="4" xfId="14" applyFont="1" applyFill="1" applyBorder="1" applyAlignment="1">
      <alignment horizontal="center" vertical="top" wrapText="1"/>
    </xf>
    <xf numFmtId="0" fontId="8" fillId="0" borderId="4" xfId="14" applyFont="1" applyFill="1" applyBorder="1" applyAlignment="1">
      <alignment vertical="top" wrapText="1"/>
    </xf>
    <xf numFmtId="0" fontId="7" fillId="0" borderId="4" xfId="14" applyFont="1" applyFill="1" applyBorder="1" applyAlignment="1">
      <alignment vertical="top"/>
    </xf>
    <xf numFmtId="43" fontId="7" fillId="0" borderId="0" xfId="14" applyNumberFormat="1" applyFont="1">
      <alignment vertical="center"/>
    </xf>
    <xf numFmtId="10" fontId="35" fillId="0" borderId="4" xfId="70" applyNumberFormat="1" applyFont="1" applyFill="1" applyBorder="1"/>
    <xf numFmtId="164" fontId="16" fillId="0" borderId="4" xfId="69" applyFont="1" applyFill="1" applyBorder="1" applyAlignment="1">
      <alignment horizontal="center" vertical="center" wrapText="1"/>
    </xf>
    <xf numFmtId="164" fontId="7" fillId="0" borderId="4" xfId="69" applyFont="1" applyFill="1" applyBorder="1" applyAlignment="1">
      <alignment horizontal="center" vertical="center" wrapText="1"/>
    </xf>
    <xf numFmtId="164" fontId="16" fillId="0" borderId="4" xfId="69" applyFont="1" applyFill="1" applyBorder="1" applyAlignment="1">
      <alignment vertical="top"/>
    </xf>
    <xf numFmtId="164" fontId="7" fillId="0" borderId="4" xfId="69" quotePrefix="1" applyFont="1" applyFill="1" applyBorder="1" applyAlignment="1">
      <alignment horizontal="center" vertical="center" wrapText="1"/>
    </xf>
    <xf numFmtId="164" fontId="16" fillId="0" borderId="4" xfId="69" quotePrefix="1" applyFont="1" applyFill="1" applyBorder="1" applyAlignment="1">
      <alignment horizontal="center" vertical="center" wrapText="1"/>
    </xf>
    <xf numFmtId="164" fontId="12" fillId="0" borderId="4" xfId="69" applyFont="1" applyFill="1" applyBorder="1" applyAlignment="1">
      <alignment vertical="top"/>
    </xf>
    <xf numFmtId="10" fontId="7" fillId="0" borderId="4" xfId="70" applyNumberFormat="1" applyFont="1" applyFill="1" applyBorder="1" applyAlignment="1">
      <alignment horizontal="center" vertical="center"/>
    </xf>
    <xf numFmtId="0" fontId="16" fillId="0" borderId="4" xfId="10" applyFont="1" applyFill="1" applyBorder="1" applyAlignment="1">
      <alignment horizontal="center"/>
    </xf>
    <xf numFmtId="0" fontId="16" fillId="0" borderId="4" xfId="10" applyFont="1" applyFill="1" applyBorder="1"/>
    <xf numFmtId="169" fontId="16" fillId="0" borderId="4" xfId="69" applyNumberFormat="1" applyFont="1" applyFill="1" applyBorder="1" applyAlignment="1">
      <alignment vertical="top"/>
    </xf>
    <xf numFmtId="169" fontId="7" fillId="0" borderId="0" xfId="10" applyNumberFormat="1" applyFont="1" applyFill="1" applyBorder="1" applyAlignment="1">
      <alignment vertical="top"/>
    </xf>
    <xf numFmtId="0" fontId="48" fillId="0" borderId="0" xfId="0" applyFont="1"/>
    <xf numFmtId="0" fontId="48" fillId="0" borderId="0" xfId="0" applyFont="1" applyAlignment="1">
      <alignment horizontal="left"/>
    </xf>
    <xf numFmtId="0" fontId="50" fillId="0" borderId="4" xfId="0" applyFont="1" applyFill="1" applyBorder="1" applyAlignment="1">
      <alignment horizontal="left" vertical="center"/>
    </xf>
    <xf numFmtId="0" fontId="50" fillId="0" borderId="4" xfId="0" applyFont="1" applyFill="1" applyBorder="1" applyAlignment="1">
      <alignment horizontal="left" vertical="center" wrapText="1"/>
    </xf>
    <xf numFmtId="0" fontId="48" fillId="0" borderId="4" xfId="0" applyFont="1" applyBorder="1" applyAlignment="1">
      <alignment horizontal="center"/>
    </xf>
    <xf numFmtId="0" fontId="51" fillId="0" borderId="4" xfId="0" applyFont="1" applyFill="1" applyBorder="1" applyAlignment="1">
      <alignment horizontal="left" vertical="center" wrapText="1"/>
    </xf>
    <xf numFmtId="0" fontId="49" fillId="0" borderId="0" xfId="0" applyFont="1" applyAlignment="1">
      <alignment horizontal="left"/>
    </xf>
    <xf numFmtId="0" fontId="8" fillId="0" borderId="5" xfId="14" applyFont="1" applyFill="1" applyBorder="1">
      <alignment vertical="center"/>
    </xf>
    <xf numFmtId="0" fontId="8" fillId="0" borderId="4" xfId="14" applyFont="1" applyFill="1" applyBorder="1" applyAlignment="1">
      <alignment horizontal="left" vertical="center"/>
    </xf>
    <xf numFmtId="164" fontId="16" fillId="0" borderId="4" xfId="69" applyFont="1" applyFill="1" applyBorder="1" applyAlignment="1">
      <alignment vertical="center"/>
    </xf>
    <xf numFmtId="0" fontId="31" fillId="6" borderId="0" xfId="10" applyFont="1" applyFill="1" applyAlignment="1">
      <alignment vertical="center"/>
    </xf>
    <xf numFmtId="164" fontId="7" fillId="0" borderId="4" xfId="69" quotePrefix="1" applyFont="1" applyFill="1" applyBorder="1" applyAlignment="1">
      <alignment horizontal="center" vertical="center"/>
    </xf>
    <xf numFmtId="0" fontId="8" fillId="6" borderId="0" xfId="14" applyFont="1" applyFill="1" applyBorder="1" applyAlignment="1">
      <alignment vertical="center"/>
    </xf>
    <xf numFmtId="0" fontId="8" fillId="6" borderId="0" xfId="10" applyFont="1" applyFill="1" applyBorder="1" applyAlignment="1">
      <alignment vertical="center"/>
    </xf>
    <xf numFmtId="10" fontId="8" fillId="0" borderId="4" xfId="70" applyNumberFormat="1" applyFont="1" applyFill="1" applyBorder="1" applyAlignment="1">
      <alignment vertical="center"/>
    </xf>
    <xf numFmtId="10" fontId="7" fillId="0" borderId="4" xfId="70" applyNumberFormat="1" applyFont="1" applyFill="1" applyBorder="1" applyAlignment="1">
      <alignment horizontal="center" vertical="center" wrapText="1"/>
    </xf>
    <xf numFmtId="10" fontId="16" fillId="0" borderId="4" xfId="70" applyNumberFormat="1" applyFont="1" applyFill="1" applyBorder="1" applyAlignment="1">
      <alignment horizontal="center" vertical="center" wrapText="1"/>
    </xf>
    <xf numFmtId="164" fontId="44" fillId="0" borderId="4" xfId="69" applyFont="1" applyFill="1" applyBorder="1" applyAlignment="1">
      <alignment horizontal="center" vertical="center" wrapText="1"/>
    </xf>
    <xf numFmtId="173" fontId="16" fillId="0" borderId="4" xfId="70" applyNumberFormat="1" applyFont="1" applyFill="1" applyBorder="1" applyAlignment="1">
      <alignment horizontal="center" vertical="center" wrapText="1"/>
    </xf>
    <xf numFmtId="10" fontId="16" fillId="0" borderId="4" xfId="70" applyNumberFormat="1" applyFont="1" applyFill="1" applyBorder="1" applyAlignment="1">
      <alignment vertical="center" wrapText="1"/>
    </xf>
    <xf numFmtId="10" fontId="16" fillId="0" borderId="4" xfId="70" applyNumberFormat="1" applyFont="1" applyFill="1" applyBorder="1" applyAlignment="1">
      <alignment vertical="top"/>
    </xf>
    <xf numFmtId="2" fontId="16" fillId="0" borderId="4" xfId="14" applyNumberFormat="1" applyFont="1" applyFill="1" applyBorder="1" applyAlignment="1">
      <alignment horizontal="center" vertical="center" wrapText="1"/>
    </xf>
    <xf numFmtId="10" fontId="16" fillId="0" borderId="4" xfId="70" applyNumberFormat="1" applyFont="1" applyFill="1" applyBorder="1" applyAlignment="1"/>
    <xf numFmtId="10" fontId="7" fillId="0" borderId="4" xfId="70" applyNumberFormat="1" applyFont="1" applyFill="1" applyBorder="1" applyAlignment="1">
      <alignment wrapText="1"/>
    </xf>
    <xf numFmtId="10" fontId="16" fillId="0" borderId="4" xfId="70" applyNumberFormat="1" applyFont="1" applyFill="1" applyBorder="1" applyAlignment="1">
      <alignment wrapText="1"/>
    </xf>
    <xf numFmtId="10" fontId="46" fillId="0" borderId="4" xfId="70" applyNumberFormat="1" applyFont="1" applyFill="1" applyBorder="1" applyAlignment="1">
      <alignment wrapText="1"/>
    </xf>
    <xf numFmtId="164" fontId="7" fillId="0" borderId="4" xfId="69" applyFont="1" applyFill="1" applyBorder="1" applyAlignment="1">
      <alignment horizontal="right" vertical="center" wrapText="1"/>
    </xf>
    <xf numFmtId="164" fontId="16" fillId="0" borderId="4" xfId="69" applyFont="1" applyFill="1" applyBorder="1" applyAlignment="1">
      <alignment horizontal="right" vertical="center" wrapText="1"/>
    </xf>
    <xf numFmtId="10" fontId="16" fillId="0" borderId="4" xfId="70" applyNumberFormat="1" applyFont="1" applyFill="1" applyBorder="1" applyAlignment="1">
      <alignment horizontal="right" vertical="center" wrapText="1"/>
    </xf>
    <xf numFmtId="10" fontId="7" fillId="0" borderId="4" xfId="70" applyNumberFormat="1" applyFont="1" applyFill="1" applyBorder="1" applyAlignment="1">
      <alignment horizontal="right" vertical="center" wrapText="1"/>
    </xf>
    <xf numFmtId="10" fontId="16" fillId="0" borderId="4" xfId="70" applyNumberFormat="1" applyFont="1" applyFill="1" applyBorder="1" applyAlignment="1">
      <alignment horizontal="right" vertical="center"/>
    </xf>
    <xf numFmtId="164" fontId="7" fillId="0" borderId="4" xfId="69" applyFont="1" applyFill="1" applyBorder="1" applyAlignment="1">
      <alignment horizontal="right" vertical="center"/>
    </xf>
    <xf numFmtId="164" fontId="16" fillId="0" borderId="4" xfId="69" applyFont="1" applyFill="1" applyBorder="1" applyAlignment="1">
      <alignment horizontal="right" vertical="center"/>
    </xf>
    <xf numFmtId="164" fontId="7" fillId="0" borderId="4" xfId="69" quotePrefix="1" applyFont="1" applyFill="1" applyBorder="1" applyAlignment="1">
      <alignment horizontal="right" vertical="center" wrapText="1"/>
    </xf>
    <xf numFmtId="164" fontId="16" fillId="0" borderId="4" xfId="69" quotePrefix="1" applyFont="1" applyFill="1" applyBorder="1" applyAlignment="1">
      <alignment horizontal="right" vertical="center" wrapText="1"/>
    </xf>
    <xf numFmtId="174" fontId="7" fillId="0" borderId="4" xfId="69" applyNumberFormat="1" applyFont="1" applyFill="1" applyBorder="1" applyAlignment="1">
      <alignment horizontal="center" vertical="center"/>
    </xf>
    <xf numFmtId="0" fontId="7" fillId="0" borderId="4" xfId="10" applyFont="1" applyFill="1" applyBorder="1" applyAlignment="1" applyProtection="1">
      <alignment horizontal="left" vertical="center" wrapText="1"/>
    </xf>
    <xf numFmtId="0" fontId="8" fillId="5" borderId="0" xfId="10" applyFont="1" applyFill="1" applyBorder="1" applyAlignment="1" applyProtection="1">
      <alignment horizontal="left" vertical="center" wrapText="1"/>
    </xf>
    <xf numFmtId="0" fontId="7" fillId="5" borderId="0" xfId="10" applyFont="1" applyFill="1" applyBorder="1" applyAlignment="1">
      <alignment horizontal="left" vertical="center"/>
    </xf>
    <xf numFmtId="0" fontId="7" fillId="0" borderId="0" xfId="10" applyFont="1" applyFill="1" applyBorder="1" applyAlignment="1" applyProtection="1">
      <alignment horizontal="left" vertical="center"/>
    </xf>
    <xf numFmtId="0" fontId="7" fillId="0" borderId="4" xfId="14" applyFont="1" applyFill="1" applyBorder="1" applyAlignment="1">
      <alignment horizontal="left" vertical="center" wrapText="1"/>
    </xf>
    <xf numFmtId="0" fontId="7" fillId="0" borderId="4" xfId="10" applyFont="1" applyFill="1" applyBorder="1" applyAlignment="1">
      <alignment horizontal="left" vertical="center"/>
    </xf>
    <xf numFmtId="0" fontId="8" fillId="0" borderId="0" xfId="10" applyFont="1" applyFill="1" applyBorder="1" applyAlignment="1">
      <alignment vertical="center"/>
    </xf>
    <xf numFmtId="0" fontId="8" fillId="14" borderId="4" xfId="10" applyFont="1" applyFill="1" applyBorder="1" applyAlignment="1">
      <alignment horizontal="left"/>
    </xf>
    <xf numFmtId="0" fontId="7" fillId="12" borderId="4" xfId="10" applyFont="1" applyFill="1" applyBorder="1"/>
    <xf numFmtId="164" fontId="52" fillId="0" borderId="4" xfId="25" applyFont="1" applyBorder="1" applyAlignment="1">
      <alignment horizontal="right" vertical="center" wrapText="1"/>
    </xf>
    <xf numFmtId="0" fontId="7" fillId="0" borderId="9" xfId="10" applyFont="1" applyBorder="1" applyAlignment="1">
      <alignment horizontal="center" vertical="center"/>
    </xf>
    <xf numFmtId="0" fontId="8" fillId="0" borderId="11" xfId="10" applyFont="1" applyBorder="1" applyAlignment="1">
      <alignment vertical="center" wrapText="1"/>
    </xf>
    <xf numFmtId="0" fontId="8" fillId="0" borderId="11" xfId="15" applyFont="1" applyBorder="1" applyAlignment="1">
      <alignment horizontal="center" vertical="center"/>
    </xf>
    <xf numFmtId="0" fontId="7" fillId="0" borderId="12" xfId="10" applyFont="1" applyBorder="1" applyAlignment="1">
      <alignment horizontal="center" vertical="center"/>
    </xf>
    <xf numFmtId="0" fontId="7" fillId="0" borderId="15" xfId="10" applyFont="1" applyBorder="1" applyAlignment="1">
      <alignment horizontal="center" vertical="center"/>
    </xf>
    <xf numFmtId="0" fontId="8" fillId="5" borderId="16" xfId="10" applyFont="1" applyFill="1" applyBorder="1" applyAlignment="1">
      <alignment horizontal="center" vertical="center"/>
    </xf>
    <xf numFmtId="0" fontId="7" fillId="15" borderId="4" xfId="10" applyFont="1" applyFill="1" applyBorder="1" applyAlignment="1">
      <alignment vertical="center"/>
    </xf>
    <xf numFmtId="0" fontId="7" fillId="15" borderId="4" xfId="10" applyFont="1" applyFill="1" applyBorder="1"/>
    <xf numFmtId="0" fontId="7" fillId="15" borderId="4" xfId="10" applyFont="1" applyFill="1" applyBorder="1" applyAlignment="1">
      <alignment horizontal="center" vertical="center"/>
    </xf>
    <xf numFmtId="0" fontId="7" fillId="0" borderId="4" xfId="10" applyFont="1" applyFill="1" applyBorder="1" applyAlignment="1">
      <alignment horizontal="left" vertical="center" wrapText="1"/>
    </xf>
    <xf numFmtId="0" fontId="7" fillId="16" borderId="4" xfId="10" applyFont="1" applyFill="1" applyBorder="1" applyAlignment="1">
      <alignment horizontal="center" vertical="center"/>
    </xf>
    <xf numFmtId="0" fontId="8" fillId="0" borderId="0" xfId="15" applyFont="1" applyAlignment="1">
      <alignment horizontal="center" vertical="center" wrapText="1"/>
    </xf>
    <xf numFmtId="0" fontId="8" fillId="14" borderId="4" xfId="10" applyFont="1" applyFill="1" applyBorder="1" applyAlignment="1">
      <alignment vertical="center" wrapText="1"/>
    </xf>
    <xf numFmtId="0" fontId="7" fillId="0" borderId="0" xfId="10" applyFont="1" applyAlignment="1">
      <alignment horizontal="center" vertical="center" wrapText="1"/>
    </xf>
    <xf numFmtId="14" fontId="7" fillId="0" borderId="0" xfId="10" applyNumberFormat="1" applyFont="1" applyAlignment="1">
      <alignment horizontal="center" vertical="center" wrapText="1"/>
    </xf>
    <xf numFmtId="10" fontId="7" fillId="0" borderId="0" xfId="40" applyNumberFormat="1" applyFont="1" applyFill="1" applyAlignment="1">
      <alignment horizontal="center" vertical="center"/>
    </xf>
    <xf numFmtId="10" fontId="7" fillId="0" borderId="0" xfId="10" applyNumberFormat="1" applyFont="1" applyFill="1" applyAlignment="1">
      <alignment horizontal="center" vertical="center"/>
    </xf>
    <xf numFmtId="43" fontId="8" fillId="0" borderId="4" xfId="29" applyNumberFormat="1" applyFont="1" applyFill="1" applyBorder="1" applyAlignment="1">
      <alignment vertical="center"/>
    </xf>
    <xf numFmtId="164" fontId="7" fillId="0" borderId="4" xfId="29" applyFont="1" applyFill="1" applyBorder="1" applyAlignment="1">
      <alignment horizontal="center" vertical="center" wrapText="1"/>
    </xf>
    <xf numFmtId="10" fontId="46" fillId="5" borderId="4" xfId="70" applyNumberFormat="1" applyFont="1" applyFill="1" applyBorder="1" applyAlignment="1">
      <alignment horizontal="center" vertical="center" wrapText="1"/>
    </xf>
    <xf numFmtId="10" fontId="46" fillId="0" borderId="4" xfId="70" applyNumberFormat="1" applyFont="1" applyFill="1" applyBorder="1" applyAlignment="1">
      <alignment horizontal="center" vertical="center" wrapText="1"/>
    </xf>
    <xf numFmtId="164" fontId="46" fillId="0" borderId="4" xfId="69" applyFont="1" applyFill="1" applyBorder="1" applyAlignment="1">
      <alignment horizontal="center" vertical="center" wrapText="1"/>
    </xf>
    <xf numFmtId="164" fontId="7" fillId="0" borderId="4" xfId="29" applyFont="1" applyFill="1" applyBorder="1" applyAlignment="1">
      <alignment horizontal="center" vertical="center"/>
    </xf>
    <xf numFmtId="0" fontId="7" fillId="0" borderId="0" xfId="10" applyFont="1" applyFill="1" applyBorder="1" applyAlignment="1">
      <alignment horizontal="left"/>
    </xf>
    <xf numFmtId="43" fontId="7" fillId="0" borderId="0" xfId="14" applyNumberFormat="1" applyFont="1" applyFill="1">
      <alignment vertical="center"/>
    </xf>
    <xf numFmtId="10" fontId="35" fillId="0" borderId="4" xfId="69" applyNumberFormat="1" applyFont="1" applyFill="1" applyBorder="1"/>
    <xf numFmtId="10" fontId="7" fillId="0" borderId="4" xfId="14" applyNumberFormat="1" applyFont="1" applyFill="1" applyBorder="1">
      <alignment vertical="center"/>
    </xf>
    <xf numFmtId="0" fontId="8" fillId="0" borderId="0" xfId="14" applyFont="1" applyFill="1">
      <alignment vertical="center"/>
    </xf>
    <xf numFmtId="2" fontId="7" fillId="0" borderId="4" xfId="14" applyNumberFormat="1" applyFont="1" applyBorder="1">
      <alignment vertical="center"/>
    </xf>
    <xf numFmtId="10" fontId="7" fillId="0" borderId="4" xfId="70" applyNumberFormat="1" applyFont="1" applyBorder="1" applyAlignment="1">
      <alignment vertical="center"/>
    </xf>
    <xf numFmtId="178" fontId="9" fillId="0" borderId="4" xfId="70" applyNumberFormat="1" applyFont="1" applyFill="1" applyBorder="1" applyAlignment="1">
      <alignment horizontal="center" vertical="center"/>
    </xf>
    <xf numFmtId="178" fontId="9" fillId="0" borderId="4" xfId="70" applyNumberFormat="1" applyFont="1" applyBorder="1" applyAlignment="1">
      <alignment horizontal="center" vertical="center"/>
    </xf>
    <xf numFmtId="10" fontId="7" fillId="5" borderId="4" xfId="70" applyNumberFormat="1" applyFont="1" applyFill="1" applyBorder="1" applyAlignment="1" applyProtection="1">
      <alignment horizontal="left"/>
    </xf>
    <xf numFmtId="10" fontId="7" fillId="0" borderId="4" xfId="70" applyNumberFormat="1" applyFont="1" applyFill="1" applyBorder="1" applyAlignment="1" applyProtection="1">
      <alignment vertical="center" wrapText="1"/>
    </xf>
    <xf numFmtId="10" fontId="7" fillId="0" borderId="4" xfId="70" applyNumberFormat="1" applyFont="1" applyBorder="1" applyAlignment="1">
      <alignment vertical="center" wrapText="1"/>
    </xf>
    <xf numFmtId="10" fontId="7" fillId="0" borderId="4" xfId="70" applyNumberFormat="1" applyFont="1" applyFill="1" applyBorder="1" applyAlignment="1" applyProtection="1">
      <alignment vertical="center"/>
    </xf>
    <xf numFmtId="10" fontId="7" fillId="0" borderId="0" xfId="70" applyNumberFormat="1" applyFont="1" applyAlignment="1">
      <alignment vertical="center"/>
    </xf>
    <xf numFmtId="0" fontId="7" fillId="0" borderId="0" xfId="14" applyNumberFormat="1" applyFont="1" applyAlignment="1">
      <alignment horizontal="center" vertical="center"/>
    </xf>
    <xf numFmtId="0" fontId="7" fillId="0" borderId="0" xfId="10" applyNumberFormat="1" applyFont="1" applyBorder="1" applyAlignment="1">
      <alignment horizontal="center"/>
    </xf>
    <xf numFmtId="0" fontId="8" fillId="4" borderId="4" xfId="14" applyNumberFormat="1" applyFont="1" applyFill="1" applyBorder="1" applyAlignment="1">
      <alignment horizontal="center" vertical="center" wrapText="1"/>
    </xf>
    <xf numFmtId="0" fontId="7" fillId="0" borderId="4" xfId="14" applyNumberFormat="1" applyFont="1" applyBorder="1" applyAlignment="1">
      <alignment horizontal="center" vertical="center"/>
    </xf>
    <xf numFmtId="0" fontId="7" fillId="0" borderId="4" xfId="14" applyNumberFormat="1" applyFont="1" applyFill="1" applyBorder="1" applyAlignment="1">
      <alignment horizontal="center" vertical="center"/>
    </xf>
    <xf numFmtId="0" fontId="8" fillId="0" borderId="4" xfId="14" applyNumberFormat="1" applyFont="1" applyBorder="1" applyAlignment="1">
      <alignment horizontal="center" vertical="center"/>
    </xf>
    <xf numFmtId="0" fontId="7" fillId="9" borderId="4" xfId="14" applyNumberFormat="1" applyFont="1" applyFill="1" applyBorder="1" applyAlignment="1">
      <alignment horizontal="center" vertical="center"/>
    </xf>
    <xf numFmtId="0" fontId="7" fillId="0" borderId="4" xfId="70" applyNumberFormat="1" applyFont="1" applyBorder="1" applyAlignment="1">
      <alignment horizontal="center" vertical="center"/>
    </xf>
    <xf numFmtId="0" fontId="8" fillId="0" borderId="4" xfId="14" applyNumberFormat="1" applyFont="1" applyFill="1" applyBorder="1" applyAlignment="1">
      <alignment horizontal="center" vertical="center"/>
    </xf>
    <xf numFmtId="0" fontId="7" fillId="0" borderId="0" xfId="14" applyNumberFormat="1" applyFont="1" applyBorder="1" applyAlignment="1">
      <alignment horizontal="center" vertical="center"/>
    </xf>
    <xf numFmtId="0" fontId="7" fillId="0" borderId="0" xfId="14" applyNumberFormat="1" applyFont="1">
      <alignment vertical="center"/>
    </xf>
    <xf numFmtId="43" fontId="7" fillId="0" borderId="0" xfId="10" applyNumberFormat="1" applyFont="1"/>
    <xf numFmtId="2" fontId="7" fillId="0" borderId="0" xfId="14" applyNumberFormat="1" applyFont="1">
      <alignment vertical="center"/>
    </xf>
    <xf numFmtId="43" fontId="9" fillId="0" borderId="0" xfId="14" applyNumberFormat="1" applyFont="1">
      <alignment vertical="center"/>
    </xf>
    <xf numFmtId="43" fontId="7" fillId="0" borderId="0" xfId="10" applyNumberFormat="1" applyFont="1" applyBorder="1"/>
    <xf numFmtId="164" fontId="7" fillId="0" borderId="0" xfId="14" applyNumberFormat="1" applyFont="1" applyFill="1">
      <alignment vertical="center"/>
    </xf>
    <xf numFmtId="164" fontId="7" fillId="0" borderId="0" xfId="69" applyFont="1" applyFill="1" applyAlignment="1">
      <alignment vertical="center"/>
    </xf>
    <xf numFmtId="0" fontId="31" fillId="0" borderId="4" xfId="10" applyFont="1" applyFill="1" applyBorder="1" applyAlignment="1">
      <alignment horizontal="center"/>
    </xf>
    <xf numFmtId="0" fontId="30" fillId="0" borderId="4" xfId="10" applyFont="1" applyFill="1" applyBorder="1" applyAlignment="1">
      <alignment horizontal="center"/>
    </xf>
    <xf numFmtId="0" fontId="31" fillId="0" borderId="4" xfId="10" applyFont="1" applyFill="1" applyBorder="1" applyAlignment="1"/>
    <xf numFmtId="0" fontId="30" fillId="7" borderId="4" xfId="10" applyFont="1" applyFill="1" applyBorder="1" applyAlignment="1">
      <alignment horizontal="center" vertical="center" wrapText="1"/>
    </xf>
    <xf numFmtId="164" fontId="7" fillId="0" borderId="0" xfId="69" applyFont="1" applyFill="1"/>
    <xf numFmtId="43" fontId="7" fillId="0" borderId="0" xfId="10" applyNumberFormat="1" applyFont="1" applyFill="1"/>
    <xf numFmtId="0" fontId="8" fillId="0" borderId="7" xfId="14" applyFont="1" applyFill="1" applyBorder="1" applyAlignment="1">
      <alignment horizontal="center" vertical="center"/>
    </xf>
    <xf numFmtId="0" fontId="7" fillId="0" borderId="4" xfId="10" applyFont="1" applyFill="1" applyBorder="1" applyAlignment="1"/>
    <xf numFmtId="164" fontId="48" fillId="0" borderId="4" xfId="69" applyFont="1" applyFill="1" applyBorder="1"/>
    <xf numFmtId="10" fontId="48" fillId="0" borderId="4" xfId="0" applyNumberFormat="1" applyFont="1" applyFill="1" applyBorder="1"/>
    <xf numFmtId="0" fontId="8" fillId="0" borderId="4" xfId="10" applyFont="1" applyFill="1" applyBorder="1" applyAlignment="1"/>
    <xf numFmtId="9" fontId="7" fillId="0" borderId="4" xfId="14" applyNumberFormat="1" applyFont="1" applyFill="1" applyBorder="1">
      <alignment vertical="center"/>
    </xf>
    <xf numFmtId="0" fontId="8" fillId="4" borderId="4" xfId="14" applyFont="1" applyFill="1" applyBorder="1" applyAlignment="1">
      <alignment horizontal="center" vertical="center" wrapText="1"/>
    </xf>
    <xf numFmtId="0" fontId="8" fillId="0" borderId="0" xfId="10" applyFont="1" applyBorder="1" applyAlignment="1">
      <alignment horizontal="center" vertical="center"/>
    </xf>
    <xf numFmtId="0" fontId="8" fillId="0" borderId="0" xfId="14" applyFont="1" applyAlignment="1">
      <alignment horizontal="center" vertical="center"/>
    </xf>
    <xf numFmtId="0" fontId="8" fillId="0" borderId="0" xfId="10" applyFont="1" applyFill="1" applyBorder="1" applyAlignment="1">
      <alignment horizontal="center" vertical="center"/>
    </xf>
    <xf numFmtId="0" fontId="8" fillId="0" borderId="0" xfId="10" applyFont="1" applyAlignment="1">
      <alignment horizontal="left"/>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164" fontId="7" fillId="0" borderId="4" xfId="69" applyFont="1" applyFill="1" applyBorder="1" applyAlignment="1">
      <alignment horizontal="center" vertical="center"/>
    </xf>
    <xf numFmtId="164" fontId="7" fillId="0" borderId="4" xfId="29" applyFont="1" applyFill="1" applyBorder="1" applyAlignment="1">
      <alignment horizontal="right" vertical="center"/>
    </xf>
    <xf numFmtId="179" fontId="16" fillId="0" borderId="4" xfId="70" applyNumberFormat="1" applyFont="1" applyFill="1" applyBorder="1" applyAlignment="1"/>
    <xf numFmtId="10" fontId="16" fillId="0" borderId="4" xfId="70" applyNumberFormat="1" applyFont="1" applyBorder="1" applyAlignment="1">
      <alignment vertical="top"/>
    </xf>
    <xf numFmtId="179" fontId="7" fillId="0" borderId="4" xfId="70" applyNumberFormat="1" applyFont="1" applyFill="1" applyBorder="1" applyAlignment="1">
      <alignment wrapText="1"/>
    </xf>
    <xf numFmtId="179" fontId="16" fillId="0" borderId="4" xfId="70" applyNumberFormat="1" applyFont="1" applyFill="1" applyBorder="1" applyAlignment="1">
      <alignment wrapText="1"/>
    </xf>
    <xf numFmtId="179" fontId="46" fillId="0" borderId="4" xfId="70" applyNumberFormat="1" applyFont="1" applyFill="1" applyBorder="1" applyAlignment="1">
      <alignment wrapText="1"/>
    </xf>
    <xf numFmtId="179" fontId="16" fillId="0" borderId="4" xfId="70" applyNumberFormat="1" applyFont="1" applyFill="1" applyBorder="1" applyAlignment="1">
      <alignment vertical="top"/>
    </xf>
    <xf numFmtId="10" fontId="16" fillId="0" borderId="4" xfId="40" applyNumberFormat="1" applyFont="1" applyFill="1" applyBorder="1" applyAlignment="1"/>
    <xf numFmtId="9" fontId="16" fillId="0" borderId="4" xfId="40" applyNumberFormat="1" applyFont="1" applyFill="1" applyBorder="1" applyAlignment="1">
      <alignment horizontal="center"/>
    </xf>
    <xf numFmtId="164" fontId="16" fillId="0" borderId="4" xfId="29" applyFont="1" applyFill="1" applyBorder="1" applyAlignment="1">
      <alignment horizontal="right" vertical="center"/>
    </xf>
    <xf numFmtId="10" fontId="7" fillId="0" borderId="4" xfId="40" applyNumberFormat="1" applyFont="1" applyFill="1" applyBorder="1" applyAlignment="1">
      <alignment horizontal="right" vertical="center"/>
    </xf>
    <xf numFmtId="10" fontId="16" fillId="0" borderId="4" xfId="40" applyNumberFormat="1" applyFont="1" applyFill="1" applyBorder="1" applyAlignment="1">
      <alignment horizontal="right" vertical="center"/>
    </xf>
    <xf numFmtId="169" fontId="7" fillId="0" borderId="4" xfId="29" applyNumberFormat="1" applyFont="1" applyFill="1" applyBorder="1" applyAlignment="1">
      <alignment horizontal="right" vertical="center"/>
    </xf>
    <xf numFmtId="164" fontId="7" fillId="0" borderId="4" xfId="29" quotePrefix="1" applyFont="1" applyFill="1" applyBorder="1" applyAlignment="1">
      <alignment horizontal="center" vertical="center"/>
    </xf>
    <xf numFmtId="164" fontId="7" fillId="0" borderId="4" xfId="29" quotePrefix="1" applyFont="1" applyFill="1" applyBorder="1" applyAlignment="1">
      <alignment horizontal="right" vertical="center"/>
    </xf>
    <xf numFmtId="164" fontId="16" fillId="0" borderId="4" xfId="29" quotePrefix="1" applyFont="1" applyFill="1" applyBorder="1" applyAlignment="1">
      <alignment horizontal="right" vertical="center"/>
    </xf>
    <xf numFmtId="164" fontId="16" fillId="0" borderId="4" xfId="29" applyFont="1" applyFill="1" applyBorder="1" applyAlignment="1">
      <alignment horizontal="center" vertical="center"/>
    </xf>
    <xf numFmtId="164" fontId="16" fillId="0" borderId="4" xfId="29" quotePrefix="1" applyFont="1" applyFill="1" applyBorder="1" applyAlignment="1">
      <alignment horizontal="center" vertical="center"/>
    </xf>
    <xf numFmtId="164" fontId="12" fillId="0" borderId="4" xfId="29" applyFont="1" applyFill="1" applyBorder="1" applyAlignment="1">
      <alignment horizontal="center" vertical="center"/>
    </xf>
    <xf numFmtId="10" fontId="16" fillId="0" borderId="4" xfId="40" applyNumberFormat="1" applyFont="1" applyFill="1" applyBorder="1" applyAlignment="1">
      <alignment horizontal="center" vertical="center"/>
    </xf>
    <xf numFmtId="169" fontId="7" fillId="0" borderId="4" xfId="29" quotePrefix="1" applyNumberFormat="1" applyFont="1" applyFill="1" applyBorder="1" applyAlignment="1">
      <alignment vertical="center"/>
    </xf>
    <xf numFmtId="169" fontId="16" fillId="0" borderId="4" xfId="29" quotePrefix="1" applyNumberFormat="1" applyFont="1" applyFill="1" applyBorder="1" applyAlignment="1">
      <alignment vertical="center"/>
    </xf>
    <xf numFmtId="169" fontId="16" fillId="0" borderId="4" xfId="29" applyNumberFormat="1" applyFont="1" applyFill="1" applyBorder="1" applyAlignment="1">
      <alignment horizontal="right" vertical="center"/>
    </xf>
    <xf numFmtId="164" fontId="16" fillId="0" borderId="4" xfId="29" applyFont="1" applyFill="1" applyBorder="1" applyAlignment="1">
      <alignment vertical="center"/>
    </xf>
    <xf numFmtId="164" fontId="7" fillId="0" borderId="4" xfId="69" applyFont="1" applyFill="1" applyBorder="1" applyAlignment="1">
      <alignment horizontal="left" vertical="center"/>
    </xf>
    <xf numFmtId="164" fontId="7" fillId="0" borderId="4" xfId="14" applyNumberFormat="1" applyFont="1" applyFill="1" applyBorder="1" applyAlignment="1">
      <alignment horizontal="left" vertical="center"/>
    </xf>
    <xf numFmtId="0" fontId="43" fillId="0" borderId="0" xfId="14" applyFont="1" applyFill="1">
      <alignment vertical="center"/>
    </xf>
    <xf numFmtId="43" fontId="43" fillId="0" borderId="0" xfId="14" applyNumberFormat="1" applyFont="1" applyFill="1">
      <alignment vertical="center"/>
    </xf>
    <xf numFmtId="164" fontId="43" fillId="0" borderId="0" xfId="14" applyNumberFormat="1" applyFont="1" applyFill="1">
      <alignment vertical="center"/>
    </xf>
    <xf numFmtId="0" fontId="30" fillId="0" borderId="4" xfId="10" applyFont="1" applyFill="1" applyBorder="1" applyAlignment="1">
      <alignment horizontal="center" vertical="center"/>
    </xf>
    <xf numFmtId="0" fontId="30" fillId="0" borderId="4" xfId="10" applyFont="1" applyFill="1" applyBorder="1" applyAlignment="1">
      <alignment vertical="center"/>
    </xf>
    <xf numFmtId="164" fontId="30" fillId="0" borderId="4" xfId="69" applyFont="1" applyFill="1" applyBorder="1" applyAlignment="1">
      <alignment vertical="center"/>
    </xf>
    <xf numFmtId="164" fontId="30" fillId="0" borderId="4" xfId="10" applyNumberFormat="1" applyFont="1" applyFill="1" applyBorder="1" applyAlignment="1">
      <alignment horizontal="center"/>
    </xf>
    <xf numFmtId="164" fontId="31" fillId="0" borderId="4" xfId="10" applyNumberFormat="1" applyFont="1" applyFill="1" applyBorder="1" applyAlignment="1">
      <alignment horizontal="center"/>
    </xf>
    <xf numFmtId="0" fontId="31" fillId="0" borderId="4" xfId="10" applyFont="1" applyFill="1" applyBorder="1" applyAlignment="1">
      <alignment vertical="center"/>
    </xf>
    <xf numFmtId="0" fontId="31" fillId="0" borderId="0" xfId="10" applyFont="1" applyFill="1" applyAlignment="1">
      <alignment vertical="center"/>
    </xf>
    <xf numFmtId="0" fontId="31" fillId="0" borderId="4" xfId="10" applyFont="1" applyFill="1" applyBorder="1" applyAlignment="1">
      <alignment horizontal="center" vertical="center"/>
    </xf>
    <xf numFmtId="0" fontId="7" fillId="0" borderId="4" xfId="14" applyFont="1" applyFill="1" applyBorder="1" applyAlignment="1">
      <alignment horizontal="center"/>
    </xf>
    <xf numFmtId="0" fontId="30" fillId="0" borderId="4" xfId="10" applyFont="1" applyFill="1" applyBorder="1" applyAlignment="1"/>
    <xf numFmtId="164" fontId="30" fillId="0" borderId="4" xfId="69" applyFont="1" applyFill="1" applyBorder="1" applyAlignment="1"/>
    <xf numFmtId="172" fontId="7" fillId="0" borderId="4" xfId="14" applyNumberFormat="1" applyFont="1" applyFill="1" applyBorder="1" applyAlignment="1">
      <alignment horizontal="center"/>
    </xf>
    <xf numFmtId="175" fontId="7" fillId="0" borderId="4" xfId="69" applyNumberFormat="1" applyFont="1" applyFill="1" applyBorder="1" applyAlignment="1">
      <alignment horizontal="center"/>
    </xf>
    <xf numFmtId="0" fontId="31" fillId="0" borderId="0" xfId="10" applyFont="1" applyFill="1" applyAlignment="1"/>
    <xf numFmtId="0" fontId="31" fillId="0" borderId="0" xfId="10" applyFont="1" applyFill="1"/>
    <xf numFmtId="0" fontId="25" fillId="0" borderId="4" xfId="10" applyFont="1" applyFill="1" applyBorder="1" applyAlignment="1" applyProtection="1"/>
    <xf numFmtId="166" fontId="7" fillId="0" borderId="4" xfId="10" applyNumberFormat="1" applyFont="1" applyFill="1" applyBorder="1" applyAlignment="1" applyProtection="1">
      <alignment horizontal="center"/>
    </xf>
    <xf numFmtId="164" fontId="7" fillId="0" borderId="4" xfId="69" applyFont="1" applyFill="1" applyBorder="1" applyAlignment="1">
      <alignment horizontal="center" vertical="center"/>
    </xf>
    <xf numFmtId="0" fontId="48" fillId="0" borderId="4" xfId="71" applyFont="1" applyBorder="1" applyAlignment="1">
      <alignment horizontal="center"/>
    </xf>
    <xf numFmtId="164" fontId="48" fillId="0" borderId="4" xfId="29" applyFont="1" applyBorder="1"/>
    <xf numFmtId="0" fontId="49" fillId="0" borderId="4" xfId="71" applyFont="1" applyBorder="1" applyAlignment="1">
      <alignment horizontal="center"/>
    </xf>
    <xf numFmtId="164" fontId="49" fillId="0" borderId="4" xfId="29" applyFont="1" applyBorder="1"/>
    <xf numFmtId="10" fontId="48" fillId="0" borderId="4" xfId="70" applyNumberFormat="1" applyFont="1" applyBorder="1"/>
    <xf numFmtId="0" fontId="55" fillId="0" borderId="0" xfId="14" applyFont="1" applyFill="1">
      <alignment vertical="center"/>
    </xf>
    <xf numFmtId="0" fontId="7" fillId="0" borderId="4" xfId="0" applyFont="1" applyFill="1" applyBorder="1" applyAlignment="1">
      <alignment vertical="top"/>
    </xf>
    <xf numFmtId="10" fontId="7" fillId="12" borderId="0" xfId="40" applyNumberFormat="1" applyFont="1" applyFill="1" applyBorder="1"/>
    <xf numFmtId="164" fontId="7" fillId="0" borderId="4" xfId="29" applyFont="1" applyBorder="1" applyAlignment="1">
      <alignment horizontal="left" vertical="top"/>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30" fillId="7" borderId="6" xfId="10" applyFont="1" applyFill="1" applyBorder="1" applyAlignment="1">
      <alignment horizontal="center" vertical="center"/>
    </xf>
    <xf numFmtId="0" fontId="30" fillId="7" borderId="6" xfId="10" applyFont="1" applyFill="1" applyBorder="1" applyAlignment="1">
      <alignment horizontal="center" vertical="center" wrapText="1"/>
    </xf>
    <xf numFmtId="0" fontId="8" fillId="4" borderId="4" xfId="10" applyFont="1" applyFill="1" applyBorder="1" applyAlignment="1">
      <alignment horizontal="center" vertical="center" wrapText="1"/>
    </xf>
    <xf numFmtId="0" fontId="17" fillId="0" borderId="0" xfId="10" applyAlignment="1">
      <alignment horizontal="center" vertical="center"/>
    </xf>
    <xf numFmtId="0" fontId="8" fillId="0" borderId="0" xfId="14" applyFont="1" applyFill="1" applyBorder="1" applyAlignment="1">
      <alignment horizontal="center" vertical="center" wrapText="1"/>
    </xf>
    <xf numFmtId="0" fontId="8" fillId="0" borderId="0" xfId="14" applyFont="1" applyFill="1" applyBorder="1" applyAlignment="1">
      <alignment horizontal="center" vertical="center"/>
    </xf>
    <xf numFmtId="0" fontId="8" fillId="4" borderId="4" xfId="31" applyFont="1" applyFill="1" applyBorder="1" applyAlignment="1">
      <alignment horizontal="center" vertical="center" wrapText="1"/>
    </xf>
    <xf numFmtId="0" fontId="12" fillId="4" borderId="4" xfId="14" applyFont="1" applyFill="1" applyBorder="1" applyAlignment="1">
      <alignment horizontal="center" vertical="center" wrapText="1"/>
    </xf>
    <xf numFmtId="0" fontId="7" fillId="0" borderId="4" xfId="69" applyNumberFormat="1" applyFont="1" applyFill="1" applyBorder="1" applyAlignment="1">
      <alignment vertical="center"/>
    </xf>
    <xf numFmtId="164" fontId="7" fillId="0" borderId="0" xfId="69" applyFont="1" applyFill="1" applyBorder="1"/>
    <xf numFmtId="0" fontId="7" fillId="17" borderId="4" xfId="10" applyFont="1" applyFill="1" applyBorder="1" applyAlignment="1" applyProtection="1">
      <alignment horizontal="left"/>
    </xf>
    <xf numFmtId="164" fontId="7" fillId="17" borderId="4" xfId="69" applyFont="1" applyFill="1" applyBorder="1" applyAlignment="1" applyProtection="1">
      <alignment horizontal="left"/>
    </xf>
    <xf numFmtId="164" fontId="7" fillId="17" borderId="4" xfId="69" applyFont="1" applyFill="1" applyBorder="1" applyAlignment="1">
      <alignment vertical="center"/>
    </xf>
    <xf numFmtId="164" fontId="35" fillId="17" borderId="4" xfId="69" applyFont="1" applyFill="1" applyBorder="1"/>
    <xf numFmtId="174" fontId="13" fillId="12" borderId="0" xfId="69" applyNumberFormat="1" applyFont="1" applyFill="1" applyAlignment="1">
      <alignment horizontal="left" vertical="center"/>
    </xf>
    <xf numFmtId="164" fontId="55" fillId="0" borderId="4" xfId="69" applyFont="1" applyBorder="1" applyAlignment="1">
      <alignment vertical="top" wrapText="1"/>
    </xf>
    <xf numFmtId="0" fontId="8" fillId="4" borderId="5" xfId="14" applyFont="1" applyFill="1" applyBorder="1" applyAlignment="1">
      <alignment vertical="center" wrapText="1"/>
    </xf>
    <xf numFmtId="0" fontId="55" fillId="0" borderId="4" xfId="69" applyNumberFormat="1" applyFont="1" applyBorder="1" applyAlignment="1">
      <alignment vertical="center"/>
    </xf>
    <xf numFmtId="0" fontId="7" fillId="0" borderId="0" xfId="14" applyFont="1" applyFill="1" applyBorder="1" applyAlignment="1">
      <alignment horizontal="center" vertical="center"/>
    </xf>
    <xf numFmtId="164" fontId="8" fillId="0" borderId="0" xfId="29" applyFont="1" applyFill="1" applyBorder="1" applyAlignment="1">
      <alignment vertical="center"/>
    </xf>
    <xf numFmtId="2" fontId="7" fillId="0" borderId="0" xfId="14" applyNumberFormat="1" applyFont="1" applyFill="1" applyBorder="1">
      <alignment vertical="center"/>
    </xf>
    <xf numFmtId="0" fontId="8" fillId="0" borderId="0" xfId="14" applyFont="1" applyFill="1" applyBorder="1">
      <alignment vertical="center"/>
    </xf>
    <xf numFmtId="164" fontId="7" fillId="0" borderId="0" xfId="29" applyFont="1" applyFill="1" applyBorder="1" applyAlignment="1">
      <alignment vertical="center"/>
    </xf>
    <xf numFmtId="0" fontId="7" fillId="0" borderId="0" xfId="14" applyFont="1" applyFill="1" applyBorder="1" applyAlignment="1">
      <alignment vertical="top" wrapText="1"/>
    </xf>
    <xf numFmtId="164" fontId="8" fillId="0" borderId="0" xfId="69" applyFont="1" applyFill="1" applyBorder="1" applyAlignment="1">
      <alignment vertical="center"/>
    </xf>
    <xf numFmtId="0" fontId="8" fillId="0" borderId="0" xfId="14" applyFont="1" applyFill="1" applyBorder="1" applyAlignment="1">
      <alignment horizontal="center" vertical="top" wrapText="1"/>
    </xf>
    <xf numFmtId="0" fontId="8" fillId="0" borderId="0" xfId="14" applyFont="1" applyFill="1" applyBorder="1" applyAlignment="1">
      <alignment vertical="top" wrapText="1"/>
    </xf>
    <xf numFmtId="0" fontId="7" fillId="0" borderId="0" xfId="14" applyFont="1" applyFill="1" applyBorder="1" applyAlignment="1">
      <alignment horizontal="center" vertical="top" wrapText="1"/>
    </xf>
    <xf numFmtId="164" fontId="7" fillId="0" borderId="0" xfId="14" applyNumberFormat="1" applyFont="1" applyFill="1" applyBorder="1">
      <alignment vertical="center"/>
    </xf>
    <xf numFmtId="164" fontId="8" fillId="0" borderId="0" xfId="14" applyNumberFormat="1" applyFont="1" applyFill="1" applyBorder="1">
      <alignment vertical="center"/>
    </xf>
    <xf numFmtId="0" fontId="8" fillId="0" borderId="0" xfId="14" applyFont="1" applyFill="1" applyBorder="1" applyAlignment="1">
      <alignment horizontal="right" vertical="center"/>
    </xf>
    <xf numFmtId="0" fontId="8" fillId="0" borderId="0" xfId="14" applyFont="1" applyFill="1" applyBorder="1" applyAlignment="1">
      <alignment vertical="center"/>
    </xf>
    <xf numFmtId="0" fontId="7" fillId="0" borderId="0" xfId="15" applyFont="1" applyFill="1" applyBorder="1" applyAlignment="1">
      <alignment vertical="center"/>
    </xf>
    <xf numFmtId="0" fontId="7" fillId="0" borderId="0" xfId="14" applyFont="1" applyFill="1" applyBorder="1" applyAlignment="1">
      <alignment vertical="center" wrapText="1"/>
    </xf>
    <xf numFmtId="0" fontId="12" fillId="0" borderId="4" xfId="69"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xf>
    <xf numFmtId="164" fontId="8" fillId="0" borderId="0" xfId="69" applyFont="1" applyFill="1" applyBorder="1"/>
    <xf numFmtId="10" fontId="7" fillId="0" borderId="0" xfId="70" applyNumberFormat="1" applyFont="1" applyFill="1" applyBorder="1" applyAlignment="1">
      <alignment vertical="center"/>
    </xf>
    <xf numFmtId="10" fontId="7" fillId="0" borderId="0" xfId="70" applyNumberFormat="1" applyFont="1" applyFill="1" applyBorder="1"/>
    <xf numFmtId="0" fontId="8" fillId="4" borderId="4" xfId="14" applyFont="1" applyFill="1" applyBorder="1" applyAlignment="1">
      <alignment vertical="center" wrapText="1"/>
    </xf>
    <xf numFmtId="0" fontId="8" fillId="0" borderId="4" xfId="69" applyNumberFormat="1" applyFont="1" applyFill="1" applyBorder="1" applyAlignment="1">
      <alignment horizontal="center" vertical="center"/>
    </xf>
    <xf numFmtId="0" fontId="12" fillId="0" borderId="4" xfId="29" applyNumberFormat="1" applyFont="1" applyFill="1" applyBorder="1" applyAlignment="1">
      <alignment horizontal="center"/>
    </xf>
    <xf numFmtId="2" fontId="46" fillId="0" borderId="4" xfId="70" applyNumberFormat="1" applyFont="1" applyFill="1" applyBorder="1" applyAlignment="1">
      <alignment wrapText="1"/>
    </xf>
    <xf numFmtId="2" fontId="7" fillId="0" borderId="4" xfId="14" applyNumberFormat="1" applyFont="1" applyFill="1" applyBorder="1" applyAlignment="1">
      <alignment horizontal="center" vertical="center" wrapText="1"/>
    </xf>
    <xf numFmtId="0" fontId="16" fillId="0" borderId="4" xfId="69" applyNumberFormat="1" applyFont="1" applyFill="1" applyBorder="1" applyAlignment="1">
      <alignment horizontal="right" vertical="center" wrapText="1"/>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5"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164" fontId="7" fillId="0" borderId="4" xfId="69" applyFont="1" applyFill="1" applyBorder="1" applyAlignment="1">
      <alignment horizontal="center" vertical="center"/>
    </xf>
    <xf numFmtId="164" fontId="7" fillId="0" borderId="4" xfId="29" applyFont="1" applyFill="1" applyBorder="1" applyAlignment="1">
      <alignment horizontal="right" vertical="center"/>
    </xf>
    <xf numFmtId="0" fontId="38" fillId="0" borderId="0" xfId="14" applyFont="1" applyAlignment="1">
      <alignment horizontal="left" vertical="center"/>
    </xf>
    <xf numFmtId="164" fontId="16" fillId="0" borderId="4" xfId="29" quotePrefix="1" applyFont="1" applyFill="1" applyBorder="1" applyAlignment="1">
      <alignment horizontal="right" vertical="center" wrapText="1"/>
    </xf>
    <xf numFmtId="0" fontId="16" fillId="0" borderId="4" xfId="69" quotePrefix="1" applyNumberFormat="1" applyFont="1" applyFill="1" applyBorder="1" applyAlignment="1">
      <alignment horizontal="right" vertical="center" wrapText="1"/>
    </xf>
    <xf numFmtId="164" fontId="16" fillId="0" borderId="4" xfId="69" applyFont="1" applyFill="1" applyBorder="1" applyAlignment="1">
      <alignment horizontal="center" vertical="center"/>
    </xf>
    <xf numFmtId="176" fontId="7" fillId="0" borderId="4" xfId="69" applyNumberFormat="1" applyFont="1" applyFill="1" applyBorder="1" applyAlignment="1">
      <alignment horizontal="center" vertical="center"/>
    </xf>
    <xf numFmtId="0" fontId="16" fillId="0" borderId="4" xfId="14" applyFont="1" applyFill="1" applyBorder="1">
      <alignment vertical="center"/>
    </xf>
    <xf numFmtId="10" fontId="16" fillId="10" borderId="4" xfId="70" applyNumberFormat="1" applyFont="1" applyFill="1" applyBorder="1" applyAlignment="1">
      <alignment horizontal="right" vertical="center" wrapText="1"/>
    </xf>
    <xf numFmtId="10" fontId="7" fillId="10" borderId="4" xfId="70" applyNumberFormat="1" applyFont="1" applyFill="1" applyBorder="1" applyAlignment="1">
      <alignment horizontal="right" vertical="center" wrapText="1"/>
    </xf>
    <xf numFmtId="164" fontId="7" fillId="10" borderId="4" xfId="69" applyFont="1" applyFill="1" applyBorder="1" applyAlignment="1">
      <alignment horizontal="right" vertical="center" wrapText="1"/>
    </xf>
    <xf numFmtId="169" fontId="7" fillId="10" borderId="4" xfId="29" applyNumberFormat="1" applyFont="1" applyFill="1" applyBorder="1" applyAlignment="1">
      <alignment horizontal="right" vertical="center"/>
    </xf>
    <xf numFmtId="164" fontId="16" fillId="10" borderId="4" xfId="69" applyFont="1" applyFill="1" applyBorder="1" applyAlignment="1">
      <alignment horizontal="right" vertical="center" wrapText="1"/>
    </xf>
    <xf numFmtId="43" fontId="16" fillId="0" borderId="4" xfId="69" applyNumberFormat="1" applyFont="1" applyFill="1" applyBorder="1" applyAlignment="1">
      <alignment horizontal="right" vertical="center" wrapText="1"/>
    </xf>
    <xf numFmtId="180" fontId="16" fillId="0" borderId="4" xfId="69" applyNumberFormat="1" applyFont="1" applyFill="1" applyBorder="1" applyAlignment="1">
      <alignment horizontal="right" vertical="center" wrapText="1"/>
    </xf>
    <xf numFmtId="0" fontId="26" fillId="0" borderId="0" xfId="10" applyFont="1" applyFill="1" applyBorder="1" applyAlignment="1">
      <alignment vertical="top" wrapText="1"/>
    </xf>
    <xf numFmtId="10" fontId="8" fillId="0" borderId="4" xfId="70" applyNumberFormat="1" applyFont="1" applyFill="1" applyBorder="1" applyAlignment="1">
      <alignment vertical="center" wrapText="1"/>
    </xf>
    <xf numFmtId="164" fontId="8" fillId="0" borderId="4" xfId="69" applyFont="1" applyFill="1" applyBorder="1" applyAlignment="1">
      <alignment vertical="center" wrapText="1"/>
    </xf>
    <xf numFmtId="0" fontId="55" fillId="0" borderId="4" xfId="14"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xf>
    <xf numFmtId="164" fontId="9" fillId="0" borderId="0" xfId="69" applyFont="1" applyFill="1" applyBorder="1" applyAlignment="1">
      <alignment horizontal="center" vertical="center"/>
    </xf>
    <xf numFmtId="164" fontId="10" fillId="0" borderId="0" xfId="69" applyFont="1" applyFill="1" applyBorder="1" applyAlignment="1">
      <alignment horizontal="center" vertical="center"/>
    </xf>
    <xf numFmtId="164" fontId="8" fillId="0" borderId="4" xfId="29" applyFont="1" applyFill="1" applyBorder="1"/>
    <xf numFmtId="43" fontId="8" fillId="0" borderId="4" xfId="29" applyNumberFormat="1" applyFont="1" applyFill="1" applyBorder="1"/>
    <xf numFmtId="164" fontId="7" fillId="10" borderId="4" xfId="69" applyFont="1" applyFill="1" applyBorder="1" applyAlignment="1">
      <alignment vertical="center"/>
    </xf>
    <xf numFmtId="0" fontId="7" fillId="0" borderId="0" xfId="10" applyFont="1" applyFill="1" applyBorder="1" applyAlignment="1">
      <alignment horizontal="left" vertical="center"/>
    </xf>
    <xf numFmtId="0" fontId="8" fillId="0" borderId="0" xfId="14" applyFont="1" applyFill="1" applyAlignment="1">
      <alignment horizontal="right" vertical="center"/>
    </xf>
    <xf numFmtId="0" fontId="8" fillId="0" borderId="0" xfId="10" applyFont="1" applyFill="1" applyAlignment="1">
      <alignment horizontal="left"/>
    </xf>
    <xf numFmtId="0" fontId="7" fillId="0" borderId="0" xfId="10" applyFont="1" applyFill="1" applyAlignment="1">
      <alignment horizontal="center"/>
    </xf>
    <xf numFmtId="10" fontId="7" fillId="12" borderId="0" xfId="40" applyNumberFormat="1" applyFont="1" applyFill="1" applyAlignment="1">
      <alignment horizontal="center" vertical="center"/>
    </xf>
    <xf numFmtId="10" fontId="7" fillId="12" borderId="0" xfId="10" applyNumberFormat="1" applyFont="1" applyFill="1" applyAlignment="1">
      <alignment horizontal="center" vertical="center"/>
    </xf>
    <xf numFmtId="0" fontId="7" fillId="0" borderId="4" xfId="14" applyNumberFormat="1" applyFont="1" applyFill="1" applyBorder="1">
      <alignment vertical="center"/>
    </xf>
    <xf numFmtId="0" fontId="8" fillId="0" borderId="0" xfId="10" applyFont="1" applyFill="1" applyBorder="1" applyAlignment="1">
      <alignment horizontal="left"/>
    </xf>
    <xf numFmtId="10" fontId="7" fillId="12" borderId="0" xfId="10" applyNumberFormat="1" applyFont="1" applyFill="1" applyAlignment="1">
      <alignment horizontal="center" vertical="top"/>
    </xf>
    <xf numFmtId="10" fontId="7" fillId="0" borderId="4" xfId="14" applyNumberFormat="1" applyFont="1" applyFill="1" applyBorder="1" applyAlignment="1">
      <alignment vertical="center"/>
    </xf>
    <xf numFmtId="175" fontId="7" fillId="0" borderId="4" xfId="29" applyNumberFormat="1" applyFont="1" applyFill="1" applyBorder="1" applyAlignment="1">
      <alignment vertical="center"/>
    </xf>
    <xf numFmtId="164" fontId="47" fillId="0" borderId="4" xfId="72" applyFont="1" applyFill="1" applyBorder="1" applyAlignment="1">
      <alignment vertical="center"/>
    </xf>
    <xf numFmtId="0" fontId="8" fillId="18" borderId="4" xfId="14" applyFont="1" applyFill="1" applyBorder="1">
      <alignment vertical="center"/>
    </xf>
    <xf numFmtId="0" fontId="8" fillId="18" borderId="4" xfId="14" applyFont="1" applyFill="1" applyBorder="1" applyAlignment="1">
      <alignment vertical="center" wrapText="1"/>
    </xf>
    <xf numFmtId="0" fontId="50" fillId="0" borderId="4" xfId="71" applyFont="1" applyBorder="1" applyAlignment="1">
      <alignment horizontal="left" vertical="center"/>
    </xf>
    <xf numFmtId="0" fontId="56" fillId="0" borderId="0" xfId="0" applyFont="1" applyAlignment="1">
      <alignment horizontal="left"/>
    </xf>
    <xf numFmtId="0" fontId="50" fillId="0" borderId="4" xfId="71" applyFont="1" applyBorder="1" applyAlignment="1">
      <alignment horizontal="left" vertical="center" wrapText="1"/>
    </xf>
    <xf numFmtId="0" fontId="57" fillId="0" borderId="4" xfId="71" applyFont="1" applyBorder="1" applyAlignment="1">
      <alignment horizontal="left" vertical="center" wrapText="1"/>
    </xf>
    <xf numFmtId="0" fontId="51" fillId="0" borderId="4" xfId="71" applyFont="1" applyBorder="1" applyAlignment="1">
      <alignment horizontal="left" vertical="center" wrapText="1"/>
    </xf>
    <xf numFmtId="0" fontId="48" fillId="0" borderId="4" xfId="29" applyNumberFormat="1" applyFont="1" applyBorder="1"/>
    <xf numFmtId="0" fontId="49" fillId="0" borderId="4" xfId="0" applyFont="1" applyFill="1" applyBorder="1" applyAlignment="1">
      <alignment horizontal="center"/>
    </xf>
    <xf numFmtId="0" fontId="48" fillId="0" borderId="0" xfId="0" applyFont="1" applyFill="1"/>
    <xf numFmtId="0" fontId="48" fillId="0" borderId="4" xfId="0" applyFont="1" applyFill="1" applyBorder="1" applyAlignment="1">
      <alignment horizontal="center"/>
    </xf>
    <xf numFmtId="164" fontId="49" fillId="0" borderId="4" xfId="69" applyFont="1" applyFill="1" applyBorder="1"/>
    <xf numFmtId="0" fontId="48" fillId="0" borderId="0" xfId="0" applyFont="1" applyFill="1" applyAlignment="1">
      <alignment horizontal="left"/>
    </xf>
    <xf numFmtId="0" fontId="49" fillId="11" borderId="4" xfId="0" applyFont="1" applyFill="1" applyBorder="1" applyAlignment="1">
      <alignment horizontal="left"/>
    </xf>
    <xf numFmtId="0" fontId="49" fillId="11" borderId="4" xfId="0" applyFont="1" applyFill="1" applyBorder="1" applyAlignment="1">
      <alignment horizont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10" fontId="16" fillId="5" borderId="4" xfId="14" applyNumberFormat="1" applyFont="1" applyFill="1" applyBorder="1" applyAlignment="1">
      <alignment horizontal="center" vertical="center" wrapText="1"/>
    </xf>
    <xf numFmtId="10" fontId="16" fillId="0" borderId="4" xfId="40" applyNumberFormat="1" applyFont="1" applyFill="1" applyBorder="1" applyAlignment="1">
      <alignment horizontal="center"/>
    </xf>
    <xf numFmtId="164" fontId="7" fillId="19" borderId="4" xfId="69" applyFont="1" applyFill="1" applyBorder="1"/>
    <xf numFmtId="164" fontId="7" fillId="19" borderId="4" xfId="69" applyFont="1" applyFill="1" applyBorder="1" applyAlignment="1">
      <alignment vertical="center"/>
    </xf>
    <xf numFmtId="0" fontId="35" fillId="17" borderId="4" xfId="69" applyNumberFormat="1" applyFont="1" applyFill="1" applyBorder="1"/>
    <xf numFmtId="0" fontId="8" fillId="4" borderId="4" xfId="10" applyFont="1" applyFill="1" applyBorder="1" applyAlignment="1">
      <alignment horizontal="center" vertical="center" wrapText="1"/>
    </xf>
    <xf numFmtId="10" fontId="9" fillId="0" borderId="4" xfId="70" applyNumberFormat="1" applyFont="1" applyFill="1" applyBorder="1" applyAlignment="1">
      <alignment horizontal="center" vertical="center"/>
    </xf>
    <xf numFmtId="4" fontId="7" fillId="0" borderId="4" xfId="14" applyNumberFormat="1" applyFont="1" applyFill="1" applyBorder="1">
      <alignment vertical="center"/>
    </xf>
    <xf numFmtId="0" fontId="7" fillId="0" borderId="4" xfId="69" applyNumberFormat="1" applyFont="1" applyBorder="1" applyAlignment="1">
      <alignment horizontal="left" vertical="top"/>
    </xf>
    <xf numFmtId="43" fontId="35" fillId="17" borderId="4" xfId="69" applyNumberFormat="1" applyFont="1" applyFill="1" applyBorder="1"/>
    <xf numFmtId="43" fontId="48" fillId="0" borderId="4" xfId="69" applyNumberFormat="1" applyFont="1" applyFill="1" applyBorder="1"/>
    <xf numFmtId="43" fontId="48" fillId="0" borderId="4" xfId="29" applyNumberFormat="1" applyFont="1" applyBorder="1" applyAlignment="1">
      <alignment vertical="center"/>
    </xf>
    <xf numFmtId="43" fontId="48" fillId="0" borderId="4" xfId="29" applyNumberFormat="1" applyFont="1" applyBorder="1"/>
    <xf numFmtId="43" fontId="12" fillId="0" borderId="4" xfId="69" applyNumberFormat="1" applyFont="1" applyFill="1" applyBorder="1" applyAlignment="1">
      <alignment horizontal="center" vertical="center" wrapText="1"/>
    </xf>
    <xf numFmtId="181" fontId="7" fillId="0" borderId="4" xfId="69" applyNumberFormat="1" applyFont="1" applyFill="1" applyBorder="1" applyAlignment="1">
      <alignment horizontal="left" vertical="top"/>
    </xf>
    <xf numFmtId="43" fontId="31" fillId="0" borderId="4" xfId="73" applyFont="1" applyBorder="1"/>
    <xf numFmtId="164" fontId="16" fillId="0" borderId="4" xfId="29" applyFont="1" applyFill="1" applyBorder="1" applyAlignment="1">
      <alignment horizontal="right" vertical="center" wrapText="1"/>
    </xf>
    <xf numFmtId="10" fontId="47" fillId="0" borderId="4" xfId="70" applyNumberFormat="1" applyFont="1" applyBorder="1" applyAlignment="1">
      <alignment horizontal="center" vertical="center"/>
    </xf>
    <xf numFmtId="2" fontId="47" fillId="0" borderId="4" xfId="0" applyNumberFormat="1" applyFont="1" applyBorder="1" applyAlignment="1">
      <alignment horizontal="right" vertical="center"/>
    </xf>
    <xf numFmtId="169" fontId="16" fillId="0" borderId="4" xfId="29" quotePrefix="1" applyNumberFormat="1" applyFont="1" applyFill="1" applyBorder="1" applyAlignment="1">
      <alignment horizontal="right" vertical="center" wrapText="1"/>
    </xf>
    <xf numFmtId="43" fontId="16" fillId="0" borderId="4" xfId="29" quotePrefix="1" applyNumberFormat="1" applyFont="1" applyFill="1" applyBorder="1" applyAlignment="1">
      <alignment horizontal="right" vertical="center" wrapText="1"/>
    </xf>
    <xf numFmtId="43" fontId="16" fillId="0" borderId="4" xfId="29" applyNumberFormat="1" applyFont="1" applyFill="1" applyBorder="1" applyAlignment="1">
      <alignment horizontal="right" vertical="center" wrapText="1"/>
    </xf>
    <xf numFmtId="9" fontId="8" fillId="0" borderId="4" xfId="69" applyNumberFormat="1" applyFont="1" applyFill="1" applyBorder="1" applyAlignment="1">
      <alignment vertical="center"/>
    </xf>
    <xf numFmtId="0" fontId="0" fillId="0" borderId="5" xfId="0" applyBorder="1"/>
    <xf numFmtId="0" fontId="0" fillId="0" borderId="4" xfId="0" applyBorder="1"/>
    <xf numFmtId="164" fontId="7" fillId="0" borderId="8" xfId="69" applyFont="1" applyFill="1" applyBorder="1" applyAlignment="1">
      <alignment vertical="top" wrapText="1"/>
    </xf>
    <xf numFmtId="0" fontId="7" fillId="0" borderId="7" xfId="14" applyFont="1" applyFill="1" applyBorder="1" applyAlignment="1">
      <alignment vertical="top" wrapText="1"/>
    </xf>
    <xf numFmtId="164" fontId="49" fillId="0" borderId="4" xfId="69" applyNumberFormat="1" applyFont="1" applyFill="1" applyBorder="1"/>
    <xf numFmtId="43" fontId="48" fillId="0" borderId="4" xfId="29" applyNumberFormat="1" applyFont="1" applyFill="1" applyBorder="1"/>
    <xf numFmtId="0" fontId="7" fillId="0" borderId="4" xfId="10" applyFont="1" applyFill="1" applyBorder="1" applyAlignment="1">
      <alignment vertical="top" wrapText="1"/>
    </xf>
    <xf numFmtId="0" fontId="7" fillId="0" borderId="4" xfId="10" applyFont="1" applyFill="1" applyBorder="1" applyAlignment="1" applyProtection="1">
      <alignment vertical="top" wrapText="1"/>
    </xf>
    <xf numFmtId="0" fontId="7" fillId="0" borderId="4" xfId="10" applyFont="1" applyFill="1" applyBorder="1" applyAlignment="1" applyProtection="1">
      <alignment horizontal="left" vertical="top" wrapText="1"/>
    </xf>
    <xf numFmtId="0" fontId="7" fillId="0" borderId="4" xfId="10" applyFont="1" applyFill="1" applyBorder="1" applyAlignment="1">
      <alignment vertical="top"/>
    </xf>
    <xf numFmtId="164" fontId="7" fillId="0" borderId="4" xfId="69" applyFont="1" applyFill="1" applyBorder="1" applyAlignment="1">
      <alignment horizontal="center" vertical="center"/>
    </xf>
    <xf numFmtId="2" fontId="7" fillId="0" borderId="0" xfId="14" applyNumberFormat="1" applyFont="1" applyFill="1">
      <alignment vertical="center"/>
    </xf>
    <xf numFmtId="0" fontId="47" fillId="0" borderId="4" xfId="0" applyFont="1" applyBorder="1" applyAlignment="1">
      <alignment vertical="center"/>
    </xf>
    <xf numFmtId="0" fontId="58" fillId="0" borderId="4" xfId="0" applyFont="1" applyBorder="1" applyAlignment="1">
      <alignment vertical="center"/>
    </xf>
    <xf numFmtId="2" fontId="7" fillId="0" borderId="4" xfId="14" applyNumberFormat="1" applyFont="1" applyFill="1" applyBorder="1" applyAlignment="1">
      <alignment horizontal="right" vertical="center"/>
    </xf>
    <xf numFmtId="164" fontId="7" fillId="0" borderId="4" xfId="69" applyFont="1" applyFill="1" applyBorder="1" applyAlignment="1">
      <alignment horizontal="center" vertical="center"/>
    </xf>
    <xf numFmtId="10" fontId="16" fillId="5" borderId="4" xfId="40" applyNumberFormat="1" applyFont="1" applyFill="1" applyBorder="1" applyAlignment="1">
      <alignment horizontal="center" vertical="center" wrapText="1"/>
    </xf>
    <xf numFmtId="10" fontId="16" fillId="0" borderId="4" xfId="40" applyNumberFormat="1" applyFont="1" applyFill="1" applyBorder="1" applyAlignment="1">
      <alignment vertical="center"/>
    </xf>
    <xf numFmtId="10" fontId="16" fillId="0" borderId="4" xfId="40" applyNumberFormat="1" applyFont="1" applyFill="1" applyBorder="1" applyAlignment="1">
      <alignment horizontal="center" vertical="center" wrapText="1"/>
    </xf>
    <xf numFmtId="164" fontId="16" fillId="0" borderId="4" xfId="29" applyFont="1" applyFill="1" applyBorder="1" applyAlignment="1">
      <alignment horizontal="center" vertical="center" wrapText="1"/>
    </xf>
    <xf numFmtId="10" fontId="46" fillId="5" borderId="4" xfId="40" applyNumberFormat="1" applyFont="1" applyFill="1" applyBorder="1" applyAlignment="1">
      <alignment horizontal="center" vertical="center" wrapText="1"/>
    </xf>
    <xf numFmtId="10" fontId="46" fillId="0" borderId="4" xfId="40" applyNumberFormat="1" applyFont="1" applyFill="1" applyBorder="1" applyAlignment="1">
      <alignment horizontal="center" vertical="center" wrapText="1"/>
    </xf>
    <xf numFmtId="164" fontId="12" fillId="0" borderId="4" xfId="29" applyFont="1" applyFill="1" applyBorder="1" applyAlignment="1">
      <alignment horizontal="center" vertical="center" wrapText="1"/>
    </xf>
    <xf numFmtId="9" fontId="8" fillId="0" borderId="4" xfId="29" applyNumberFormat="1" applyFont="1" applyFill="1" applyBorder="1" applyAlignment="1">
      <alignment vertical="center"/>
    </xf>
    <xf numFmtId="164" fontId="7" fillId="0" borderId="4" xfId="29" applyFont="1" applyFill="1" applyBorder="1"/>
    <xf numFmtId="164" fontId="7" fillId="0" borderId="4" xfId="29" applyFont="1" applyFill="1" applyBorder="1" applyAlignment="1" applyProtection="1">
      <alignment horizontal="left" vertical="center"/>
    </xf>
    <xf numFmtId="164" fontId="7" fillId="0" borderId="4" xfId="29" applyFont="1" applyBorder="1" applyAlignment="1">
      <alignment vertical="center"/>
    </xf>
    <xf numFmtId="164" fontId="26" fillId="0" borderId="4" xfId="29" applyFont="1" applyFill="1" applyBorder="1" applyAlignment="1">
      <alignment vertical="center"/>
    </xf>
    <xf numFmtId="10" fontId="35" fillId="0" borderId="4" xfId="40" applyNumberFormat="1" applyFont="1" applyFill="1" applyBorder="1"/>
    <xf numFmtId="10" fontId="35" fillId="0" borderId="4" xfId="29" applyNumberFormat="1" applyFont="1" applyFill="1" applyBorder="1"/>
    <xf numFmtId="164" fontId="7" fillId="5" borderId="4" xfId="29" applyFont="1" applyFill="1" applyBorder="1" applyAlignment="1" applyProtection="1">
      <alignment horizontal="left"/>
    </xf>
    <xf numFmtId="9" fontId="7" fillId="0" borderId="4" xfId="40" applyFont="1" applyBorder="1" applyAlignment="1">
      <alignment vertical="center"/>
    </xf>
    <xf numFmtId="164" fontId="8" fillId="0" borderId="4" xfId="29" applyFont="1" applyFill="1" applyBorder="1" applyAlignment="1">
      <alignment vertical="top" wrapText="1"/>
    </xf>
    <xf numFmtId="164" fontId="8" fillId="0" borderId="4" xfId="29" applyFont="1" applyBorder="1" applyAlignment="1">
      <alignment vertical="center"/>
    </xf>
    <xf numFmtId="164" fontId="7" fillId="0" borderId="4" xfId="69" applyFont="1" applyFill="1" applyBorder="1" applyAlignment="1">
      <alignment horizontal="center" vertical="center"/>
    </xf>
    <xf numFmtId="169" fontId="7" fillId="0" borderId="4" xfId="29" applyNumberFormat="1" applyFont="1" applyBorder="1" applyAlignment="1">
      <alignment vertical="top" wrapText="1"/>
    </xf>
    <xf numFmtId="164" fontId="7" fillId="0" borderId="4" xfId="29" applyFont="1" applyBorder="1" applyAlignment="1">
      <alignment vertical="top" wrapText="1"/>
    </xf>
    <xf numFmtId="164" fontId="8" fillId="0" borderId="4" xfId="29" applyFont="1" applyBorder="1" applyAlignment="1">
      <alignment vertical="top" wrapText="1"/>
    </xf>
    <xf numFmtId="169" fontId="8" fillId="4" borderId="4" xfId="29" applyNumberFormat="1" applyFont="1" applyFill="1" applyBorder="1"/>
    <xf numFmtId="10" fontId="7" fillId="0" borderId="4" xfId="70" applyNumberFormat="1" applyFont="1" applyFill="1" applyBorder="1" applyAlignment="1" applyProtection="1">
      <alignment horizontal="left"/>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7" fillId="0" borderId="0" xfId="10" applyFont="1" applyAlignment="1">
      <alignment horizontal="centerContinuous"/>
    </xf>
    <xf numFmtId="0" fontId="8" fillId="0" borderId="0" xfId="10" applyFont="1" applyAlignment="1">
      <alignment horizontal="center" vertical="center"/>
    </xf>
    <xf numFmtId="0" fontId="8" fillId="0" borderId="0" xfId="10" applyFont="1" applyAlignment="1">
      <alignment vertical="center"/>
    </xf>
    <xf numFmtId="0" fontId="7" fillId="0" borderId="0" xfId="71" applyFont="1"/>
    <xf numFmtId="0" fontId="7" fillId="0" borderId="4" xfId="10" applyFont="1" applyBorder="1" applyAlignment="1">
      <alignment horizontal="left" vertical="top"/>
    </xf>
    <xf numFmtId="0" fontId="7" fillId="6" borderId="4" xfId="10" applyFont="1" applyFill="1" applyBorder="1" applyAlignment="1">
      <alignment horizontal="left" vertical="top"/>
    </xf>
    <xf numFmtId="164" fontId="7" fillId="0" borderId="4" xfId="29" applyFont="1" applyFill="1" applyBorder="1" applyAlignment="1">
      <alignment horizontal="left" vertical="top"/>
    </xf>
    <xf numFmtId="164" fontId="7" fillId="0" borderId="4" xfId="10" applyNumberFormat="1" applyFont="1" applyBorder="1"/>
    <xf numFmtId="43" fontId="7" fillId="0" borderId="4" xfId="10" applyNumberFormat="1" applyFont="1" applyBorder="1"/>
    <xf numFmtId="0" fontId="7" fillId="6" borderId="4" xfId="10" applyFont="1" applyFill="1" applyBorder="1" applyAlignment="1">
      <alignment horizontal="left" vertical="top" wrapText="1"/>
    </xf>
    <xf numFmtId="0" fontId="7" fillId="6" borderId="4" xfId="10" applyFont="1" applyFill="1" applyBorder="1" applyAlignment="1">
      <alignment vertical="top"/>
    </xf>
    <xf numFmtId="0" fontId="8" fillId="6" borderId="4" xfId="10" applyFont="1" applyFill="1" applyBorder="1" applyAlignment="1">
      <alignment horizontal="left" vertical="top"/>
    </xf>
    <xf numFmtId="164" fontId="8" fillId="0" borderId="4" xfId="10" applyNumberFormat="1" applyFont="1" applyBorder="1" applyAlignment="1">
      <alignment horizontal="left" vertical="top"/>
    </xf>
    <xf numFmtId="0" fontId="8" fillId="0" borderId="0" xfId="10" applyFont="1" applyAlignment="1">
      <alignment vertical="center" wrapText="1"/>
    </xf>
    <xf numFmtId="164" fontId="7" fillId="6" borderId="4" xfId="29" applyFont="1" applyFill="1" applyBorder="1" applyAlignment="1">
      <alignment horizontal="left" vertical="top"/>
    </xf>
    <xf numFmtId="164" fontId="7" fillId="0" borderId="4" xfId="29" applyFont="1" applyBorder="1"/>
    <xf numFmtId="164" fontId="7" fillId="6" borderId="4" xfId="29" applyFont="1" applyFill="1" applyBorder="1" applyAlignment="1">
      <alignment horizontal="left" vertical="top" wrapText="1"/>
    </xf>
    <xf numFmtId="164" fontId="8" fillId="0" borderId="4" xfId="29" applyFont="1" applyBorder="1" applyAlignment="1">
      <alignment horizontal="left" vertical="top"/>
    </xf>
    <xf numFmtId="0" fontId="8" fillId="12" borderId="0" xfId="10" applyFont="1" applyFill="1" applyAlignment="1">
      <alignment horizontal="left" vertical="top"/>
    </xf>
    <xf numFmtId="0" fontId="27" fillId="0" borderId="0" xfId="10" applyFont="1"/>
    <xf numFmtId="0" fontId="7" fillId="6" borderId="0" xfId="10" applyFont="1" applyFill="1"/>
    <xf numFmtId="0" fontId="8" fillId="0" borderId="0" xfId="14" applyFont="1" applyAlignment="1">
      <alignment horizontal="center" vertical="center"/>
    </xf>
    <xf numFmtId="0" fontId="8" fillId="4" borderId="4" xfId="10" applyFont="1" applyFill="1" applyBorder="1" applyAlignment="1">
      <alignment horizontal="center" vertical="top" wrapText="1"/>
    </xf>
    <xf numFmtId="0" fontId="8" fillId="0" borderId="0" xfId="10" applyFont="1" applyAlignment="1">
      <alignment horizontal="center" vertical="center"/>
    </xf>
    <xf numFmtId="0" fontId="59" fillId="0" borderId="0" xfId="76" applyFont="1"/>
    <xf numFmtId="0" fontId="60" fillId="20" borderId="0" xfId="76" applyFont="1" applyFill="1" applyAlignment="1">
      <alignment horizontal="left"/>
    </xf>
    <xf numFmtId="0" fontId="60" fillId="0" borderId="0" xfId="76" applyFont="1"/>
    <xf numFmtId="0" fontId="60" fillId="11" borderId="4" xfId="76" applyFont="1" applyFill="1" applyBorder="1" applyAlignment="1">
      <alignment vertical="center"/>
    </xf>
    <xf numFmtId="0" fontId="60" fillId="11" borderId="4" xfId="76" applyFont="1" applyFill="1" applyBorder="1" applyAlignment="1">
      <alignment horizontal="center" vertical="center" wrapText="1"/>
    </xf>
    <xf numFmtId="0" fontId="60" fillId="11" borderId="4" xfId="76" applyFont="1" applyFill="1" applyBorder="1" applyAlignment="1">
      <alignment horizontal="center" vertical="center"/>
    </xf>
    <xf numFmtId="0" fontId="59" fillId="0" borderId="4" xfId="76" applyFont="1" applyBorder="1"/>
    <xf numFmtId="0" fontId="59" fillId="0" borderId="4" xfId="76" applyFont="1" applyBorder="1" applyAlignment="1">
      <alignment horizontal="left"/>
    </xf>
    <xf numFmtId="169" fontId="59" fillId="0" borderId="4" xfId="77" applyNumberFormat="1" applyFont="1" applyBorder="1"/>
    <xf numFmtId="182" fontId="59" fillId="0" borderId="4" xfId="64" applyNumberFormat="1" applyFont="1" applyBorder="1"/>
    <xf numFmtId="182" fontId="59" fillId="6" borderId="4" xfId="64" applyNumberFormat="1" applyFont="1" applyFill="1" applyBorder="1"/>
    <xf numFmtId="182" fontId="59" fillId="21" borderId="4" xfId="64" applyNumberFormat="1" applyFont="1" applyFill="1" applyBorder="1"/>
    <xf numFmtId="182" fontId="59" fillId="8" borderId="4" xfId="64" applyNumberFormat="1" applyFont="1" applyFill="1" applyBorder="1"/>
    <xf numFmtId="182" fontId="59" fillId="0" borderId="4" xfId="64" applyNumberFormat="1" applyFont="1" applyBorder="1" applyAlignment="1">
      <alignment vertical="center" wrapText="1"/>
    </xf>
    <xf numFmtId="0" fontId="60" fillId="10" borderId="4" xfId="76" applyFont="1" applyFill="1" applyBorder="1"/>
    <xf numFmtId="0" fontId="60" fillId="10" borderId="4" xfId="76" applyFont="1" applyFill="1" applyBorder="1" applyAlignment="1">
      <alignment horizontal="left"/>
    </xf>
    <xf numFmtId="182" fontId="60" fillId="10" borderId="4" xfId="64" applyNumberFormat="1" applyFont="1" applyFill="1" applyBorder="1"/>
    <xf numFmtId="182" fontId="59" fillId="0" borderId="0" xfId="76" applyNumberFormat="1" applyFont="1"/>
    <xf numFmtId="0" fontId="59" fillId="0" borderId="0" xfId="76" applyFont="1" applyAlignment="1">
      <alignment vertical="center" wrapText="1"/>
    </xf>
    <xf numFmtId="0" fontId="60" fillId="0" borderId="0" xfId="76" applyFont="1" applyAlignment="1">
      <alignment vertical="center"/>
    </xf>
    <xf numFmtId="0" fontId="60" fillId="11" borderId="4" xfId="76" applyFont="1" applyFill="1" applyBorder="1" applyAlignment="1">
      <alignment vertical="center" wrapText="1"/>
    </xf>
    <xf numFmtId="0" fontId="60" fillId="11" borderId="4" xfId="76" applyFont="1" applyFill="1" applyBorder="1" applyAlignment="1">
      <alignment horizontal="left" vertical="center"/>
    </xf>
    <xf numFmtId="10" fontId="59" fillId="0" borderId="4" xfId="76" applyNumberFormat="1" applyFont="1" applyBorder="1"/>
    <xf numFmtId="164" fontId="59" fillId="0" borderId="4" xfId="78" applyNumberFormat="1" applyFont="1" applyBorder="1" applyAlignment="1">
      <alignment vertical="center"/>
    </xf>
    <xf numFmtId="183" fontId="59" fillId="0" borderId="4" xfId="79" applyNumberFormat="1" applyFont="1" applyBorder="1"/>
    <xf numFmtId="10" fontId="59" fillId="6" borderId="4" xfId="76" applyNumberFormat="1" applyFont="1" applyFill="1" applyBorder="1"/>
    <xf numFmtId="165" fontId="60" fillId="10" borderId="4" xfId="64" applyFont="1" applyFill="1" applyBorder="1"/>
    <xf numFmtId="0" fontId="59" fillId="0" borderId="0" xfId="76" applyFont="1" applyAlignment="1">
      <alignment horizontal="left"/>
    </xf>
    <xf numFmtId="164" fontId="59" fillId="0" borderId="0" xfId="77" applyNumberFormat="1" applyFont="1"/>
    <xf numFmtId="0" fontId="59" fillId="0" borderId="0" xfId="76" applyFont="1" applyAlignment="1">
      <alignment vertical="center"/>
    </xf>
    <xf numFmtId="164" fontId="59" fillId="0" borderId="4" xfId="77" applyNumberFormat="1" applyFont="1" applyBorder="1"/>
    <xf numFmtId="182" fontId="59" fillId="0" borderId="4" xfId="76" applyNumberFormat="1" applyFont="1" applyBorder="1"/>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0" borderId="0" xfId="10" applyFont="1" applyBorder="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6" xfId="14" applyFont="1" applyFill="1" applyBorder="1" applyAlignment="1">
      <alignment horizontal="center" vertical="center" wrapText="1"/>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7" fillId="0" borderId="11" xfId="71" applyFont="1" applyBorder="1"/>
    <xf numFmtId="0" fontId="7" fillId="0" borderId="16" xfId="71" applyFont="1" applyBorder="1"/>
    <xf numFmtId="0" fontId="8" fillId="4" borderId="4" xfId="71" applyFont="1" applyFill="1" applyBorder="1" applyAlignment="1">
      <alignment horizontal="center" vertical="top" wrapText="1"/>
    </xf>
    <xf numFmtId="0" fontId="7" fillId="0" borderId="0" xfId="71" applyFont="1" applyAlignment="1">
      <alignment vertical="top" wrapText="1"/>
    </xf>
    <xf numFmtId="0" fontId="7" fillId="0" borderId="4" xfId="10" applyFont="1" applyBorder="1" applyAlignment="1">
      <alignment vertical="center" wrapText="1"/>
    </xf>
    <xf numFmtId="0" fontId="7" fillId="0" borderId="0" xfId="10" applyFont="1" applyAlignment="1">
      <alignment horizontal="left" vertical="center" wrapText="1"/>
    </xf>
    <xf numFmtId="2" fontId="7" fillId="0" borderId="0" xfId="10" applyNumberFormat="1" applyFont="1" applyAlignment="1">
      <alignment horizontal="center" vertical="center" wrapText="1"/>
    </xf>
    <xf numFmtId="14" fontId="7" fillId="0" borderId="0" xfId="71" applyNumberFormat="1" applyFont="1"/>
    <xf numFmtId="2" fontId="7" fillId="0" borderId="0" xfId="71" applyNumberFormat="1" applyFont="1"/>
    <xf numFmtId="0" fontId="7" fillId="0" borderId="0" xfId="71" applyFont="1" applyAlignment="1">
      <alignment vertical="top"/>
    </xf>
    <xf numFmtId="0" fontId="7" fillId="0" borderId="0" xfId="71" applyFont="1" applyAlignment="1">
      <alignment vertical="center" wrapText="1"/>
    </xf>
    <xf numFmtId="0" fontId="8" fillId="0" borderId="0" xfId="71" applyFont="1" applyAlignment="1">
      <alignment vertical="top"/>
    </xf>
    <xf numFmtId="0" fontId="8" fillId="4" borderId="4" xfId="71" applyFont="1" applyFill="1" applyBorder="1" applyAlignment="1">
      <alignment horizontal="center" vertical="center"/>
    </xf>
    <xf numFmtId="0" fontId="8" fillId="4" borderId="4" xfId="71" applyFont="1" applyFill="1" applyBorder="1" applyAlignment="1">
      <alignment horizontal="center" vertical="center" wrapText="1"/>
    </xf>
    <xf numFmtId="0" fontId="8" fillId="4" borderId="4" xfId="71" applyFont="1" applyFill="1" applyBorder="1" applyAlignment="1">
      <alignment horizontal="left" vertical="center" wrapText="1"/>
    </xf>
    <xf numFmtId="0" fontId="7" fillId="0" borderId="0" xfId="71" applyFont="1" applyAlignment="1">
      <alignment horizontal="center" vertical="center"/>
    </xf>
    <xf numFmtId="0" fontId="8" fillId="0" borderId="4" xfId="71" applyFont="1" applyBorder="1" applyAlignment="1">
      <alignment horizontal="justify" vertical="top"/>
    </xf>
    <xf numFmtId="0" fontId="7" fillId="0" borderId="4" xfId="71" applyFont="1" applyBorder="1" applyAlignment="1">
      <alignment vertical="center"/>
    </xf>
    <xf numFmtId="0" fontId="7" fillId="0" borderId="4" xfId="71" applyFont="1" applyBorder="1" applyAlignment="1">
      <alignment horizontal="justify" vertical="top"/>
    </xf>
    <xf numFmtId="0" fontId="7" fillId="0" borderId="0" xfId="35" applyFont="1" applyAlignment="1">
      <alignment vertical="center"/>
    </xf>
    <xf numFmtId="0" fontId="7" fillId="0" borderId="11" xfId="35" applyFont="1" applyBorder="1" applyAlignment="1">
      <alignment vertical="center" wrapText="1"/>
    </xf>
    <xf numFmtId="0" fontId="7" fillId="0" borderId="11" xfId="35" applyFont="1" applyBorder="1"/>
    <xf numFmtId="0" fontId="7" fillId="0" borderId="0" xfId="35" applyFont="1"/>
    <xf numFmtId="2" fontId="7" fillId="0" borderId="0" xfId="35" applyNumberFormat="1" applyFont="1"/>
    <xf numFmtId="0" fontId="7" fillId="0" borderId="0" xfId="35" applyFont="1" applyAlignment="1">
      <alignment wrapText="1"/>
    </xf>
    <xf numFmtId="0" fontId="7" fillId="0" borderId="0" xfId="71" applyFont="1" applyAlignment="1">
      <alignment vertical="center"/>
    </xf>
    <xf numFmtId="0" fontId="8" fillId="0" borderId="0" xfId="71" applyFont="1" applyAlignment="1">
      <alignment vertical="center"/>
    </xf>
    <xf numFmtId="0" fontId="7" fillId="0" borderId="0" xfId="35" applyFont="1" applyAlignment="1">
      <alignment vertical="center" wrapText="1"/>
    </xf>
    <xf numFmtId="0" fontId="8" fillId="0" borderId="0" xfId="35" applyFont="1" applyAlignment="1">
      <alignment horizontal="right" wrapText="1"/>
    </xf>
    <xf numFmtId="0" fontId="7" fillId="0" borderId="0" xfId="35" applyFont="1" applyAlignment="1">
      <alignment horizontal="center"/>
    </xf>
    <xf numFmtId="0" fontId="7" fillId="0" borderId="0" xfId="35" applyFont="1" applyAlignment="1">
      <alignment horizontal="center" vertical="center"/>
    </xf>
    <xf numFmtId="0" fontId="8" fillId="4" borderId="4" xfId="35" applyFont="1" applyFill="1" applyBorder="1" applyAlignment="1">
      <alignment horizontal="center" vertical="center" wrapText="1"/>
    </xf>
    <xf numFmtId="0" fontId="7" fillId="0" borderId="0" xfId="35" applyFont="1" applyAlignment="1">
      <alignment horizontal="center" vertical="center" wrapText="1"/>
    </xf>
    <xf numFmtId="2" fontId="8" fillId="4" borderId="4" xfId="35" applyNumberFormat="1" applyFont="1" applyFill="1" applyBorder="1" applyAlignment="1">
      <alignment horizontal="center" vertical="center" wrapText="1"/>
    </xf>
    <xf numFmtId="168" fontId="8" fillId="0" borderId="4" xfId="35" quotePrefix="1" applyNumberFormat="1" applyFont="1" applyBorder="1" applyAlignment="1">
      <alignment horizontal="center" vertical="center" wrapText="1"/>
    </xf>
    <xf numFmtId="0" fontId="8" fillId="0" borderId="4" xfId="35" applyFont="1" applyBorder="1" applyAlignment="1">
      <alignment horizontal="justify" vertical="center" wrapText="1"/>
    </xf>
    <xf numFmtId="0" fontId="8" fillId="0" borderId="4" xfId="35" applyFont="1" applyBorder="1" applyAlignment="1">
      <alignment vertical="top"/>
    </xf>
    <xf numFmtId="0" fontId="8" fillId="0" borderId="0" xfId="35" applyFont="1"/>
    <xf numFmtId="168" fontId="7" fillId="0" borderId="4" xfId="35" applyNumberFormat="1" applyFont="1" applyBorder="1" applyAlignment="1">
      <alignment horizontal="center" vertical="center"/>
    </xf>
    <xf numFmtId="0" fontId="7" fillId="0" borderId="4" xfId="35" applyFont="1" applyBorder="1" applyAlignment="1">
      <alignment vertical="center" wrapText="1"/>
    </xf>
    <xf numFmtId="0" fontId="7" fillId="0" borderId="4" xfId="80" applyFont="1" applyBorder="1" applyAlignment="1">
      <alignment vertical="center" wrapText="1"/>
    </xf>
    <xf numFmtId="0" fontId="7" fillId="0" borderId="4" xfId="35" applyFont="1" applyBorder="1" applyAlignment="1">
      <alignment horizontal="center" vertical="center"/>
    </xf>
    <xf numFmtId="168" fontId="8" fillId="0" borderId="4" xfId="35" applyNumberFormat="1" applyFont="1" applyBorder="1" applyAlignment="1">
      <alignment horizontal="center" vertical="center"/>
    </xf>
    <xf numFmtId="0" fontId="8" fillId="0" borderId="4" xfId="80" applyFont="1" applyBorder="1" applyAlignment="1">
      <alignment vertical="center" wrapText="1"/>
    </xf>
    <xf numFmtId="168" fontId="8" fillId="0" borderId="4" xfId="71" applyNumberFormat="1" applyFont="1" applyBorder="1" applyAlignment="1">
      <alignment horizontal="center" vertical="center"/>
    </xf>
    <xf numFmtId="168" fontId="7" fillId="0" borderId="4" xfId="71" applyNumberFormat="1" applyFont="1" applyBorder="1" applyAlignment="1">
      <alignment horizontal="center" vertical="center"/>
    </xf>
    <xf numFmtId="0" fontId="7" fillId="0" borderId="4" xfId="71" applyFont="1" applyBorder="1" applyAlignment="1">
      <alignment vertical="center" wrapText="1"/>
    </xf>
    <xf numFmtId="10" fontId="8" fillId="0" borderId="0" xfId="40" applyNumberFormat="1" applyFont="1" applyFill="1" applyBorder="1"/>
    <xf numFmtId="10" fontId="7" fillId="0" borderId="0" xfId="40" applyNumberFormat="1" applyFont="1" applyFill="1" applyBorder="1"/>
    <xf numFmtId="0" fontId="8" fillId="0" borderId="4" xfId="71" applyFont="1" applyBorder="1" applyAlignment="1">
      <alignment vertical="center" wrapText="1"/>
    </xf>
    <xf numFmtId="0" fontId="7" fillId="0" borderId="4" xfId="71" applyFont="1" applyBorder="1" applyAlignment="1">
      <alignment horizontal="center" vertical="center"/>
    </xf>
    <xf numFmtId="0" fontId="8" fillId="0" borderId="4" xfId="80" applyFont="1" applyBorder="1" applyAlignment="1">
      <alignment horizontal="justify" vertical="center" wrapText="1"/>
    </xf>
    <xf numFmtId="0" fontId="8" fillId="0" borderId="4" xfId="35" applyFont="1" applyBorder="1" applyAlignment="1">
      <alignment wrapText="1"/>
    </xf>
    <xf numFmtId="2" fontId="7" fillId="0" borderId="4" xfId="71" applyNumberFormat="1" applyFont="1" applyBorder="1" applyAlignment="1">
      <alignment horizontal="center" vertical="center"/>
    </xf>
    <xf numFmtId="2" fontId="8" fillId="0" borderId="4" xfId="71" applyNumberFormat="1" applyFont="1" applyBorder="1" applyAlignment="1">
      <alignment horizontal="center" vertical="center"/>
    </xf>
    <xf numFmtId="164" fontId="7" fillId="0" borderId="0" xfId="35" applyNumberFormat="1" applyFont="1"/>
    <xf numFmtId="0" fontId="7" fillId="0" borderId="0" xfId="34" applyFont="1" applyAlignment="1">
      <alignment wrapText="1"/>
    </xf>
    <xf numFmtId="0" fontId="7" fillId="0" borderId="11" xfId="34" applyFont="1" applyBorder="1" applyAlignment="1">
      <alignment wrapText="1"/>
    </xf>
    <xf numFmtId="0" fontId="7" fillId="0" borderId="0" xfId="34" applyFont="1" applyAlignment="1">
      <alignment horizontal="center" wrapText="1"/>
    </xf>
    <xf numFmtId="0" fontId="8" fillId="0" borderId="0" xfId="71" applyFont="1" applyAlignment="1">
      <alignment horizontal="center" vertical="center"/>
    </xf>
    <xf numFmtId="0" fontId="8" fillId="7" borderId="4" xfId="71" applyFont="1" applyFill="1" applyBorder="1" applyAlignment="1">
      <alignment horizontal="center" vertical="center" wrapText="1"/>
    </xf>
    <xf numFmtId="1" fontId="8" fillId="7" borderId="4" xfId="71" applyNumberFormat="1" applyFont="1" applyFill="1" applyBorder="1" applyAlignment="1">
      <alignment horizontal="center" vertical="center" wrapText="1"/>
    </xf>
    <xf numFmtId="0" fontId="7" fillId="0" borderId="20" xfId="71" applyFont="1" applyBorder="1" applyAlignment="1">
      <alignment horizontal="center" vertical="center"/>
    </xf>
    <xf numFmtId="0" fontId="8" fillId="0" borderId="0" xfId="34" applyFont="1" applyAlignment="1">
      <alignment wrapText="1"/>
    </xf>
    <xf numFmtId="0" fontId="7" fillId="0" borderId="21" xfId="71" applyFont="1" applyBorder="1" applyAlignment="1">
      <alignment vertical="center"/>
    </xf>
    <xf numFmtId="0" fontId="7" fillId="0" borderId="0" xfId="34" applyFont="1" applyAlignment="1">
      <alignment vertical="center" wrapText="1"/>
    </xf>
    <xf numFmtId="2" fontId="7" fillId="0" borderId="0" xfId="34" applyNumberFormat="1" applyFont="1" applyAlignment="1">
      <alignment wrapText="1"/>
    </xf>
    <xf numFmtId="184" fontId="7" fillId="0" borderId="0" xfId="34" applyNumberFormat="1" applyFont="1" applyAlignment="1">
      <alignment horizontal="center" wrapText="1"/>
    </xf>
    <xf numFmtId="2" fontId="7" fillId="0" borderId="0" xfId="34" applyNumberFormat="1" applyFont="1" applyAlignment="1">
      <alignment horizontal="center" wrapText="1"/>
    </xf>
    <xf numFmtId="184" fontId="7" fillId="0" borderId="0" xfId="34" applyNumberFormat="1" applyFont="1" applyAlignment="1">
      <alignment wrapText="1"/>
    </xf>
    <xf numFmtId="185" fontId="8" fillId="0" borderId="0" xfId="80" applyNumberFormat="1" applyFont="1" applyAlignment="1">
      <alignment horizontal="center" wrapText="1"/>
    </xf>
    <xf numFmtId="185" fontId="7" fillId="0" borderId="0" xfId="34" applyNumberFormat="1" applyFont="1" applyAlignment="1">
      <alignment horizontal="center" wrapText="1"/>
    </xf>
    <xf numFmtId="0" fontId="8" fillId="4" borderId="4" xfId="10" quotePrefix="1" applyFont="1" applyFill="1" applyBorder="1" applyAlignment="1">
      <alignment horizontal="center" vertical="top" wrapText="1"/>
    </xf>
    <xf numFmtId="0" fontId="8" fillId="0" borderId="4" xfId="10" applyFont="1" applyBorder="1" applyAlignment="1">
      <alignment horizontal="left" vertical="top" wrapText="1"/>
    </xf>
    <xf numFmtId="0" fontId="8" fillId="0" borderId="4" xfId="10" applyFont="1" applyBorder="1" applyAlignment="1">
      <alignment vertical="center" wrapText="1"/>
    </xf>
    <xf numFmtId="2" fontId="7" fillId="0" borderId="0" xfId="10" applyNumberFormat="1" applyFont="1"/>
    <xf numFmtId="9" fontId="7" fillId="0" borderId="0" xfId="40" applyFont="1" applyBorder="1"/>
    <xf numFmtId="10" fontId="7" fillId="0" borderId="0" xfId="40" applyNumberFormat="1" applyFont="1" applyBorder="1"/>
    <xf numFmtId="0" fontId="7" fillId="0" borderId="4" xfId="10" applyFont="1" applyBorder="1" applyAlignment="1">
      <alignment horizontal="right"/>
    </xf>
    <xf numFmtId="0" fontId="7" fillId="6" borderId="4" xfId="10" applyFont="1" applyFill="1" applyBorder="1" applyAlignment="1">
      <alignment horizontal="right"/>
    </xf>
    <xf numFmtId="186" fontId="7" fillId="0" borderId="0" xfId="40" applyNumberFormat="1" applyFont="1" applyBorder="1"/>
    <xf numFmtId="184" fontId="7" fillId="0" borderId="0" xfId="10" applyNumberFormat="1" applyFont="1"/>
    <xf numFmtId="2" fontId="8" fillId="0" borderId="0" xfId="10" applyNumberFormat="1" applyFont="1"/>
    <xf numFmtId="0" fontId="8" fillId="0" borderId="4" xfId="10" applyFont="1" applyBorder="1" applyAlignment="1">
      <alignment wrapText="1"/>
    </xf>
    <xf numFmtId="0" fontId="7" fillId="0" borderId="0" xfId="10" applyFont="1" applyAlignment="1">
      <alignment horizontal="left" vertical="top"/>
    </xf>
    <xf numFmtId="46" fontId="8" fillId="0" borderId="0" xfId="10" applyNumberFormat="1" applyFont="1" applyAlignment="1">
      <alignment horizontal="left"/>
    </xf>
    <xf numFmtId="164" fontId="8" fillId="0" borderId="0" xfId="10" applyNumberFormat="1" applyFont="1" applyAlignment="1">
      <alignment horizontal="center"/>
    </xf>
    <xf numFmtId="9" fontId="8" fillId="0" borderId="0" xfId="40" quotePrefix="1" applyFont="1" applyFill="1" applyBorder="1" applyAlignment="1">
      <alignment horizontal="right"/>
    </xf>
    <xf numFmtId="164" fontId="8" fillId="0" borderId="0" xfId="81" applyFont="1" applyFill="1" applyBorder="1" applyAlignment="1">
      <alignment horizontal="center"/>
    </xf>
    <xf numFmtId="164" fontId="8" fillId="0" borderId="0" xfId="81" quotePrefix="1" applyFont="1" applyFill="1" applyBorder="1" applyAlignment="1">
      <alignment horizontal="right"/>
    </xf>
    <xf numFmtId="2" fontId="8" fillId="0" borderId="0" xfId="10" applyNumberFormat="1" applyFont="1" applyAlignment="1">
      <alignment horizontal="center"/>
    </xf>
    <xf numFmtId="164" fontId="7" fillId="0" borderId="0" xfId="81" applyFont="1" applyFill="1" applyBorder="1"/>
    <xf numFmtId="172" fontId="7" fillId="0" borderId="0" xfId="10" applyNumberFormat="1" applyFont="1"/>
    <xf numFmtId="0" fontId="8" fillId="0" borderId="0" xfId="35" applyFont="1" applyAlignment="1">
      <alignment horizontal="center" vertical="top"/>
    </xf>
    <xf numFmtId="0" fontId="8" fillId="0" borderId="0" xfId="71" applyFont="1" applyAlignment="1">
      <alignment horizontal="right"/>
    </xf>
    <xf numFmtId="0" fontId="7" fillId="0" borderId="0" xfId="71" applyFont="1" applyAlignment="1">
      <alignment horizontal="center"/>
    </xf>
    <xf numFmtId="0" fontId="7" fillId="0" borderId="4" xfId="71" applyFont="1" applyBorder="1"/>
    <xf numFmtId="0" fontId="7" fillId="0" borderId="4" xfId="71" applyFont="1" applyBorder="1" applyAlignment="1">
      <alignment horizontal="left" vertical="top" wrapText="1"/>
    </xf>
    <xf numFmtId="0" fontId="7" fillId="0" borderId="4" xfId="71" applyFont="1" applyBorder="1" applyAlignment="1">
      <alignment horizontal="left"/>
    </xf>
    <xf numFmtId="0" fontId="8" fillId="0" borderId="4" xfId="71" applyFont="1" applyBorder="1"/>
    <xf numFmtId="0" fontId="8" fillId="0" borderId="4" xfId="71" applyFont="1" applyBorder="1" applyAlignment="1">
      <alignment horizontal="left" vertical="top" wrapText="1"/>
    </xf>
    <xf numFmtId="164" fontId="7" fillId="0" borderId="0" xfId="71" applyNumberFormat="1" applyFont="1"/>
    <xf numFmtId="0" fontId="16" fillId="0" borderId="4" xfId="14" applyFont="1" applyBorder="1" applyAlignment="1">
      <alignment horizontal="left" vertical="center"/>
    </xf>
    <xf numFmtId="0" fontId="16" fillId="0" borderId="4" xfId="14" applyFont="1" applyBorder="1" applyAlignment="1">
      <alignment vertical="center" wrapText="1"/>
    </xf>
    <xf numFmtId="0" fontId="16" fillId="10" borderId="4" xfId="14" applyFont="1" applyFill="1" applyBorder="1" applyAlignment="1">
      <alignment horizontal="center" vertical="center"/>
    </xf>
    <xf numFmtId="0" fontId="12" fillId="10" borderId="4" xfId="14" applyFont="1" applyFill="1" applyBorder="1">
      <alignment vertical="center"/>
    </xf>
    <xf numFmtId="0" fontId="16" fillId="10" borderId="4" xfId="14" applyFont="1" applyFill="1" applyBorder="1" applyAlignment="1">
      <alignment horizontal="left" vertical="center"/>
    </xf>
    <xf numFmtId="0" fontId="16" fillId="0" borderId="7" xfId="14" applyFont="1" applyBorder="1" applyAlignment="1">
      <alignment horizontal="center" vertical="center"/>
    </xf>
    <xf numFmtId="0" fontId="16" fillId="6" borderId="7" xfId="14" applyFont="1" applyFill="1" applyBorder="1">
      <alignment vertical="center"/>
    </xf>
    <xf numFmtId="0" fontId="16" fillId="6" borderId="7" xfId="14" applyFont="1" applyFill="1" applyBorder="1" applyAlignment="1">
      <alignment horizontal="left" vertical="center"/>
    </xf>
    <xf numFmtId="0" fontId="7" fillId="0" borderId="4" xfId="29" applyNumberFormat="1" applyFont="1" applyBorder="1" applyAlignment="1">
      <alignment horizontal="left" vertical="top"/>
    </xf>
    <xf numFmtId="164" fontId="8" fillId="0" borderId="0" xfId="29" applyFont="1" applyAlignment="1">
      <alignment horizontal="left" vertical="top"/>
    </xf>
    <xf numFmtId="164" fontId="8" fillId="12" borderId="0" xfId="29" applyFont="1" applyFill="1" applyAlignment="1">
      <alignment horizontal="center" vertical="top"/>
    </xf>
    <xf numFmtId="164" fontId="25" fillId="0" borderId="0" xfId="29" applyFont="1" applyAlignment="1">
      <alignment horizontal="left"/>
    </xf>
    <xf numFmtId="0" fontId="7" fillId="0" borderId="4" xfId="10" applyFont="1" applyBorder="1" applyAlignment="1">
      <alignment horizontal="right" vertical="top"/>
    </xf>
    <xf numFmtId="43" fontId="7" fillId="0" borderId="4" xfId="10" applyNumberFormat="1" applyFont="1" applyBorder="1" applyAlignment="1">
      <alignment vertical="top"/>
    </xf>
    <xf numFmtId="0" fontId="7" fillId="0" borderId="4" xfId="10" applyFont="1" applyBorder="1" applyAlignment="1">
      <alignment horizontal="right" vertical="top" wrapText="1"/>
    </xf>
    <xf numFmtId="43" fontId="7" fillId="0" borderId="4" xfId="10" applyNumberFormat="1" applyFont="1" applyBorder="1" applyAlignment="1">
      <alignment vertical="top" wrapText="1"/>
    </xf>
    <xf numFmtId="43" fontId="7" fillId="0" borderId="4" xfId="10" applyNumberFormat="1" applyFont="1" applyBorder="1" applyAlignment="1">
      <alignment horizontal="right" vertical="top"/>
    </xf>
    <xf numFmtId="10" fontId="8" fillId="0" borderId="4" xfId="29" applyNumberFormat="1" applyFont="1" applyFill="1" applyBorder="1" applyAlignment="1">
      <alignment vertical="center"/>
    </xf>
    <xf numFmtId="4" fontId="8" fillId="0" borderId="4" xfId="29" applyNumberFormat="1" applyFont="1" applyFill="1" applyBorder="1" applyAlignment="1">
      <alignment vertical="center"/>
    </xf>
    <xf numFmtId="164" fontId="8" fillId="0" borderId="4" xfId="29" applyFont="1" applyFill="1" applyBorder="1" applyAlignment="1">
      <alignment horizontal="center" vertical="center"/>
    </xf>
    <xf numFmtId="164" fontId="16" fillId="0" borderId="4" xfId="29" applyFont="1" applyFill="1" applyBorder="1"/>
    <xf numFmtId="174" fontId="7" fillId="0" borderId="4" xfId="29" applyNumberFormat="1" applyFont="1" applyFill="1" applyBorder="1" applyAlignment="1">
      <alignment horizontal="center" vertical="center"/>
    </xf>
    <xf numFmtId="175" fontId="7" fillId="0" borderId="4" xfId="29" applyNumberFormat="1" applyFont="1" applyFill="1" applyBorder="1" applyAlignment="1">
      <alignment horizontal="center" vertical="center"/>
    </xf>
    <xf numFmtId="175" fontId="8" fillId="0" borderId="4" xfId="29" applyNumberFormat="1" applyFont="1" applyFill="1" applyBorder="1" applyAlignment="1">
      <alignment horizontal="center" vertical="center"/>
    </xf>
    <xf numFmtId="10" fontId="46" fillId="0" borderId="4" xfId="40" applyNumberFormat="1" applyFont="1" applyFill="1" applyBorder="1" applyAlignment="1">
      <alignment wrapText="1"/>
    </xf>
    <xf numFmtId="10" fontId="16" fillId="0" borderId="4" xfId="40" applyNumberFormat="1" applyFont="1" applyFill="1" applyBorder="1" applyAlignment="1">
      <alignment wrapText="1"/>
    </xf>
    <xf numFmtId="179" fontId="7" fillId="0" borderId="4" xfId="40" applyNumberFormat="1" applyFont="1" applyFill="1" applyBorder="1" applyAlignment="1">
      <alignment wrapText="1"/>
    </xf>
    <xf numFmtId="164" fontId="7" fillId="0" borderId="4" xfId="29" applyFont="1" applyFill="1" applyBorder="1" applyAlignment="1">
      <alignment horizontal="right" vertical="center" wrapText="1"/>
    </xf>
    <xf numFmtId="10" fontId="16" fillId="0" borderId="4" xfId="40" applyNumberFormat="1" applyFont="1" applyFill="1" applyBorder="1" applyAlignment="1">
      <alignment horizontal="right" vertical="center" wrapText="1"/>
    </xf>
    <xf numFmtId="10" fontId="7" fillId="10" borderId="4" xfId="40" applyNumberFormat="1" applyFont="1" applyFill="1" applyBorder="1" applyAlignment="1">
      <alignment horizontal="right" vertical="center" wrapText="1"/>
    </xf>
    <xf numFmtId="10" fontId="7" fillId="0" borderId="4" xfId="40" applyNumberFormat="1" applyFont="1" applyFill="1" applyBorder="1" applyAlignment="1">
      <alignment horizontal="right" vertical="center" wrapText="1"/>
    </xf>
    <xf numFmtId="164" fontId="7" fillId="0" borderId="4" xfId="29" quotePrefix="1" applyFont="1" applyFill="1" applyBorder="1" applyAlignment="1">
      <alignment horizontal="right" vertical="center" wrapText="1"/>
    </xf>
    <xf numFmtId="178" fontId="9" fillId="0" borderId="4" xfId="40" applyNumberFormat="1" applyFont="1" applyFill="1" applyBorder="1" applyAlignment="1">
      <alignment horizontal="center" vertical="center"/>
    </xf>
    <xf numFmtId="164" fontId="9" fillId="0" borderId="4" xfId="29" applyFont="1" applyFill="1" applyBorder="1" applyAlignment="1">
      <alignment horizontal="center" vertical="center"/>
    </xf>
    <xf numFmtId="0" fontId="16" fillId="0" borderId="4" xfId="14" applyFont="1" applyBorder="1" applyAlignment="1">
      <alignment horizontal="center" wrapText="1"/>
    </xf>
    <xf numFmtId="0" fontId="16" fillId="0" borderId="4" xfId="14" applyFont="1" applyBorder="1" applyAlignment="1">
      <alignment horizontal="left" vertical="center" wrapText="1"/>
    </xf>
    <xf numFmtId="0" fontId="16" fillId="0" borderId="4" xfId="14" applyFont="1" applyBorder="1" applyAlignment="1">
      <alignment horizontal="center" vertical="center" wrapText="1"/>
    </xf>
    <xf numFmtId="0" fontId="12" fillId="0" borderId="4" xfId="10" applyFont="1" applyBorder="1" applyAlignment="1">
      <alignment horizontal="center" vertical="top"/>
    </xf>
    <xf numFmtId="0" fontId="12" fillId="0" borderId="4" xfId="10" applyFont="1" applyBorder="1" applyAlignment="1">
      <alignment horizontal="left"/>
    </xf>
    <xf numFmtId="0" fontId="12" fillId="0" borderId="4" xfId="10" applyFont="1" applyBorder="1" applyAlignment="1">
      <alignment horizontal="center" vertical="center"/>
    </xf>
    <xf numFmtId="0" fontId="16" fillId="0" borderId="4" xfId="10" applyFont="1" applyBorder="1" applyAlignment="1">
      <alignment horizontal="left"/>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0" borderId="0" xfId="10" applyFont="1" applyFill="1" applyBorder="1" applyAlignment="1">
      <alignment horizontal="center" vertical="center"/>
    </xf>
    <xf numFmtId="0" fontId="8" fillId="0" borderId="0" xfId="14" applyFont="1" applyFill="1" applyBorder="1" applyAlignment="1">
      <alignment horizontal="center" vertical="center" wrapText="1"/>
    </xf>
    <xf numFmtId="0" fontId="8" fillId="7" borderId="4" xfId="10" applyFont="1" applyFill="1" applyBorder="1" applyAlignment="1">
      <alignment horizontal="center" vertical="center" wrapText="1"/>
    </xf>
    <xf numFmtId="164" fontId="7" fillId="0" borderId="4" xfId="69" applyFont="1" applyFill="1" applyBorder="1" applyAlignment="1">
      <alignment horizontal="center" vertical="center"/>
    </xf>
    <xf numFmtId="0" fontId="8" fillId="7" borderId="4" xfId="10" applyFont="1" applyFill="1" applyBorder="1" applyAlignment="1">
      <alignment horizontal="center" vertical="center"/>
    </xf>
    <xf numFmtId="0" fontId="8" fillId="7" borderId="4" xfId="10" applyFont="1" applyFill="1" applyBorder="1" applyAlignment="1">
      <alignment horizontal="center" wrapText="1"/>
    </xf>
    <xf numFmtId="0" fontId="38" fillId="0" borderId="0" xfId="10" applyFont="1" applyFill="1" applyBorder="1" applyProtection="1"/>
    <xf numFmtId="0" fontId="0" fillId="0" borderId="20" xfId="0" applyBorder="1"/>
    <xf numFmtId="170" fontId="7" fillId="5" borderId="4" xfId="10" applyNumberFormat="1" applyFont="1" applyFill="1" applyBorder="1" applyAlignment="1">
      <alignment horizontal="center"/>
    </xf>
    <xf numFmtId="171" fontId="7" fillId="5" borderId="4" xfId="10" applyNumberFormat="1" applyFont="1" applyFill="1" applyBorder="1" applyAlignment="1">
      <alignment horizontal="center"/>
    </xf>
    <xf numFmtId="0" fontId="17" fillId="0" borderId="20" xfId="0" applyFont="1" applyBorder="1"/>
    <xf numFmtId="9" fontId="0" fillId="0" borderId="8" xfId="0" applyNumberFormat="1" applyBorder="1" applyAlignment="1">
      <alignment horizontal="center"/>
    </xf>
    <xf numFmtId="0" fontId="62" fillId="0" borderId="20" xfId="0" applyFont="1" applyBorder="1"/>
    <xf numFmtId="0" fontId="62" fillId="0" borderId="8" xfId="0" applyFont="1" applyBorder="1" applyAlignment="1">
      <alignment horizontal="center"/>
    </xf>
    <xf numFmtId="43" fontId="30" fillId="0" borderId="4" xfId="0" applyNumberFormat="1" applyFont="1" applyBorder="1"/>
    <xf numFmtId="0" fontId="62" fillId="0" borderId="4" xfId="0" applyFont="1" applyBorder="1"/>
    <xf numFmtId="0" fontId="62" fillId="0" borderId="4" xfId="0" applyFont="1" applyBorder="1" applyAlignment="1">
      <alignment horizontal="center"/>
    </xf>
    <xf numFmtId="10" fontId="8" fillId="0" borderId="4" xfId="10" applyNumberFormat="1" applyFont="1" applyBorder="1"/>
    <xf numFmtId="0" fontId="31" fillId="0" borderId="4" xfId="0" applyFont="1" applyBorder="1" applyAlignment="1">
      <alignment horizontal="center"/>
    </xf>
    <xf numFmtId="43" fontId="45" fillId="0" borderId="4" xfId="73" applyFont="1" applyFill="1" applyBorder="1"/>
    <xf numFmtId="164" fontId="7" fillId="0" borderId="4" xfId="29" applyFont="1" applyFill="1" applyBorder="1" applyAlignment="1">
      <alignment horizontal="left"/>
    </xf>
    <xf numFmtId="164" fontId="26" fillId="0" borderId="6" xfId="29" applyFont="1" applyFill="1" applyBorder="1" applyAlignment="1">
      <alignment horizontal="center" vertical="center"/>
    </xf>
    <xf numFmtId="164" fontId="26" fillId="0" borderId="4" xfId="29" applyFont="1" applyFill="1" applyBorder="1" applyAlignment="1">
      <alignment horizontal="center" vertical="center"/>
    </xf>
    <xf numFmtId="164" fontId="8" fillId="0" borderId="4" xfId="29" applyFont="1" applyFill="1" applyBorder="1" applyAlignment="1" applyProtection="1">
      <alignment horizontal="center" vertical="center" wrapText="1"/>
    </xf>
    <xf numFmtId="0" fontId="8" fillId="11" borderId="4" xfId="10" applyFont="1" applyFill="1" applyBorder="1"/>
    <xf numFmtId="0" fontId="8" fillId="11" borderId="4" xfId="10" applyFont="1" applyFill="1" applyBorder="1" applyAlignment="1">
      <alignment horizontal="center"/>
    </xf>
    <xf numFmtId="0" fontId="38" fillId="0" borderId="4" xfId="10" applyFont="1" applyBorder="1" applyAlignment="1">
      <alignment wrapText="1"/>
    </xf>
    <xf numFmtId="164" fontId="8" fillId="0" borderId="4" xfId="29" applyFont="1" applyBorder="1"/>
    <xf numFmtId="9" fontId="8" fillId="0" borderId="4" xfId="10" applyNumberFormat="1" applyFont="1" applyBorder="1" applyAlignment="1">
      <alignment horizontal="center"/>
    </xf>
    <xf numFmtId="0" fontId="8" fillId="7" borderId="0" xfId="10" applyFont="1" applyFill="1" applyAlignment="1">
      <alignment horizontal="center" vertical="center"/>
    </xf>
    <xf numFmtId="4" fontId="7" fillId="0" borderId="6" xfId="10" applyNumberFormat="1" applyFont="1" applyFill="1" applyBorder="1" applyAlignment="1" applyProtection="1">
      <alignment vertical="center"/>
    </xf>
    <xf numFmtId="164" fontId="7" fillId="0" borderId="4" xfId="29" applyFont="1" applyFill="1" applyBorder="1" applyAlignment="1"/>
    <xf numFmtId="164" fontId="8" fillId="0" borderId="4" xfId="29" applyFont="1" applyFill="1" applyBorder="1" applyAlignment="1" applyProtection="1">
      <alignment horizontal="left" vertical="center"/>
    </xf>
    <xf numFmtId="10" fontId="7" fillId="0" borderId="0" xfId="10" applyNumberFormat="1" applyFont="1" applyFill="1" applyAlignment="1">
      <alignment horizontal="center"/>
    </xf>
    <xf numFmtId="164" fontId="7" fillId="0" borderId="4" xfId="10" applyNumberFormat="1" applyFont="1" applyFill="1" applyBorder="1" applyAlignment="1" applyProtection="1">
      <alignment horizontal="left" vertical="center"/>
    </xf>
    <xf numFmtId="164" fontId="8" fillId="0" borderId="4" xfId="29" applyFont="1" applyFill="1" applyBorder="1" applyAlignment="1" applyProtection="1">
      <alignment horizontal="left" vertical="center" wrapText="1"/>
    </xf>
    <xf numFmtId="164" fontId="8" fillId="0" borderId="4" xfId="10" applyNumberFormat="1" applyFont="1" applyFill="1" applyBorder="1" applyAlignment="1" applyProtection="1">
      <alignment horizontal="left" vertical="center"/>
    </xf>
    <xf numFmtId="0" fontId="8" fillId="7" borderId="9" xfId="10"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12" xfId="14" applyFont="1" applyFill="1" applyBorder="1" applyAlignment="1">
      <alignment horizontal="center" vertical="center" wrapText="1"/>
    </xf>
    <xf numFmtId="0" fontId="8" fillId="7" borderId="15" xfId="14" applyFont="1" applyFill="1" applyBorder="1" applyAlignment="1">
      <alignment horizontal="center" vertical="center" wrapText="1"/>
    </xf>
    <xf numFmtId="2" fontId="7" fillId="0" borderId="4" xfId="10" applyNumberFormat="1" applyFont="1" applyFill="1" applyBorder="1"/>
    <xf numFmtId="0" fontId="7" fillId="0" borderId="5" xfId="10" applyFont="1" applyFill="1" applyBorder="1"/>
    <xf numFmtId="164" fontId="7" fillId="6" borderId="4" xfId="29" applyFont="1" applyFill="1" applyBorder="1"/>
    <xf numFmtId="0" fontId="12" fillId="0" borderId="0" xfId="14" applyFont="1" applyFill="1" applyBorder="1" applyAlignment="1">
      <alignment horizontal="center" vertical="center" wrapText="1"/>
    </xf>
    <xf numFmtId="0" fontId="12" fillId="0" borderId="0" xfId="14" applyFont="1" applyFill="1" applyBorder="1" applyAlignment="1">
      <alignment vertical="center" wrapText="1"/>
    </xf>
    <xf numFmtId="0" fontId="7" fillId="0" borderId="0" xfId="10" applyFont="1" applyFill="1" applyBorder="1" applyAlignment="1">
      <alignment horizontal="center" vertical="center"/>
    </xf>
    <xf numFmtId="164" fontId="7" fillId="0" borderId="0" xfId="29" applyFont="1" applyFill="1" applyBorder="1" applyAlignment="1">
      <alignment horizontal="center" vertical="center"/>
    </xf>
    <xf numFmtId="10" fontId="7" fillId="0" borderId="0" xfId="10" applyNumberFormat="1" applyFont="1" applyFill="1" applyBorder="1" applyAlignment="1">
      <alignment horizontal="center" vertical="center"/>
    </xf>
    <xf numFmtId="164" fontId="8" fillId="0" borderId="0" xfId="29" applyFont="1" applyFill="1" applyBorder="1" applyAlignment="1">
      <alignment horizontal="right" vertical="center"/>
    </xf>
    <xf numFmtId="164" fontId="7" fillId="0" borderId="0" xfId="29" applyFont="1" applyFill="1" applyBorder="1" applyAlignment="1">
      <alignment horizontal="right" vertical="center"/>
    </xf>
    <xf numFmtId="10" fontId="7" fillId="0" borderId="0" xfId="40" applyNumberFormat="1" applyFont="1" applyFill="1" applyBorder="1" applyAlignment="1">
      <alignment horizontal="center" vertical="center"/>
    </xf>
    <xf numFmtId="10" fontId="7" fillId="0" borderId="0" xfId="10" applyNumberFormat="1" applyFont="1" applyFill="1" applyBorder="1" applyAlignment="1">
      <alignment horizontal="center" vertical="top"/>
    </xf>
    <xf numFmtId="164" fontId="16" fillId="12" borderId="4" xfId="69" applyFont="1" applyFill="1" applyBorder="1" applyAlignment="1">
      <alignment horizontal="right" vertical="center" wrapText="1"/>
    </xf>
    <xf numFmtId="0" fontId="63" fillId="0" borderId="18" xfId="0" applyFont="1" applyBorder="1" applyAlignment="1">
      <alignment horizontal="left" vertical="center"/>
    </xf>
    <xf numFmtId="0" fontId="31" fillId="0" borderId="0" xfId="0" applyFont="1" applyAlignment="1">
      <alignment horizontal="center"/>
    </xf>
    <xf numFmtId="0" fontId="63" fillId="0" borderId="22" xfId="0" applyFont="1" applyBorder="1" applyAlignment="1">
      <alignment horizontal="left" vertical="center"/>
    </xf>
    <xf numFmtId="0" fontId="47" fillId="0" borderId="0" xfId="0" applyFont="1"/>
    <xf numFmtId="0" fontId="31" fillId="0" borderId="0" xfId="0" applyFont="1"/>
    <xf numFmtId="0" fontId="63" fillId="0" borderId="4" xfId="0" applyFont="1" applyBorder="1" applyAlignment="1">
      <alignment horizontal="center" vertical="center" wrapText="1"/>
    </xf>
    <xf numFmtId="0" fontId="64" fillId="0" borderId="4" xfId="0" applyFont="1" applyBorder="1"/>
    <xf numFmtId="164" fontId="64" fillId="0" borderId="4" xfId="29" applyFont="1" applyBorder="1"/>
    <xf numFmtId="2" fontId="64" fillId="0" borderId="4" xfId="0" applyNumberFormat="1" applyFont="1" applyBorder="1"/>
    <xf numFmtId="164" fontId="63" fillId="0" borderId="4" xfId="29" applyFont="1" applyBorder="1"/>
    <xf numFmtId="0" fontId="64" fillId="0" borderId="0" xfId="0" applyFont="1"/>
    <xf numFmtId="0" fontId="64" fillId="0" borderId="4" xfId="0" applyFont="1" applyBorder="1" applyAlignment="1">
      <alignment horizontal="center"/>
    </xf>
    <xf numFmtId="164" fontId="64" fillId="12" borderId="4" xfId="29" applyFont="1" applyFill="1" applyBorder="1"/>
    <xf numFmtId="0" fontId="8" fillId="0" borderId="4" xfId="10" applyFont="1" applyBorder="1" applyAlignment="1">
      <alignment horizontal="center"/>
    </xf>
    <xf numFmtId="164" fontId="7" fillId="0" borderId="4" xfId="29" applyFont="1" applyFill="1" applyBorder="1" applyAlignment="1">
      <alignment horizontal="center" vertical="center"/>
    </xf>
    <xf numFmtId="164" fontId="7" fillId="0" borderId="4" xfId="29" applyFont="1" applyFill="1" applyBorder="1" applyAlignment="1">
      <alignment horizontal="center" vertical="center"/>
    </xf>
    <xf numFmtId="164" fontId="7" fillId="0" borderId="4" xfId="29" applyFont="1" applyFill="1" applyBorder="1" applyAlignment="1">
      <alignment horizontal="center" vertical="center"/>
    </xf>
    <xf numFmtId="164" fontId="7" fillId="0" borderId="4" xfId="29" applyFont="1" applyFill="1" applyBorder="1" applyAlignment="1">
      <alignment horizontal="center" vertical="center"/>
    </xf>
    <xf numFmtId="0" fontId="7" fillId="0" borderId="0" xfId="10" applyFont="1" applyAlignment="1">
      <alignment horizontal="center"/>
    </xf>
    <xf numFmtId="9" fontId="30" fillId="18" borderId="24" xfId="0" applyNumberFormat="1" applyFont="1" applyFill="1" applyBorder="1" applyAlignment="1">
      <alignment horizontal="center" wrapText="1"/>
    </xf>
    <xf numFmtId="0" fontId="63" fillId="0" borderId="4" xfId="0" applyFont="1" applyBorder="1" applyAlignment="1">
      <alignment horizontal="left" vertical="center" wrapText="1"/>
    </xf>
    <xf numFmtId="0" fontId="63" fillId="0" borderId="20" xfId="0" applyFont="1" applyBorder="1" applyAlignment="1">
      <alignment horizontal="center" vertical="center" wrapText="1"/>
    </xf>
    <xf numFmtId="0" fontId="7" fillId="0" borderId="8" xfId="10" applyFont="1" applyBorder="1" applyAlignment="1">
      <alignment horizontal="center"/>
    </xf>
    <xf numFmtId="164" fontId="64" fillId="0" borderId="20" xfId="0" applyNumberFormat="1" applyFont="1" applyBorder="1"/>
    <xf numFmtId="164" fontId="7" fillId="0" borderId="8" xfId="10" applyNumberFormat="1" applyFont="1" applyBorder="1" applyAlignment="1">
      <alignment horizontal="center"/>
    </xf>
    <xf numFmtId="164" fontId="7" fillId="0" borderId="4" xfId="10" applyNumberFormat="1" applyFont="1" applyBorder="1" applyAlignment="1">
      <alignment horizontal="center"/>
    </xf>
    <xf numFmtId="183" fontId="64" fillId="0" borderId="20" xfId="0" applyNumberFormat="1" applyFont="1" applyBorder="1"/>
    <xf numFmtId="169" fontId="7" fillId="0" borderId="8" xfId="10" applyNumberFormat="1" applyFont="1" applyBorder="1" applyAlignment="1">
      <alignment horizontal="center"/>
    </xf>
    <xf numFmtId="164" fontId="64" fillId="0" borderId="20" xfId="29" applyFont="1" applyFill="1" applyBorder="1"/>
    <xf numFmtId="164" fontId="64" fillId="0" borderId="8" xfId="29" applyFont="1" applyFill="1" applyBorder="1"/>
    <xf numFmtId="164" fontId="64" fillId="0" borderId="8" xfId="29" applyFont="1" applyBorder="1"/>
    <xf numFmtId="10" fontId="64" fillId="0" borderId="20" xfId="40" applyNumberFormat="1" applyFont="1" applyFill="1" applyBorder="1"/>
    <xf numFmtId="9" fontId="64" fillId="0" borderId="20" xfId="0" applyNumberFormat="1" applyFont="1" applyBorder="1"/>
    <xf numFmtId="0" fontId="64" fillId="0" borderId="20" xfId="0" applyFont="1" applyBorder="1"/>
    <xf numFmtId="2" fontId="64" fillId="0" borderId="20" xfId="0" applyNumberFormat="1" applyFont="1" applyBorder="1"/>
    <xf numFmtId="164" fontId="63" fillId="0" borderId="20" xfId="29" applyFont="1" applyFill="1" applyBorder="1"/>
    <xf numFmtId="164" fontId="63" fillId="0" borderId="20" xfId="29" applyFont="1" applyBorder="1"/>
    <xf numFmtId="0" fontId="64" fillId="0" borderId="25" xfId="0" applyFont="1" applyBorder="1"/>
    <xf numFmtId="43" fontId="64" fillId="0" borderId="20" xfId="0" applyNumberFormat="1" applyFont="1" applyBorder="1"/>
    <xf numFmtId="43" fontId="7" fillId="0" borderId="8" xfId="10" applyNumberFormat="1" applyFont="1" applyBorder="1" applyAlignment="1">
      <alignment horizontal="center"/>
    </xf>
    <xf numFmtId="0" fontId="64" fillId="0" borderId="20" xfId="0" applyFont="1" applyBorder="1" applyAlignment="1">
      <alignment horizontal="center"/>
    </xf>
    <xf numFmtId="164" fontId="64" fillId="0" borderId="20" xfId="29" applyFont="1" applyBorder="1"/>
    <xf numFmtId="164" fontId="64" fillId="12" borderId="20" xfId="29" applyFont="1" applyFill="1" applyBorder="1"/>
    <xf numFmtId="0" fontId="7" fillId="0" borderId="20" xfId="10" applyFont="1" applyBorder="1" applyAlignment="1">
      <alignment horizontal="center"/>
    </xf>
    <xf numFmtId="0" fontId="8" fillId="0" borderId="5" xfId="10" applyFont="1" applyBorder="1" applyAlignment="1">
      <alignment horizontal="center"/>
    </xf>
    <xf numFmtId="164" fontId="8" fillId="0" borderId="21" xfId="29" applyFont="1" applyFill="1" applyBorder="1" applyAlignment="1">
      <alignment horizontal="center"/>
    </xf>
    <xf numFmtId="164" fontId="8" fillId="0" borderId="21" xfId="29" applyFont="1" applyBorder="1" applyAlignment="1">
      <alignment horizontal="center"/>
    </xf>
    <xf numFmtId="9" fontId="30" fillId="18" borderId="27" xfId="0" applyNumberFormat="1" applyFont="1" applyFill="1" applyBorder="1" applyAlignment="1">
      <alignment horizontal="center" wrapText="1"/>
    </xf>
    <xf numFmtId="0" fontId="7" fillId="0" borderId="28" xfId="10" applyFont="1" applyBorder="1" applyAlignment="1">
      <alignment horizontal="center"/>
    </xf>
    <xf numFmtId="183" fontId="7" fillId="0" borderId="4" xfId="10" applyNumberFormat="1" applyFont="1" applyBorder="1" applyAlignment="1">
      <alignment horizontal="center"/>
    </xf>
    <xf numFmtId="164" fontId="64" fillId="0" borderId="4" xfId="29" applyFont="1" applyFill="1" applyBorder="1"/>
    <xf numFmtId="10" fontId="7" fillId="0" borderId="4" xfId="10" applyNumberFormat="1" applyFont="1" applyBorder="1" applyAlignment="1">
      <alignment horizontal="center"/>
    </xf>
    <xf numFmtId="9" fontId="7" fillId="0" borderId="4" xfId="10" applyNumberFormat="1" applyFont="1" applyBorder="1" applyAlignment="1">
      <alignment horizontal="center"/>
    </xf>
    <xf numFmtId="164" fontId="63" fillId="0" borderId="4" xfId="29" applyFont="1" applyFill="1" applyBorder="1"/>
    <xf numFmtId="0" fontId="7" fillId="0" borderId="29" xfId="10" applyFont="1" applyBorder="1" applyAlignment="1">
      <alignment horizontal="center"/>
    </xf>
    <xf numFmtId="43" fontId="7" fillId="0" borderId="4" xfId="10" applyNumberFormat="1" applyFont="1" applyBorder="1" applyAlignment="1">
      <alignment horizontal="center"/>
    </xf>
    <xf numFmtId="164" fontId="8" fillId="0" borderId="28" xfId="10" applyNumberFormat="1" applyFont="1" applyBorder="1" applyAlignment="1">
      <alignment horizontal="center"/>
    </xf>
    <xf numFmtId="0" fontId="8" fillId="0" borderId="28" xfId="10" applyFont="1" applyBorder="1" applyAlignment="1">
      <alignment horizontal="center"/>
    </xf>
    <xf numFmtId="164" fontId="7" fillId="0" borderId="4" xfId="29" applyFont="1" applyFill="1" applyBorder="1" applyAlignment="1">
      <alignment horizontal="center"/>
    </xf>
    <xf numFmtId="164" fontId="8" fillId="0" borderId="30" xfId="29" applyFont="1" applyFill="1" applyBorder="1" applyAlignment="1">
      <alignment horizontal="center"/>
    </xf>
    <xf numFmtId="164" fontId="8" fillId="0" borderId="31" xfId="10" applyNumberFormat="1" applyFont="1" applyBorder="1" applyAlignment="1">
      <alignment horizontal="center"/>
    </xf>
    <xf numFmtId="164" fontId="8" fillId="0" borderId="30" xfId="29" applyFont="1" applyBorder="1" applyAlignment="1">
      <alignment horizontal="center"/>
    </xf>
    <xf numFmtId="10" fontId="8" fillId="0" borderId="0" xfId="10" applyNumberFormat="1" applyFont="1"/>
    <xf numFmtId="10" fontId="7" fillId="0" borderId="0" xfId="10" applyNumberFormat="1" applyFont="1"/>
    <xf numFmtId="164" fontId="7" fillId="6" borderId="4" xfId="69" applyFont="1" applyFill="1" applyBorder="1"/>
    <xf numFmtId="164" fontId="7" fillId="0" borderId="4" xfId="29" applyFont="1" applyFill="1" applyBorder="1" applyAlignment="1">
      <alignment horizontal="center" vertical="center"/>
    </xf>
    <xf numFmtId="0" fontId="7" fillId="0" borderId="4" xfId="29" applyNumberFormat="1" applyFont="1" applyFill="1" applyBorder="1" applyAlignment="1">
      <alignment horizontal="center" vertical="center" wrapText="1"/>
    </xf>
    <xf numFmtId="164" fontId="8" fillId="0" borderId="4" xfId="29" applyFont="1" applyFill="1" applyBorder="1" applyAlignment="1">
      <alignment horizontal="center" vertical="center" wrapText="1"/>
    </xf>
    <xf numFmtId="10" fontId="16" fillId="0" borderId="4" xfId="82" applyNumberFormat="1" applyFont="1" applyFill="1" applyBorder="1" applyAlignment="1">
      <alignment horizontal="center"/>
    </xf>
    <xf numFmtId="0" fontId="7" fillId="0" borderId="4" xfId="29" applyNumberFormat="1" applyFont="1" applyFill="1" applyBorder="1" applyAlignment="1">
      <alignment horizontal="center" vertical="center"/>
    </xf>
    <xf numFmtId="43" fontId="8" fillId="0" borderId="4" xfId="29" applyNumberFormat="1" applyFont="1" applyFill="1" applyBorder="1" applyAlignment="1">
      <alignment horizontal="center" vertical="center"/>
    </xf>
    <xf numFmtId="169" fontId="7" fillId="0" borderId="4" xfId="29" applyNumberFormat="1" applyFont="1" applyFill="1" applyBorder="1" applyAlignment="1">
      <alignment horizontal="center" vertical="center"/>
    </xf>
    <xf numFmtId="169" fontId="8" fillId="0" borderId="4" xfId="29" applyNumberFormat="1" applyFont="1" applyFill="1" applyBorder="1" applyAlignment="1">
      <alignment horizontal="center" vertical="center"/>
    </xf>
    <xf numFmtId="10" fontId="7" fillId="10" borderId="4" xfId="82" applyNumberFormat="1" applyFont="1" applyFill="1" applyBorder="1" applyAlignment="1">
      <alignment horizontal="right" vertical="center" wrapText="1"/>
    </xf>
    <xf numFmtId="10" fontId="7" fillId="0" borderId="4" xfId="82" applyNumberFormat="1" applyFont="1" applyFill="1" applyBorder="1" applyAlignment="1">
      <alignment horizontal="right" vertical="center" wrapText="1"/>
    </xf>
    <xf numFmtId="4" fontId="16" fillId="0" borderId="4" xfId="70" applyNumberFormat="1" applyFont="1" applyFill="1" applyBorder="1" applyAlignment="1">
      <alignment horizontal="right" vertical="center" wrapText="1"/>
    </xf>
    <xf numFmtId="0" fontId="7" fillId="12" borderId="4" xfId="14" applyFont="1" applyFill="1" applyBorder="1">
      <alignment vertical="center"/>
    </xf>
    <xf numFmtId="164" fontId="7" fillId="12" borderId="4" xfId="29" applyFont="1" applyFill="1" applyBorder="1" applyAlignment="1">
      <alignment vertical="center"/>
    </xf>
    <xf numFmtId="10" fontId="7" fillId="12" borderId="4" xfId="14" applyNumberFormat="1" applyFont="1" applyFill="1" applyBorder="1" applyAlignment="1">
      <alignment vertical="center"/>
    </xf>
    <xf numFmtId="10" fontId="7" fillId="12" borderId="4" xfId="14" applyNumberFormat="1" applyFont="1" applyFill="1" applyBorder="1">
      <alignment vertical="center"/>
    </xf>
    <xf numFmtId="175" fontId="7" fillId="12" borderId="4" xfId="29" applyNumberFormat="1" applyFont="1" applyFill="1" applyBorder="1" applyAlignment="1">
      <alignment vertical="center"/>
    </xf>
    <xf numFmtId="164" fontId="47" fillId="12" borderId="4" xfId="72" applyFont="1" applyFill="1" applyBorder="1" applyAlignment="1">
      <alignment vertical="center"/>
    </xf>
    <xf numFmtId="164" fontId="9" fillId="0" borderId="4" xfId="29" applyFont="1" applyBorder="1" applyAlignment="1">
      <alignment vertical="center"/>
    </xf>
    <xf numFmtId="43" fontId="9" fillId="0" borderId="4" xfId="14" applyNumberFormat="1" applyFont="1" applyBorder="1">
      <alignment vertical="center"/>
    </xf>
    <xf numFmtId="164" fontId="9" fillId="0" borderId="4" xfId="29" applyFont="1" applyFill="1" applyBorder="1" applyAlignment="1">
      <alignment vertical="center"/>
    </xf>
    <xf numFmtId="164" fontId="10" fillId="0" borderId="4" xfId="29" applyFont="1" applyFill="1" applyBorder="1" applyAlignment="1">
      <alignment vertical="center"/>
    </xf>
    <xf numFmtId="164" fontId="48" fillId="0" borderId="4" xfId="69" applyFont="1" applyBorder="1" applyAlignment="1">
      <alignment vertical="center"/>
    </xf>
    <xf numFmtId="164" fontId="48" fillId="0" borderId="4" xfId="69" applyFont="1" applyBorder="1"/>
    <xf numFmtId="164" fontId="49" fillId="0" borderId="4" xfId="69" applyFont="1" applyBorder="1"/>
    <xf numFmtId="164" fontId="48" fillId="0" borderId="4" xfId="29" applyFont="1" applyFill="1" applyBorder="1"/>
    <xf numFmtId="169" fontId="7" fillId="0" borderId="4" xfId="29" quotePrefix="1" applyNumberFormat="1" applyFont="1" applyFill="1" applyBorder="1" applyAlignment="1">
      <alignment horizontal="right" vertical="center" wrapText="1"/>
    </xf>
    <xf numFmtId="169" fontId="7" fillId="0" borderId="4" xfId="29" applyNumberFormat="1" applyFont="1" applyFill="1" applyBorder="1" applyAlignment="1">
      <alignment horizontal="right" vertical="center" wrapText="1"/>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164" fontId="7" fillId="0" borderId="4" xfId="29" applyFont="1" applyFill="1" applyBorder="1" applyAlignment="1">
      <alignment horizontal="center" vertical="center"/>
    </xf>
    <xf numFmtId="0" fontId="16" fillId="0" borderId="0" xfId="10" applyFont="1" applyBorder="1"/>
    <xf numFmtId="0" fontId="12" fillId="0" borderId="0" xfId="14" applyFont="1" applyAlignment="1">
      <alignment horizontal="center" vertical="center"/>
    </xf>
    <xf numFmtId="0" fontId="12" fillId="0" borderId="0" xfId="14" applyFont="1" applyAlignment="1">
      <alignment vertical="center"/>
    </xf>
    <xf numFmtId="0" fontId="16" fillId="0" borderId="0" xfId="14" applyFont="1" applyAlignment="1">
      <alignment vertical="center"/>
    </xf>
    <xf numFmtId="0" fontId="12" fillId="0" borderId="0" xfId="10" applyFont="1" applyAlignment="1">
      <alignment horizontal="centerContinuous"/>
    </xf>
    <xf numFmtId="0" fontId="16" fillId="0" borderId="0" xfId="10" applyFont="1" applyBorder="1" applyAlignment="1">
      <alignment horizontal="center" vertical="top"/>
    </xf>
    <xf numFmtId="0" fontId="16" fillId="0" borderId="0" xfId="14" applyFont="1" applyAlignment="1">
      <alignment horizontal="centerContinuous" vertical="center"/>
    </xf>
    <xf numFmtId="0" fontId="16" fillId="0" borderId="0" xfId="10" applyFont="1" applyBorder="1" applyAlignment="1"/>
    <xf numFmtId="0" fontId="16" fillId="0" borderId="0" xfId="10" applyFont="1" applyBorder="1" applyAlignment="1">
      <alignment vertical="top"/>
    </xf>
    <xf numFmtId="164" fontId="44" fillId="5" borderId="4" xfId="69" applyFont="1" applyFill="1" applyBorder="1" applyAlignment="1">
      <alignment horizontal="center" vertical="center" wrapText="1"/>
    </xf>
    <xf numFmtId="9" fontId="16" fillId="0" borderId="4" xfId="40" applyFont="1" applyBorder="1" applyAlignment="1">
      <alignment vertical="top"/>
    </xf>
    <xf numFmtId="9" fontId="16" fillId="12" borderId="0" xfId="70" applyFont="1" applyFill="1" applyBorder="1" applyAlignment="1">
      <alignment vertical="top"/>
    </xf>
    <xf numFmtId="9" fontId="16" fillId="0" borderId="0" xfId="70" applyFont="1" applyBorder="1" applyAlignment="1">
      <alignment vertical="top"/>
    </xf>
    <xf numFmtId="9" fontId="16" fillId="0" borderId="0" xfId="70" applyFont="1" applyFill="1" applyBorder="1" applyAlignment="1">
      <alignment vertical="top"/>
    </xf>
    <xf numFmtId="0" fontId="16" fillId="0" borderId="0" xfId="10" applyFont="1" applyFill="1" applyBorder="1" applyAlignment="1">
      <alignment vertical="top"/>
    </xf>
    <xf numFmtId="10" fontId="16" fillId="0" borderId="0" xfId="70" applyNumberFormat="1" applyFont="1" applyFill="1" applyBorder="1" applyAlignment="1">
      <alignment vertical="top"/>
    </xf>
    <xf numFmtId="10" fontId="16" fillId="0" borderId="4" xfId="70" applyNumberFormat="1" applyFont="1" applyFill="1" applyBorder="1" applyAlignment="1">
      <alignment horizontal="center" vertical="center"/>
    </xf>
    <xf numFmtId="164" fontId="16" fillId="10" borderId="4" xfId="69" applyFont="1" applyFill="1" applyBorder="1" applyAlignment="1">
      <alignment horizontal="center" vertical="center" wrapText="1"/>
    </xf>
    <xf numFmtId="164" fontId="16" fillId="16" borderId="4" xfId="69" applyFont="1" applyFill="1" applyBorder="1" applyAlignment="1">
      <alignment horizontal="center" vertical="center" wrapText="1"/>
    </xf>
    <xf numFmtId="0" fontId="16" fillId="0" borderId="4" xfId="69" applyNumberFormat="1" applyFont="1" applyFill="1" applyBorder="1" applyAlignment="1">
      <alignment horizontal="center" vertical="center" wrapText="1"/>
    </xf>
    <xf numFmtId="10" fontId="16" fillId="16" borderId="4" xfId="70" applyNumberFormat="1" applyFont="1" applyFill="1" applyBorder="1" applyAlignment="1">
      <alignment horizontal="center" vertical="center" wrapText="1"/>
    </xf>
    <xf numFmtId="0" fontId="12" fillId="5" borderId="0" xfId="14" applyFont="1" applyFill="1" applyBorder="1" applyAlignment="1">
      <alignment horizontal="center" vertical="center" wrapText="1"/>
    </xf>
    <xf numFmtId="0" fontId="12" fillId="5" borderId="0" xfId="14" applyFont="1" applyFill="1" applyBorder="1" applyAlignment="1">
      <alignment horizontal="left" vertical="center" wrapText="1"/>
    </xf>
    <xf numFmtId="0" fontId="16" fillId="5" borderId="0" xfId="14" quotePrefix="1" applyFont="1" applyFill="1" applyBorder="1" applyAlignment="1">
      <alignment horizontal="center" vertical="center" wrapText="1"/>
    </xf>
    <xf numFmtId="0" fontId="16" fillId="0" borderId="0" xfId="10" applyFont="1"/>
    <xf numFmtId="0" fontId="16" fillId="0" borderId="0" xfId="10" applyFont="1" applyBorder="1" applyAlignment="1">
      <alignment horizontal="center" vertical="top" wrapText="1"/>
    </xf>
    <xf numFmtId="0" fontId="67" fillId="0" borderId="0" xfId="10" applyFont="1" applyBorder="1" applyAlignment="1">
      <alignment horizontal="left"/>
    </xf>
    <xf numFmtId="0" fontId="16" fillId="0" borderId="0" xfId="10" applyFont="1" applyBorder="1" applyAlignment="1">
      <alignment horizontal="center"/>
    </xf>
    <xf numFmtId="0" fontId="16" fillId="0" borderId="0" xfId="10" applyFont="1" applyBorder="1" applyAlignment="1">
      <alignment horizontal="left"/>
    </xf>
    <xf numFmtId="0" fontId="16" fillId="0" borderId="0" xfId="10" applyFont="1" applyBorder="1" applyAlignment="1">
      <alignment horizontal="justify" vertical="top" wrapText="1"/>
    </xf>
    <xf numFmtId="0" fontId="12" fillId="0" borderId="0" xfId="10" applyFont="1" applyFill="1" applyBorder="1" applyAlignment="1">
      <alignment horizontal="left" vertical="top"/>
    </xf>
    <xf numFmtId="170" fontId="7" fillId="0" borderId="4" xfId="10" applyNumberFormat="1" applyFont="1" applyFill="1" applyBorder="1" applyAlignment="1">
      <alignment horizontal="center"/>
    </xf>
    <xf numFmtId="171" fontId="7" fillId="0" borderId="4" xfId="10" applyNumberFormat="1" applyFont="1" applyFill="1" applyBorder="1" applyAlignment="1">
      <alignment horizontal="center"/>
    </xf>
    <xf numFmtId="171" fontId="7" fillId="0" borderId="4" xfId="10" applyNumberFormat="1" applyFont="1" applyFill="1" applyBorder="1" applyAlignment="1"/>
    <xf numFmtId="9" fontId="8" fillId="0" borderId="4" xfId="10" applyNumberFormat="1" applyFont="1" applyFill="1" applyBorder="1" applyAlignment="1"/>
    <xf numFmtId="170" fontId="7" fillId="0" borderId="4" xfId="10" applyNumberFormat="1" applyFont="1" applyFill="1" applyBorder="1" applyAlignment="1"/>
    <xf numFmtId="0" fontId="8" fillId="14" borderId="4" xfId="10" applyFont="1" applyFill="1" applyBorder="1" applyAlignment="1">
      <alignment horizontal="center" vertical="center" wrapText="1"/>
    </xf>
    <xf numFmtId="0" fontId="8" fillId="14" borderId="4" xfId="10" applyFont="1" applyFill="1" applyBorder="1" applyAlignment="1">
      <alignment horizontal="center" vertical="center"/>
    </xf>
    <xf numFmtId="164" fontId="70" fillId="15" borderId="4" xfId="25" applyFont="1" applyFill="1" applyBorder="1" applyAlignment="1">
      <alignment horizontal="center" vertical="center" wrapText="1"/>
    </xf>
    <xf numFmtId="2" fontId="7" fillId="15" borderId="4" xfId="10" applyNumberFormat="1" applyFont="1" applyFill="1" applyBorder="1"/>
    <xf numFmtId="164" fontId="7" fillId="15" borderId="4" xfId="10" applyNumberFormat="1" applyFont="1" applyFill="1" applyBorder="1"/>
    <xf numFmtId="43" fontId="7" fillId="15" borderId="4" xfId="10" applyNumberFormat="1" applyFont="1" applyFill="1" applyBorder="1"/>
    <xf numFmtId="164" fontId="70" fillId="0" borderId="4" xfId="25" applyFont="1" applyBorder="1" applyAlignment="1">
      <alignment horizontal="center" vertical="center" wrapText="1"/>
    </xf>
    <xf numFmtId="164" fontId="7" fillId="12" borderId="4" xfId="10" applyNumberFormat="1" applyFont="1" applyFill="1" applyBorder="1"/>
    <xf numFmtId="187" fontId="8" fillId="0" borderId="11" xfId="10" applyNumberFormat="1" applyFont="1" applyBorder="1" applyAlignment="1">
      <alignment horizontal="center" vertical="center" wrapText="1"/>
    </xf>
    <xf numFmtId="0" fontId="7" fillId="0" borderId="11" xfId="10" applyFont="1" applyBorder="1" applyAlignment="1">
      <alignment vertical="center" wrapText="1"/>
    </xf>
    <xf numFmtId="0" fontId="8" fillId="5" borderId="6" xfId="10" applyFont="1" applyFill="1" applyBorder="1" applyAlignment="1">
      <alignment horizontal="left" vertical="center"/>
    </xf>
    <xf numFmtId="187" fontId="8" fillId="5" borderId="16" xfId="10" applyNumberFormat="1" applyFont="1" applyFill="1" applyBorder="1" applyAlignment="1">
      <alignment horizontal="center" vertical="center"/>
    </xf>
    <xf numFmtId="0" fontId="7" fillId="5" borderId="16" xfId="10" applyFont="1" applyFill="1" applyBorder="1" applyAlignment="1">
      <alignment horizontal="center" vertical="center"/>
    </xf>
    <xf numFmtId="0" fontId="7" fillId="5" borderId="16" xfId="10" applyFont="1" applyFill="1" applyBorder="1" applyAlignment="1">
      <alignment horizontal="center" vertical="center" wrapText="1"/>
    </xf>
    <xf numFmtId="0" fontId="54" fillId="0" borderId="0" xfId="10" applyFont="1" applyAlignment="1">
      <alignment horizontal="left" vertical="center"/>
    </xf>
    <xf numFmtId="187" fontId="8" fillId="14" borderId="4" xfId="10" applyNumberFormat="1" applyFont="1" applyFill="1" applyBorder="1" applyAlignment="1">
      <alignment horizontal="center" vertical="center" wrapText="1"/>
    </xf>
    <xf numFmtId="0" fontId="7" fillId="14" borderId="4" xfId="58" applyFont="1" applyFill="1" applyBorder="1" applyAlignment="1">
      <alignment horizontal="center" vertical="center" wrapText="1"/>
    </xf>
    <xf numFmtId="0" fontId="54" fillId="0" borderId="0" xfId="10" applyFont="1" applyAlignment="1">
      <alignment vertical="center"/>
    </xf>
    <xf numFmtId="0" fontId="8" fillId="14" borderId="4" xfId="10" applyFont="1" applyFill="1" applyBorder="1" applyAlignment="1">
      <alignment horizontal="left" vertical="center"/>
    </xf>
    <xf numFmtId="164" fontId="70" fillId="8" borderId="4" xfId="25" applyFont="1" applyFill="1" applyBorder="1" applyAlignment="1">
      <alignment horizontal="center" vertical="center" wrapText="1"/>
    </xf>
    <xf numFmtId="187" fontId="7" fillId="15" borderId="4" xfId="10" applyNumberFormat="1" applyFont="1" applyFill="1" applyBorder="1" applyAlignment="1">
      <alignment horizontal="center" vertical="center"/>
    </xf>
    <xf numFmtId="0" fontId="7" fillId="15" borderId="4" xfId="10" applyFont="1" applyFill="1" applyBorder="1" applyAlignment="1">
      <alignment vertical="center" wrapText="1"/>
    </xf>
    <xf numFmtId="164" fontId="52" fillId="8" borderId="4" xfId="25" applyFont="1" applyFill="1" applyBorder="1" applyAlignment="1">
      <alignment horizontal="right" vertical="center" wrapText="1"/>
    </xf>
    <xf numFmtId="187" fontId="54" fillId="15" borderId="4" xfId="10" applyNumberFormat="1" applyFont="1" applyFill="1" applyBorder="1" applyAlignment="1">
      <alignment horizontal="center" vertical="center"/>
    </xf>
    <xf numFmtId="0" fontId="54" fillId="15" borderId="7" xfId="10" applyFont="1" applyFill="1" applyBorder="1" applyAlignment="1">
      <alignment horizontal="left" vertical="center" wrapText="1"/>
    </xf>
    <xf numFmtId="187" fontId="54" fillId="15" borderId="4" xfId="10" applyNumberFormat="1" applyFont="1" applyFill="1" applyBorder="1" applyAlignment="1">
      <alignment horizontal="center" vertical="center" wrapText="1"/>
    </xf>
    <xf numFmtId="0" fontId="54" fillId="15" borderId="4" xfId="10" applyFont="1" applyFill="1" applyBorder="1" applyAlignment="1">
      <alignment vertical="center" wrapText="1"/>
    </xf>
    <xf numFmtId="187" fontId="54" fillId="15" borderId="4" xfId="10" applyNumberFormat="1" applyFont="1" applyFill="1" applyBorder="1" applyAlignment="1">
      <alignment vertical="center"/>
    </xf>
    <xf numFmtId="0" fontId="54" fillId="15" borderId="4" xfId="10" applyFont="1" applyFill="1" applyBorder="1" applyAlignment="1">
      <alignment horizontal="left" vertical="center" wrapText="1"/>
    </xf>
    <xf numFmtId="187" fontId="54" fillId="15" borderId="4" xfId="10" applyNumberFormat="1" applyFont="1" applyFill="1" applyBorder="1" applyAlignment="1">
      <alignment vertical="center" wrapText="1"/>
    </xf>
    <xf numFmtId="164" fontId="70" fillId="16" borderId="4" xfId="25" applyFont="1" applyFill="1" applyBorder="1" applyAlignment="1">
      <alignment horizontal="center" vertical="center" wrapText="1"/>
    </xf>
    <xf numFmtId="0" fontId="7" fillId="16" borderId="4" xfId="10" applyFont="1" applyFill="1" applyBorder="1" applyAlignment="1">
      <alignment vertical="center"/>
    </xf>
    <xf numFmtId="187" fontId="7" fillId="16" borderId="4" xfId="10" applyNumberFormat="1" applyFont="1" applyFill="1" applyBorder="1" applyAlignment="1">
      <alignment horizontal="center" vertical="center"/>
    </xf>
    <xf numFmtId="0" fontId="7" fillId="16" borderId="4" xfId="10" applyFont="1" applyFill="1" applyBorder="1" applyAlignment="1">
      <alignment vertical="center" wrapText="1"/>
    </xf>
    <xf numFmtId="164" fontId="52" fillId="6" borderId="4" xfId="25" applyFont="1" applyFill="1" applyBorder="1" applyAlignment="1">
      <alignment horizontal="right" vertical="center" wrapText="1"/>
    </xf>
    <xf numFmtId="0" fontId="7" fillId="6" borderId="4" xfId="10" applyFont="1" applyFill="1" applyBorder="1" applyAlignment="1">
      <alignment vertical="center"/>
    </xf>
    <xf numFmtId="187" fontId="7" fillId="6" borderId="4" xfId="10" applyNumberFormat="1" applyFont="1" applyFill="1" applyBorder="1" applyAlignment="1">
      <alignment horizontal="center" vertical="center"/>
    </xf>
    <xf numFmtId="187" fontId="54" fillId="6" borderId="4" xfId="10" applyNumberFormat="1" applyFont="1" applyFill="1" applyBorder="1" applyAlignment="1">
      <alignment horizontal="center" vertical="center"/>
    </xf>
    <xf numFmtId="0" fontId="54" fillId="6" borderId="4" xfId="10" applyFont="1" applyFill="1" applyBorder="1" applyAlignment="1">
      <alignment vertical="center" wrapText="1"/>
    </xf>
    <xf numFmtId="187" fontId="54" fillId="6" borderId="4" xfId="10" applyNumberFormat="1" applyFont="1" applyFill="1" applyBorder="1" applyAlignment="1">
      <alignment horizontal="center" vertical="center" wrapText="1"/>
    </xf>
    <xf numFmtId="0" fontId="7" fillId="6" borderId="4" xfId="10" applyFont="1" applyFill="1" applyBorder="1" applyAlignment="1">
      <alignment horizontal="center" vertical="center"/>
    </xf>
    <xf numFmtId="164" fontId="71" fillId="0" borderId="4" xfId="25" applyFont="1" applyFill="1" applyBorder="1" applyAlignment="1">
      <alignment vertical="center" wrapText="1"/>
    </xf>
    <xf numFmtId="164" fontId="71" fillId="8" borderId="4" xfId="25" applyFont="1" applyFill="1" applyBorder="1" applyAlignment="1">
      <alignment vertical="center" wrapText="1"/>
    </xf>
    <xf numFmtId="0" fontId="54" fillId="15" borderId="4" xfId="10" applyFont="1" applyFill="1" applyBorder="1" applyAlignment="1">
      <alignment horizontal="left" vertical="top" wrapText="1"/>
    </xf>
    <xf numFmtId="0" fontId="7" fillId="8" borderId="4" xfId="10" applyFont="1" applyFill="1" applyBorder="1" applyAlignment="1">
      <alignment horizontal="center" vertical="center"/>
    </xf>
    <xf numFmtId="177" fontId="7" fillId="8" borderId="4" xfId="10" applyNumberFormat="1" applyFont="1" applyFill="1" applyBorder="1" applyAlignment="1">
      <alignment vertical="center"/>
    </xf>
    <xf numFmtId="187" fontId="7" fillId="8" borderId="4" xfId="10" applyNumberFormat="1" applyFont="1" applyFill="1" applyBorder="1" applyAlignment="1">
      <alignment vertical="center"/>
    </xf>
    <xf numFmtId="0" fontId="7" fillId="8" borderId="4" xfId="10" applyFont="1" applyFill="1" applyBorder="1" applyAlignment="1">
      <alignment vertical="center"/>
    </xf>
    <xf numFmtId="0" fontId="54" fillId="15" borderId="4" xfId="10" applyFont="1" applyFill="1" applyBorder="1"/>
    <xf numFmtId="164" fontId="70" fillId="0" borderId="4" xfId="25" applyFont="1" applyFill="1" applyBorder="1" applyAlignment="1">
      <alignment horizontal="center" vertical="center" wrapText="1"/>
    </xf>
    <xf numFmtId="164" fontId="71" fillId="0" borderId="4" xfId="25" applyFont="1" applyFill="1" applyBorder="1" applyAlignment="1">
      <alignment horizontal="left" vertical="center" wrapText="1"/>
    </xf>
    <xf numFmtId="187" fontId="7" fillId="0" borderId="4" xfId="10" applyNumberFormat="1" applyFont="1" applyBorder="1" applyAlignment="1">
      <alignment horizontal="center" vertical="center"/>
    </xf>
    <xf numFmtId="0" fontId="74" fillId="6" borderId="4" xfId="10" applyFont="1" applyFill="1" applyBorder="1" applyAlignment="1">
      <alignment horizontal="center" vertical="center" wrapText="1"/>
    </xf>
    <xf numFmtId="187" fontId="74" fillId="6" borderId="4" xfId="10" applyNumberFormat="1" applyFont="1" applyFill="1" applyBorder="1" applyAlignment="1">
      <alignment horizontal="center" vertical="center" wrapText="1"/>
    </xf>
    <xf numFmtId="0" fontId="81" fillId="6" borderId="4" xfId="58" applyFont="1" applyFill="1" applyBorder="1" applyAlignment="1">
      <alignment horizontal="center" vertical="center" wrapText="1"/>
    </xf>
    <xf numFmtId="0" fontId="81" fillId="6" borderId="0" xfId="10" applyFont="1" applyFill="1" applyAlignment="1">
      <alignment vertical="center"/>
    </xf>
    <xf numFmtId="0" fontId="76" fillId="25" borderId="4" xfId="10" applyFont="1" applyFill="1" applyBorder="1" applyAlignment="1">
      <alignment vertical="center"/>
    </xf>
    <xf numFmtId="187" fontId="76" fillId="25" borderId="4" xfId="10" applyNumberFormat="1" applyFont="1" applyFill="1" applyBorder="1" applyAlignment="1">
      <alignment horizontal="center" vertical="center"/>
    </xf>
    <xf numFmtId="0" fontId="76" fillId="25" borderId="4" xfId="10" applyFont="1" applyFill="1" applyBorder="1" applyAlignment="1">
      <alignment vertical="center" wrapText="1"/>
    </xf>
    <xf numFmtId="0" fontId="76" fillId="25" borderId="4" xfId="10" applyFont="1" applyFill="1" applyBorder="1" applyAlignment="1">
      <alignment horizontal="center" vertical="center"/>
    </xf>
    <xf numFmtId="0" fontId="81" fillId="26" borderId="0" xfId="10" applyFont="1" applyFill="1" applyAlignment="1">
      <alignment vertical="center"/>
    </xf>
    <xf numFmtId="0" fontId="52" fillId="0" borderId="4" xfId="10" applyFont="1" applyBorder="1" applyAlignment="1">
      <alignment vertical="center"/>
    </xf>
    <xf numFmtId="187" fontId="52" fillId="0" borderId="4" xfId="10" applyNumberFormat="1" applyFont="1" applyBorder="1" applyAlignment="1">
      <alignment horizontal="center" vertical="center"/>
    </xf>
    <xf numFmtId="164" fontId="85" fillId="0" borderId="4" xfId="25" applyFont="1" applyBorder="1" applyAlignment="1">
      <alignment horizontal="center" vertical="center" wrapText="1"/>
    </xf>
    <xf numFmtId="0" fontId="76" fillId="0" borderId="4" xfId="10" applyFont="1" applyBorder="1" applyAlignment="1">
      <alignment horizontal="center" vertical="center"/>
    </xf>
    <xf numFmtId="0" fontId="76" fillId="0" borderId="4" xfId="10" applyFont="1" applyBorder="1" applyAlignment="1">
      <alignment vertical="center"/>
    </xf>
    <xf numFmtId="187" fontId="76" fillId="0" borderId="4" xfId="10" applyNumberFormat="1" applyFont="1" applyBorder="1" applyAlignment="1">
      <alignment horizontal="center" vertical="center"/>
    </xf>
    <xf numFmtId="0" fontId="76" fillId="0" borderId="4" xfId="10" applyFont="1" applyBorder="1" applyAlignment="1">
      <alignment vertical="center" wrapText="1"/>
    </xf>
    <xf numFmtId="0" fontId="81" fillId="0" borderId="0" xfId="10" applyFont="1" applyAlignment="1">
      <alignment vertical="center"/>
    </xf>
    <xf numFmtId="2" fontId="52" fillId="0" borderId="4" xfId="10" applyNumberFormat="1" applyFont="1" applyBorder="1" applyAlignment="1">
      <alignment horizontal="right" vertical="center"/>
    </xf>
    <xf numFmtId="164" fontId="85" fillId="0" borderId="4" xfId="25" applyFont="1" applyFill="1" applyBorder="1" applyAlignment="1">
      <alignment horizontal="center" vertical="center" wrapText="1"/>
    </xf>
    <xf numFmtId="0" fontId="52" fillId="17" borderId="4" xfId="10" applyFont="1" applyFill="1" applyBorder="1" applyAlignment="1">
      <alignment vertical="center"/>
    </xf>
    <xf numFmtId="187" fontId="52" fillId="17" borderId="4" xfId="10" applyNumberFormat="1" applyFont="1" applyFill="1" applyBorder="1" applyAlignment="1">
      <alignment horizontal="center" vertical="center"/>
    </xf>
    <xf numFmtId="2" fontId="52" fillId="17" borderId="4" xfId="10" applyNumberFormat="1" applyFont="1" applyFill="1" applyBorder="1" applyAlignment="1">
      <alignment horizontal="right" vertical="center"/>
    </xf>
    <xf numFmtId="0" fontId="76" fillId="26" borderId="4" xfId="10" applyFont="1" applyFill="1" applyBorder="1" applyAlignment="1">
      <alignment vertical="center"/>
    </xf>
    <xf numFmtId="187" fontId="76" fillId="26" borderId="4" xfId="10" applyNumberFormat="1" applyFont="1" applyFill="1" applyBorder="1" applyAlignment="1">
      <alignment horizontal="center" vertical="center"/>
    </xf>
    <xf numFmtId="0" fontId="76" fillId="26" borderId="4" xfId="10" applyFont="1" applyFill="1" applyBorder="1" applyAlignment="1">
      <alignment vertical="center" wrapText="1"/>
    </xf>
    <xf numFmtId="0" fontId="76" fillId="26" borderId="4" xfId="10" applyFont="1" applyFill="1" applyBorder="1" applyAlignment="1">
      <alignment horizontal="center" vertical="center"/>
    </xf>
    <xf numFmtId="0" fontId="52" fillId="6" borderId="4" xfId="10" applyFont="1" applyFill="1" applyBorder="1" applyAlignment="1">
      <alignment vertical="center"/>
    </xf>
    <xf numFmtId="187" fontId="52" fillId="6" borderId="4" xfId="10" applyNumberFormat="1" applyFont="1" applyFill="1" applyBorder="1" applyAlignment="1">
      <alignment horizontal="center" vertical="center"/>
    </xf>
    <xf numFmtId="2" fontId="52" fillId="6" borderId="4" xfId="10" applyNumberFormat="1" applyFont="1" applyFill="1" applyBorder="1" applyAlignment="1">
      <alignment horizontal="right" vertical="center"/>
    </xf>
    <xf numFmtId="0" fontId="76" fillId="6" borderId="4" xfId="10" applyFont="1" applyFill="1" applyBorder="1" applyAlignment="1">
      <alignment horizontal="center" vertical="center"/>
    </xf>
    <xf numFmtId="0" fontId="76" fillId="6" borderId="4" xfId="10" applyFont="1" applyFill="1" applyBorder="1" applyAlignment="1">
      <alignment vertical="center"/>
    </xf>
    <xf numFmtId="187" fontId="76" fillId="6" borderId="4" xfId="10" applyNumberFormat="1" applyFont="1" applyFill="1" applyBorder="1" applyAlignment="1">
      <alignment horizontal="center" vertical="center"/>
    </xf>
    <xf numFmtId="0" fontId="76" fillId="6" borderId="4" xfId="10" applyFont="1" applyFill="1" applyBorder="1" applyAlignment="1">
      <alignment vertical="center" wrapText="1"/>
    </xf>
    <xf numFmtId="0" fontId="76" fillId="15" borderId="4" xfId="10" applyFont="1" applyFill="1" applyBorder="1" applyAlignment="1">
      <alignment vertical="center"/>
    </xf>
    <xf numFmtId="187" fontId="76" fillId="15" borderId="4" xfId="10" applyNumberFormat="1" applyFont="1" applyFill="1" applyBorder="1" applyAlignment="1">
      <alignment horizontal="center" vertical="center"/>
    </xf>
    <xf numFmtId="0" fontId="76" fillId="15" borderId="4" xfId="10" applyFont="1" applyFill="1" applyBorder="1" applyAlignment="1">
      <alignment vertical="center" wrapText="1"/>
    </xf>
    <xf numFmtId="0" fontId="76" fillId="15" borderId="4" xfId="10" applyFont="1" applyFill="1" applyBorder="1" applyAlignment="1">
      <alignment horizontal="center" vertical="center"/>
    </xf>
    <xf numFmtId="0" fontId="33" fillId="15" borderId="4" xfId="10" applyFont="1" applyFill="1" applyBorder="1" applyAlignment="1">
      <alignment vertical="center"/>
    </xf>
    <xf numFmtId="187" fontId="33" fillId="15" borderId="4" xfId="10" applyNumberFormat="1" applyFont="1" applyFill="1" applyBorder="1" applyAlignment="1">
      <alignment horizontal="center" vertical="center"/>
    </xf>
    <xf numFmtId="0" fontId="33" fillId="15" borderId="4" xfId="10" applyFont="1" applyFill="1" applyBorder="1" applyAlignment="1">
      <alignment vertical="center" wrapText="1"/>
    </xf>
    <xf numFmtId="0" fontId="33" fillId="15" borderId="4" xfId="10" applyFont="1" applyFill="1" applyBorder="1" applyAlignment="1">
      <alignment horizontal="center" vertical="center"/>
    </xf>
    <xf numFmtId="0" fontId="76" fillId="15" borderId="7" xfId="10" applyFont="1" applyFill="1" applyBorder="1" applyAlignment="1">
      <alignment vertical="center"/>
    </xf>
    <xf numFmtId="187" fontId="76" fillId="15" borderId="7" xfId="10" applyNumberFormat="1" applyFont="1" applyFill="1" applyBorder="1" applyAlignment="1">
      <alignment horizontal="center" vertical="center"/>
    </xf>
    <xf numFmtId="0" fontId="88" fillId="15" borderId="4" xfId="10" applyFont="1" applyFill="1" applyBorder="1" applyAlignment="1">
      <alignment vertical="center" wrapText="1"/>
    </xf>
    <xf numFmtId="0" fontId="76" fillId="12" borderId="7" xfId="10" applyFont="1" applyFill="1" applyBorder="1" applyAlignment="1">
      <alignment vertical="center"/>
    </xf>
    <xf numFmtId="187" fontId="76" fillId="12" borderId="7" xfId="10" applyNumberFormat="1" applyFont="1" applyFill="1" applyBorder="1" applyAlignment="1">
      <alignment horizontal="center" vertical="center"/>
    </xf>
    <xf numFmtId="0" fontId="89" fillId="12" borderId="4" xfId="10" applyFont="1" applyFill="1" applyBorder="1" applyAlignment="1">
      <alignment vertical="center" wrapText="1"/>
    </xf>
    <xf numFmtId="0" fontId="12" fillId="28" borderId="4" xfId="10" applyFont="1" applyFill="1" applyBorder="1" applyAlignment="1">
      <alignment vertical="center"/>
    </xf>
    <xf numFmtId="0" fontId="12" fillId="28" borderId="4" xfId="10" applyFont="1" applyFill="1" applyBorder="1" applyAlignment="1">
      <alignment horizontal="left" vertical="center" wrapText="1"/>
    </xf>
    <xf numFmtId="0" fontId="12" fillId="28" borderId="4" xfId="10" applyFont="1" applyFill="1" applyBorder="1" applyAlignment="1">
      <alignment horizontal="center" vertical="center" wrapText="1"/>
    </xf>
    <xf numFmtId="14" fontId="12" fillId="28" borderId="4" xfId="10" applyNumberFormat="1" applyFont="1" applyFill="1" applyBorder="1" applyAlignment="1">
      <alignment horizontal="center" vertical="center" wrapText="1"/>
    </xf>
    <xf numFmtId="0" fontId="7" fillId="28" borderId="4" xfId="10" applyFont="1" applyFill="1" applyBorder="1" applyAlignment="1">
      <alignment vertical="center"/>
    </xf>
    <xf numFmtId="0" fontId="7" fillId="28" borderId="4" xfId="10" applyFont="1" applyFill="1" applyBorder="1" applyAlignment="1">
      <alignment vertical="center" wrapText="1"/>
    </xf>
    <xf numFmtId="187" fontId="8" fillId="0" borderId="0" xfId="15" applyNumberFormat="1" applyFont="1" applyAlignment="1">
      <alignment horizontal="center" vertical="center" wrapText="1"/>
    </xf>
    <xf numFmtId="0" fontId="53" fillId="0" borderId="0" xfId="10" applyFont="1" applyAlignment="1">
      <alignment horizontal="center" vertical="center" wrapText="1"/>
    </xf>
    <xf numFmtId="43" fontId="54" fillId="0" borderId="0" xfId="10" applyNumberFormat="1" applyFont="1" applyAlignment="1">
      <alignment vertical="center"/>
    </xf>
    <xf numFmtId="177" fontId="7" fillId="0" borderId="4" xfId="10" applyNumberFormat="1" applyFont="1" applyBorder="1"/>
    <xf numFmtId="0" fontId="12" fillId="14" borderId="18" xfId="10" applyFont="1" applyFill="1" applyBorder="1" applyAlignment="1">
      <alignment vertical="center"/>
    </xf>
    <xf numFmtId="0" fontId="12" fillId="14" borderId="19" xfId="10" applyFont="1" applyFill="1" applyBorder="1" applyAlignment="1">
      <alignment horizontal="center" vertical="center" wrapText="1"/>
    </xf>
    <xf numFmtId="187" fontId="12" fillId="14" borderId="19" xfId="10" applyNumberFormat="1" applyFont="1" applyFill="1" applyBorder="1" applyAlignment="1">
      <alignment horizontal="center" vertical="center" wrapText="1"/>
    </xf>
    <xf numFmtId="187" fontId="7" fillId="0" borderId="0" xfId="10" applyNumberFormat="1" applyFont="1" applyAlignment="1">
      <alignment horizontal="center" vertical="center" wrapText="1"/>
    </xf>
    <xf numFmtId="10" fontId="9" fillId="0" borderId="4" xfId="70" applyNumberFormat="1" applyFont="1" applyBorder="1" applyAlignment="1">
      <alignment vertical="center"/>
    </xf>
    <xf numFmtId="10" fontId="9" fillId="0" borderId="4" xfId="40" applyNumberFormat="1" applyFont="1" applyFill="1" applyBorder="1" applyAlignment="1">
      <alignment horizontal="center" vertical="center"/>
    </xf>
    <xf numFmtId="10" fontId="9" fillId="0" borderId="4" xfId="40" applyNumberFormat="1" applyFont="1" applyBorder="1" applyAlignment="1">
      <alignment horizontal="center" vertical="center"/>
    </xf>
    <xf numFmtId="169" fontId="7" fillId="0" borderId="4" xfId="69" applyNumberFormat="1" applyFont="1" applyBorder="1" applyAlignment="1">
      <alignment vertical="center"/>
    </xf>
    <xf numFmtId="43" fontId="43" fillId="0" borderId="0" xfId="14" applyNumberFormat="1" applyFont="1">
      <alignment vertical="center"/>
    </xf>
    <xf numFmtId="0" fontId="43" fillId="0" borderId="0" xfId="14" applyFont="1">
      <alignment vertical="center"/>
    </xf>
    <xf numFmtId="183" fontId="16" fillId="0" borderId="4" xfId="29" quotePrefix="1" applyNumberFormat="1" applyFont="1" applyFill="1" applyBorder="1" applyAlignment="1">
      <alignment horizontal="right" vertical="center" wrapText="1"/>
    </xf>
    <xf numFmtId="183" fontId="16" fillId="0" borderId="4" xfId="69" quotePrefix="1" applyNumberFormat="1" applyFont="1" applyFill="1" applyBorder="1" applyAlignment="1">
      <alignment horizontal="right" vertical="center" wrapText="1"/>
    </xf>
    <xf numFmtId="183" fontId="7" fillId="0" borderId="4" xfId="69" quotePrefix="1" applyNumberFormat="1" applyFont="1" applyFill="1" applyBorder="1" applyAlignment="1">
      <alignment horizontal="right" vertical="center" wrapText="1"/>
    </xf>
    <xf numFmtId="183" fontId="16" fillId="0" borderId="4" xfId="29" quotePrefix="1" applyNumberFormat="1" applyFont="1" applyFill="1" applyBorder="1" applyAlignment="1">
      <alignment horizontal="right" vertical="center"/>
    </xf>
    <xf numFmtId="183" fontId="7" fillId="0" borderId="4" xfId="69" applyNumberFormat="1" applyFont="1" applyFill="1" applyBorder="1" applyAlignment="1">
      <alignment horizontal="right"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Alignment="1">
      <alignment horizontal="center" vertical="center"/>
    </xf>
    <xf numFmtId="0" fontId="28" fillId="0" borderId="0" xfId="14" applyFont="1">
      <alignment vertical="center"/>
    </xf>
    <xf numFmtId="0" fontId="31" fillId="0" borderId="4" xfId="86" applyFont="1" applyBorder="1" applyAlignment="1">
      <alignment vertical="center"/>
    </xf>
    <xf numFmtId="0" fontId="31" fillId="0" borderId="4" xfId="86" applyFont="1" applyBorder="1" applyAlignment="1">
      <alignment horizontal="center" vertical="center"/>
    </xf>
    <xf numFmtId="0" fontId="30" fillId="0" borderId="4" xfId="86" applyFont="1" applyBorder="1" applyAlignment="1">
      <alignment vertical="center"/>
    </xf>
    <xf numFmtId="0" fontId="30" fillId="0" borderId="4" xfId="86" applyFont="1" applyBorder="1" applyAlignment="1">
      <alignment horizontal="center" vertical="center"/>
    </xf>
    <xf numFmtId="0" fontId="30" fillId="0" borderId="0" xfId="86" applyFont="1" applyAlignment="1">
      <alignment vertical="center"/>
    </xf>
    <xf numFmtId="0" fontId="30" fillId="0" borderId="0" xfId="86" applyFont="1" applyAlignment="1">
      <alignment horizontal="center" vertical="center"/>
    </xf>
    <xf numFmtId="0" fontId="7" fillId="0" borderId="0" xfId="15" applyFont="1">
      <alignment vertical="center"/>
    </xf>
    <xf numFmtId="0" fontId="7" fillId="0" borderId="0" xfId="14" applyFont="1" applyAlignment="1">
      <alignment vertical="center" wrapText="1"/>
    </xf>
    <xf numFmtId="164" fontId="9" fillId="0" borderId="4" xfId="87" applyNumberFormat="1" applyFont="1" applyFill="1" applyBorder="1" applyAlignment="1">
      <alignment vertical="center"/>
    </xf>
    <xf numFmtId="164" fontId="10" fillId="0" borderId="4" xfId="87" applyNumberFormat="1" applyFont="1" applyBorder="1" applyAlignment="1">
      <alignment vertical="center"/>
    </xf>
    <xf numFmtId="4" fontId="16" fillId="0" borderId="4" xfId="69" applyNumberFormat="1" applyFont="1" applyFill="1" applyBorder="1" applyAlignment="1">
      <alignment horizontal="right" vertical="center" wrapText="1"/>
    </xf>
    <xf numFmtId="164" fontId="7" fillId="0" borderId="4" xfId="29" applyFont="1" applyFill="1" applyBorder="1" applyAlignment="1">
      <alignment horizontal="center" vertical="center"/>
    </xf>
    <xf numFmtId="0" fontId="7" fillId="0" borderId="0" xfId="10" applyFont="1" applyAlignment="1">
      <alignment horizontal="center" vertical="center"/>
    </xf>
    <xf numFmtId="0" fontId="8" fillId="0" borderId="0" xfId="10" applyFont="1" applyAlignment="1">
      <alignment horizontal="left" vertical="center" wrapText="1"/>
    </xf>
    <xf numFmtId="43" fontId="8" fillId="0" borderId="0" xfId="10" applyNumberFormat="1" applyFont="1" applyAlignment="1">
      <alignment horizontal="left" vertical="center" wrapText="1"/>
    </xf>
    <xf numFmtId="0" fontId="8" fillId="0" borderId="0" xfId="10" applyFont="1" applyAlignment="1">
      <alignment horizontal="left" vertical="center"/>
    </xf>
    <xf numFmtId="43" fontId="8" fillId="0" borderId="0" xfId="10" applyNumberFormat="1" applyFont="1" applyAlignment="1">
      <alignment horizontal="left" vertical="center"/>
    </xf>
    <xf numFmtId="43" fontId="8" fillId="0" borderId="0" xfId="10" applyNumberFormat="1" applyFont="1" applyAlignment="1">
      <alignment vertical="center"/>
    </xf>
    <xf numFmtId="164" fontId="7" fillId="0" borderId="0" xfId="69" applyFont="1" applyBorder="1" applyAlignment="1">
      <alignment vertical="top"/>
    </xf>
    <xf numFmtId="164" fontId="8" fillId="0" borderId="0" xfId="69" applyFont="1" applyBorder="1" applyAlignment="1"/>
    <xf numFmtId="164" fontId="8" fillId="0" borderId="0" xfId="69" applyFont="1" applyAlignment="1">
      <alignment vertical="center"/>
    </xf>
    <xf numFmtId="164" fontId="43" fillId="0" borderId="0" xfId="69" applyFont="1" applyAlignment="1">
      <alignment vertical="center"/>
    </xf>
    <xf numFmtId="183" fontId="43" fillId="0" borderId="0" xfId="14" applyNumberFormat="1" applyFont="1">
      <alignment vertical="center"/>
    </xf>
    <xf numFmtId="164" fontId="8" fillId="0" borderId="0" xfId="69" applyFont="1" applyAlignment="1">
      <alignment vertical="center" wrapText="1"/>
    </xf>
    <xf numFmtId="164" fontId="10" fillId="0" borderId="0" xfId="69" applyFont="1" applyAlignment="1">
      <alignment horizontal="center" vertical="center"/>
    </xf>
    <xf numFmtId="187" fontId="8" fillId="0" borderId="0" xfId="10" applyNumberFormat="1" applyFont="1" applyAlignment="1">
      <alignment horizontal="center" vertical="center" wrapText="1"/>
    </xf>
    <xf numFmtId="164" fontId="8" fillId="0" borderId="0" xfId="69" applyFont="1" applyBorder="1" applyAlignment="1">
      <alignment vertical="center" wrapText="1"/>
    </xf>
    <xf numFmtId="164" fontId="8" fillId="0" borderId="0" xfId="69" applyFont="1" applyBorder="1" applyAlignment="1">
      <alignment horizontal="center" vertical="center"/>
    </xf>
    <xf numFmtId="164" fontId="10" fillId="0" borderId="0" xfId="69" applyFont="1" applyBorder="1" applyAlignment="1">
      <alignment horizontal="center" vertical="center"/>
    </xf>
    <xf numFmtId="0" fontId="13" fillId="5" borderId="0" xfId="10" applyFont="1" applyFill="1" applyAlignment="1">
      <alignment horizontal="left" vertical="center" wrapText="1"/>
    </xf>
    <xf numFmtId="0" fontId="8" fillId="5" borderId="0" xfId="10" applyFont="1" applyFill="1" applyAlignment="1">
      <alignment horizontal="center" vertical="center" wrapText="1"/>
    </xf>
    <xf numFmtId="187" fontId="8" fillId="5" borderId="0" xfId="10" applyNumberFormat="1" applyFont="1" applyFill="1" applyAlignment="1">
      <alignment horizontal="center" vertical="center" wrapText="1"/>
    </xf>
    <xf numFmtId="164" fontId="8" fillId="5" borderId="0" xfId="69" applyFont="1" applyFill="1" applyBorder="1" applyAlignment="1">
      <alignment vertical="center" wrapText="1"/>
    </xf>
    <xf numFmtId="164" fontId="8" fillId="5" borderId="0" xfId="69" applyFont="1" applyFill="1" applyBorder="1" applyAlignment="1">
      <alignment horizontal="center" vertical="center"/>
    </xf>
    <xf numFmtId="164" fontId="8" fillId="0" borderId="0" xfId="69" applyFont="1" applyFill="1" applyBorder="1" applyAlignment="1">
      <alignment horizontal="center" vertical="center"/>
    </xf>
    <xf numFmtId="0" fontId="8" fillId="0" borderId="4" xfId="10" applyFont="1" applyBorder="1" applyAlignment="1">
      <alignment vertical="center"/>
    </xf>
    <xf numFmtId="0" fontId="8" fillId="0" borderId="4" xfId="10" applyFont="1" applyBorder="1" applyAlignment="1">
      <alignment horizontal="center" vertical="center" wrapText="1"/>
    </xf>
    <xf numFmtId="187" fontId="8" fillId="0" borderId="4" xfId="10" applyNumberFormat="1" applyFont="1" applyBorder="1" applyAlignment="1">
      <alignment horizontal="center" vertical="center" wrapText="1"/>
    </xf>
    <xf numFmtId="0" fontId="69" fillId="0" borderId="4" xfId="10" applyFont="1" applyBorder="1" applyAlignment="1">
      <alignment vertical="center"/>
    </xf>
    <xf numFmtId="0" fontId="24" fillId="0" borderId="4" xfId="10" applyFont="1" applyBorder="1" applyAlignment="1">
      <alignment horizontal="center" vertical="center" wrapText="1"/>
    </xf>
    <xf numFmtId="187" fontId="24" fillId="0" borderId="4" xfId="10" applyNumberFormat="1" applyFont="1" applyBorder="1" applyAlignment="1">
      <alignment horizontal="center" vertical="center" wrapText="1"/>
    </xf>
    <xf numFmtId="0" fontId="70" fillId="8" borderId="4" xfId="0" applyFont="1" applyFill="1" applyBorder="1" applyAlignment="1">
      <alignment horizontal="center" vertical="center" wrapText="1"/>
    </xf>
    <xf numFmtId="0" fontId="70" fillId="8" borderId="4" xfId="0" applyFont="1" applyFill="1" applyBorder="1" applyAlignment="1">
      <alignment vertical="center" wrapText="1"/>
    </xf>
    <xf numFmtId="0" fontId="70" fillId="0" borderId="4" xfId="0" applyFont="1" applyBorder="1" applyAlignment="1">
      <alignment horizontal="center" vertical="center" wrapText="1"/>
    </xf>
    <xf numFmtId="187" fontId="70" fillId="0" borderId="4" xfId="0" applyNumberFormat="1" applyFont="1" applyBorder="1" applyAlignment="1">
      <alignment horizontal="center" vertical="center" wrapText="1"/>
    </xf>
    <xf numFmtId="164" fontId="70" fillId="0" borderId="4" xfId="69" applyFont="1" applyBorder="1" applyAlignment="1">
      <alignment horizontal="center" vertical="center" wrapText="1"/>
    </xf>
    <xf numFmtId="164" fontId="54" fillId="0" borderId="0" xfId="69" applyFont="1" applyFill="1" applyAlignment="1">
      <alignment vertical="center"/>
    </xf>
    <xf numFmtId="0" fontId="52" fillId="8" borderId="4" xfId="0" applyFont="1" applyFill="1" applyBorder="1" applyAlignment="1">
      <alignment horizontal="center" vertical="center" wrapText="1"/>
    </xf>
    <xf numFmtId="0" fontId="52" fillId="8" borderId="4" xfId="0" applyFont="1" applyFill="1" applyBorder="1" applyAlignment="1">
      <alignment horizontal="left" vertical="center" wrapText="1" indent="2"/>
    </xf>
    <xf numFmtId="0" fontId="52" fillId="6" borderId="4" xfId="0" applyFont="1" applyFill="1" applyBorder="1" applyAlignment="1">
      <alignment horizontal="center" vertical="center" wrapText="1"/>
    </xf>
    <xf numFmtId="0" fontId="52" fillId="6" borderId="4" xfId="0" applyFont="1" applyFill="1" applyBorder="1" applyAlignment="1">
      <alignment horizontal="left" vertical="center" wrapText="1" indent="2"/>
    </xf>
    <xf numFmtId="0" fontId="71" fillId="8" borderId="4" xfId="0" applyFont="1" applyFill="1" applyBorder="1" applyAlignment="1">
      <alignment horizontal="center" vertical="center" wrapText="1"/>
    </xf>
    <xf numFmtId="0" fontId="72" fillId="8" borderId="4" xfId="0" applyFont="1" applyFill="1" applyBorder="1" applyAlignment="1">
      <alignment horizontal="left" vertical="center" wrapText="1" indent="2"/>
    </xf>
    <xf numFmtId="0" fontId="71" fillId="8" borderId="4" xfId="0" applyFont="1" applyFill="1" applyBorder="1" applyAlignment="1">
      <alignment horizontal="left" vertical="center" wrapText="1" indent="2"/>
    </xf>
    <xf numFmtId="0" fontId="71" fillId="8" borderId="4" xfId="0" applyFont="1" applyFill="1" applyBorder="1" applyAlignment="1">
      <alignment horizontal="left" vertical="center" wrapText="1"/>
    </xf>
    <xf numFmtId="0" fontId="52" fillId="15" borderId="4" xfId="0" applyFont="1" applyFill="1" applyBorder="1" applyAlignment="1">
      <alignment horizontal="left" vertical="center" wrapText="1" indent="2"/>
    </xf>
    <xf numFmtId="0" fontId="52" fillId="0" borderId="4" xfId="0" applyFont="1" applyBorder="1" applyAlignment="1">
      <alignment horizontal="left" vertical="center" wrapText="1" indent="2"/>
    </xf>
    <xf numFmtId="0" fontId="52" fillId="14" borderId="4" xfId="0" applyFont="1" applyFill="1" applyBorder="1" applyAlignment="1">
      <alignment horizontal="left" vertical="center" wrapText="1" indent="2"/>
    </xf>
    <xf numFmtId="0" fontId="52" fillId="25" borderId="4" xfId="0" applyFont="1" applyFill="1" applyBorder="1" applyAlignment="1">
      <alignment horizontal="left" vertical="center" wrapText="1" indent="2"/>
    </xf>
    <xf numFmtId="0" fontId="70" fillId="6" borderId="4" xfId="0" applyFont="1" applyFill="1" applyBorder="1" applyAlignment="1">
      <alignment horizontal="center" vertical="center" wrapText="1"/>
    </xf>
    <xf numFmtId="0" fontId="70" fillId="6" borderId="4" xfId="0" applyFont="1" applyFill="1" applyBorder="1" applyAlignment="1">
      <alignment vertical="center" wrapText="1"/>
    </xf>
    <xf numFmtId="0" fontId="71" fillId="14" borderId="4" xfId="0" applyFont="1" applyFill="1" applyBorder="1" applyAlignment="1">
      <alignment horizontal="center" vertical="center" wrapText="1"/>
    </xf>
    <xf numFmtId="0" fontId="90" fillId="14" borderId="4" xfId="0" applyFont="1" applyFill="1" applyBorder="1" applyAlignment="1">
      <alignment horizontal="left" vertical="center" wrapText="1" indent="2"/>
    </xf>
    <xf numFmtId="0" fontId="71" fillId="14" borderId="4" xfId="0" applyFont="1" applyFill="1" applyBorder="1" applyAlignment="1">
      <alignment vertical="center" wrapText="1"/>
    </xf>
    <xf numFmtId="187" fontId="52" fillId="14" borderId="4" xfId="0" applyNumberFormat="1" applyFont="1" applyFill="1" applyBorder="1" applyAlignment="1">
      <alignment horizontal="center" vertical="center" wrapText="1"/>
    </xf>
    <xf numFmtId="164" fontId="71" fillId="14" borderId="4" xfId="69" applyFont="1" applyFill="1" applyBorder="1" applyAlignment="1">
      <alignment vertical="center" wrapText="1"/>
    </xf>
    <xf numFmtId="164" fontId="70" fillId="14" borderId="4" xfId="69" applyFont="1" applyFill="1" applyBorder="1" applyAlignment="1">
      <alignment horizontal="center" vertical="center" wrapText="1"/>
    </xf>
    <xf numFmtId="0" fontId="71" fillId="6" borderId="4" xfId="0" applyFont="1" applyFill="1" applyBorder="1" applyAlignment="1">
      <alignment horizontal="center" vertical="center" wrapText="1"/>
    </xf>
    <xf numFmtId="0" fontId="72" fillId="6" borderId="4" xfId="0" applyFont="1" applyFill="1" applyBorder="1" applyAlignment="1">
      <alignment horizontal="left" vertical="center" wrapText="1" indent="2"/>
    </xf>
    <xf numFmtId="0" fontId="71" fillId="6" borderId="4" xfId="0" applyFont="1" applyFill="1" applyBorder="1" applyAlignment="1">
      <alignment vertical="center" wrapText="1"/>
    </xf>
    <xf numFmtId="187" fontId="52" fillId="6" borderId="4" xfId="0" applyNumberFormat="1" applyFont="1" applyFill="1" applyBorder="1" applyAlignment="1">
      <alignment horizontal="center" vertical="center" wrapText="1"/>
    </xf>
    <xf numFmtId="164" fontId="71" fillId="6" borderId="4" xfId="69" applyFont="1" applyFill="1" applyBorder="1" applyAlignment="1">
      <alignment vertical="center" wrapText="1"/>
    </xf>
    <xf numFmtId="164" fontId="70" fillId="6" borderId="4" xfId="69" applyFont="1" applyFill="1" applyBorder="1" applyAlignment="1">
      <alignment horizontal="center" vertical="center" wrapText="1"/>
    </xf>
    <xf numFmtId="0" fontId="52" fillId="0" borderId="4" xfId="0" applyFont="1" applyBorder="1" applyAlignment="1">
      <alignment vertical="center" wrapText="1"/>
    </xf>
    <xf numFmtId="187" fontId="52" fillId="0" borderId="4" xfId="0" applyNumberFormat="1" applyFont="1" applyBorder="1" applyAlignment="1">
      <alignment horizontal="center" vertical="center" wrapText="1"/>
    </xf>
    <xf numFmtId="164" fontId="52" fillId="0" borderId="4" xfId="69" applyFont="1" applyBorder="1" applyAlignment="1">
      <alignment horizontal="right" vertical="center" wrapText="1"/>
    </xf>
    <xf numFmtId="0" fontId="71" fillId="0" borderId="4" xfId="0" applyFont="1" applyBorder="1" applyAlignment="1">
      <alignment vertical="center" wrapText="1"/>
    </xf>
    <xf numFmtId="164" fontId="71" fillId="0" borderId="4" xfId="69" applyFont="1" applyBorder="1" applyAlignment="1">
      <alignment vertical="center" wrapText="1"/>
    </xf>
    <xf numFmtId="14" fontId="71" fillId="0" borderId="4" xfId="0" applyNumberFormat="1" applyFont="1" applyBorder="1" applyAlignment="1">
      <alignment horizontal="center" vertical="center"/>
    </xf>
    <xf numFmtId="177" fontId="71" fillId="0" borderId="4" xfId="0" applyNumberFormat="1" applyFont="1" applyBorder="1" applyAlignment="1">
      <alignment horizontal="center" vertical="center"/>
    </xf>
    <xf numFmtId="0" fontId="52" fillId="0" borderId="7" xfId="0" applyFont="1" applyBorder="1" applyAlignment="1">
      <alignment horizontal="left" vertical="center" wrapText="1" indent="2"/>
    </xf>
    <xf numFmtId="0" fontId="71" fillId="0" borderId="7" xfId="0" applyFont="1" applyBorder="1" applyAlignment="1">
      <alignment vertical="center" wrapText="1"/>
    </xf>
    <xf numFmtId="187" fontId="52" fillId="0" borderId="7" xfId="0" applyNumberFormat="1" applyFont="1" applyBorder="1" applyAlignment="1">
      <alignment horizontal="center" vertical="center" wrapText="1"/>
    </xf>
    <xf numFmtId="164" fontId="71" fillId="0" borderId="7" xfId="69" applyFont="1" applyBorder="1" applyAlignment="1">
      <alignment vertical="center" wrapText="1"/>
    </xf>
    <xf numFmtId="164" fontId="70" fillId="0" borderId="7" xfId="69" applyFont="1" applyBorder="1" applyAlignment="1">
      <alignment horizontal="center" vertical="center" wrapText="1"/>
    </xf>
    <xf numFmtId="0" fontId="90" fillId="14" borderId="19" xfId="0" applyFont="1" applyFill="1" applyBorder="1" applyAlignment="1">
      <alignment horizontal="left" vertical="center" wrapText="1" indent="2"/>
    </xf>
    <xf numFmtId="164" fontId="12" fillId="14" borderId="19" xfId="69" applyFont="1" applyFill="1" applyBorder="1" applyAlignment="1">
      <alignment vertical="center"/>
    </xf>
    <xf numFmtId="164" fontId="12" fillId="14" borderId="22" xfId="69" applyFont="1" applyFill="1" applyBorder="1" applyAlignment="1">
      <alignment vertical="center"/>
    </xf>
    <xf numFmtId="187" fontId="7" fillId="0" borderId="0" xfId="10" applyNumberFormat="1" applyFont="1" applyAlignment="1">
      <alignment horizontal="center" vertical="center"/>
    </xf>
    <xf numFmtId="164" fontId="8" fillId="0" borderId="11" xfId="69" applyFont="1" applyBorder="1" applyAlignment="1">
      <alignment vertical="center" wrapText="1"/>
    </xf>
    <xf numFmtId="164" fontId="8" fillId="0" borderId="11" xfId="69" applyFont="1" applyBorder="1" applyAlignment="1">
      <alignment horizontal="center" vertical="center"/>
    </xf>
    <xf numFmtId="9" fontId="8" fillId="0" borderId="11" xfId="70" applyFont="1" applyBorder="1" applyAlignment="1">
      <alignment horizontal="center" vertical="center"/>
    </xf>
    <xf numFmtId="9" fontId="7" fillId="0" borderId="11" xfId="70" applyFont="1" applyBorder="1" applyAlignment="1">
      <alignment horizontal="center" vertical="center"/>
    </xf>
    <xf numFmtId="9" fontId="7" fillId="0" borderId="11" xfId="70" applyFont="1" applyBorder="1" applyAlignment="1">
      <alignment vertical="center"/>
    </xf>
    <xf numFmtId="164" fontId="7" fillId="0" borderId="11" xfId="69" applyFont="1" applyBorder="1" applyAlignment="1">
      <alignment vertical="center"/>
    </xf>
    <xf numFmtId="0" fontId="8" fillId="5" borderId="0" xfId="10" applyFont="1" applyFill="1" applyAlignment="1">
      <alignment vertical="center" wrapText="1"/>
    </xf>
    <xf numFmtId="14" fontId="8" fillId="5" borderId="0" xfId="10" applyNumberFormat="1" applyFont="1" applyFill="1" applyAlignment="1">
      <alignment vertical="center" wrapText="1"/>
    </xf>
    <xf numFmtId="9" fontId="8" fillId="5" borderId="0" xfId="70" applyFont="1" applyFill="1" applyBorder="1" applyAlignment="1">
      <alignment horizontal="center" vertical="center"/>
    </xf>
    <xf numFmtId="9" fontId="7" fillId="0" borderId="0" xfId="70" applyFont="1" applyBorder="1" applyAlignment="1">
      <alignment horizontal="center" vertical="center"/>
    </xf>
    <xf numFmtId="9" fontId="7" fillId="0" borderId="0" xfId="70" applyFont="1" applyBorder="1" applyAlignment="1">
      <alignment vertical="center"/>
    </xf>
    <xf numFmtId="164" fontId="7" fillId="5" borderId="16" xfId="69" applyFont="1" applyFill="1" applyBorder="1" applyAlignment="1">
      <alignment horizontal="center" vertical="center"/>
    </xf>
    <xf numFmtId="9" fontId="7" fillId="5" borderId="16" xfId="70" applyFont="1" applyFill="1" applyBorder="1" applyAlignment="1">
      <alignment horizontal="center" vertical="center"/>
    </xf>
    <xf numFmtId="164" fontId="8" fillId="6" borderId="6" xfId="69" applyFont="1" applyFill="1" applyBorder="1" applyAlignment="1">
      <alignment horizontal="center" vertical="center"/>
    </xf>
    <xf numFmtId="164" fontId="8" fillId="6" borderId="16" xfId="69" applyFont="1" applyFill="1" applyBorder="1" applyAlignment="1">
      <alignment horizontal="center" vertical="center"/>
    </xf>
    <xf numFmtId="0" fontId="7" fillId="0" borderId="0" xfId="10" applyFont="1" applyAlignment="1">
      <alignment horizontal="centerContinuous" vertical="center"/>
    </xf>
    <xf numFmtId="0" fontId="7" fillId="0" borderId="0" xfId="10" applyFont="1" applyAlignment="1">
      <alignment horizontal="left" vertical="center"/>
    </xf>
    <xf numFmtId="164" fontId="74" fillId="4" borderId="4" xfId="69" applyFont="1" applyFill="1" applyBorder="1" applyAlignment="1">
      <alignment horizontal="center" vertical="center" wrapText="1"/>
    </xf>
    <xf numFmtId="164" fontId="8" fillId="14" borderId="4" xfId="69" applyFont="1" applyFill="1" applyBorder="1" applyAlignment="1">
      <alignment horizontal="center" vertical="center" wrapText="1"/>
    </xf>
    <xf numFmtId="9" fontId="8" fillId="14" borderId="4" xfId="70" applyFont="1" applyFill="1" applyBorder="1" applyAlignment="1">
      <alignment horizontal="center" vertical="center" wrapText="1"/>
    </xf>
    <xf numFmtId="9" fontId="7" fillId="0" borderId="4" xfId="70" applyFont="1" applyFill="1" applyBorder="1" applyAlignment="1">
      <alignment vertical="center"/>
    </xf>
    <xf numFmtId="187" fontId="70" fillId="8" borderId="4" xfId="0" applyNumberFormat="1" applyFont="1" applyFill="1" applyBorder="1" applyAlignment="1">
      <alignment horizontal="center" vertical="center" wrapText="1"/>
    </xf>
    <xf numFmtId="187" fontId="70" fillId="15" borderId="4" xfId="0" applyNumberFormat="1" applyFont="1" applyFill="1" applyBorder="1" applyAlignment="1">
      <alignment horizontal="center" vertical="center" wrapText="1"/>
    </xf>
    <xf numFmtId="164" fontId="70" fillId="8" borderId="4" xfId="69" applyFont="1" applyFill="1" applyBorder="1" applyAlignment="1">
      <alignment horizontal="center" vertical="center" wrapText="1"/>
    </xf>
    <xf numFmtId="164" fontId="70" fillId="15" borderId="4" xfId="69" applyFont="1" applyFill="1" applyBorder="1" applyAlignment="1">
      <alignment horizontal="center" vertical="center" wrapText="1"/>
    </xf>
    <xf numFmtId="164" fontId="75" fillId="22" borderId="4" xfId="69" applyFont="1" applyFill="1" applyBorder="1" applyAlignment="1">
      <alignment horizontal="center" vertical="center" wrapText="1"/>
    </xf>
    <xf numFmtId="9" fontId="7" fillId="8" borderId="4" xfId="70" applyFont="1" applyFill="1" applyBorder="1" applyAlignment="1">
      <alignment vertical="center"/>
    </xf>
    <xf numFmtId="0" fontId="52" fillId="8" borderId="4" xfId="0" applyFont="1" applyFill="1" applyBorder="1" applyAlignment="1">
      <alignment vertical="center" wrapText="1"/>
    </xf>
    <xf numFmtId="187" fontId="52" fillId="8" borderId="4" xfId="0" applyNumberFormat="1" applyFont="1" applyFill="1" applyBorder="1" applyAlignment="1">
      <alignment horizontal="center" vertical="center" wrapText="1"/>
    </xf>
    <xf numFmtId="164" fontId="7" fillId="8" borderId="4" xfId="69" applyFont="1" applyFill="1" applyBorder="1" applyAlignment="1">
      <alignment vertical="center"/>
    </xf>
    <xf numFmtId="164" fontId="7" fillId="15" borderId="4" xfId="69" applyFont="1" applyFill="1" applyBorder="1" applyAlignment="1">
      <alignment vertical="center"/>
    </xf>
    <xf numFmtId="164" fontId="7" fillId="22" borderId="4" xfId="69" applyFont="1" applyFill="1" applyBorder="1" applyAlignment="1">
      <alignment vertical="center"/>
    </xf>
    <xf numFmtId="9" fontId="54" fillId="8" borderId="4" xfId="70" applyFont="1" applyFill="1" applyBorder="1" applyAlignment="1">
      <alignment vertical="center"/>
    </xf>
    <xf numFmtId="164" fontId="54" fillId="8" borderId="4" xfId="69" applyFont="1" applyFill="1" applyBorder="1" applyAlignment="1">
      <alignment vertical="center"/>
    </xf>
    <xf numFmtId="0" fontId="71" fillId="15" borderId="4" xfId="0" applyFont="1" applyFill="1" applyBorder="1" applyAlignment="1" applyProtection="1">
      <alignment horizontal="center" vertical="center" wrapText="1"/>
      <protection locked="0"/>
    </xf>
    <xf numFmtId="164" fontId="54" fillId="15" borderId="4" xfId="69" applyFont="1" applyFill="1" applyBorder="1" applyAlignment="1">
      <alignment vertical="center"/>
    </xf>
    <xf numFmtId="164" fontId="76" fillId="22" borderId="4" xfId="69" applyFont="1" applyFill="1" applyBorder="1" applyAlignment="1">
      <alignment vertical="center"/>
    </xf>
    <xf numFmtId="2" fontId="54" fillId="8" borderId="4" xfId="69" applyNumberFormat="1" applyFont="1" applyFill="1" applyBorder="1" applyAlignment="1">
      <alignment vertical="center"/>
    </xf>
    <xf numFmtId="0" fontId="70" fillId="16" borderId="4" xfId="0" applyFont="1" applyFill="1" applyBorder="1" applyAlignment="1">
      <alignment horizontal="center" vertical="center" wrapText="1"/>
    </xf>
    <xf numFmtId="0" fontId="70" fillId="16" borderId="4" xfId="0" applyFont="1" applyFill="1" applyBorder="1" applyAlignment="1">
      <alignment vertical="center" wrapText="1"/>
    </xf>
    <xf numFmtId="187" fontId="70" fillId="16" borderId="4" xfId="0" applyNumberFormat="1" applyFont="1" applyFill="1" applyBorder="1" applyAlignment="1">
      <alignment horizontal="center" vertical="center" wrapText="1"/>
    </xf>
    <xf numFmtId="164" fontId="70" fillId="16" borderId="4" xfId="69" applyFont="1" applyFill="1" applyBorder="1" applyAlignment="1">
      <alignment horizontal="center" vertical="center" wrapText="1"/>
    </xf>
    <xf numFmtId="164" fontId="75" fillId="16" borderId="4" xfId="69" applyFont="1" applyFill="1" applyBorder="1" applyAlignment="1">
      <alignment horizontal="center" vertical="center" wrapText="1"/>
    </xf>
    <xf numFmtId="9" fontId="7" fillId="16" borderId="4" xfId="70" applyFont="1" applyFill="1" applyBorder="1" applyAlignment="1">
      <alignment vertical="center"/>
    </xf>
    <xf numFmtId="0" fontId="52" fillId="6" borderId="4" xfId="0" applyFont="1" applyFill="1" applyBorder="1" applyAlignment="1">
      <alignment vertical="center" wrapText="1"/>
    </xf>
    <xf numFmtId="164" fontId="54" fillId="6" borderId="4" xfId="69" applyFont="1" applyFill="1" applyBorder="1" applyAlignment="1">
      <alignment vertical="center"/>
    </xf>
    <xf numFmtId="164" fontId="76" fillId="23" borderId="4" xfId="69" applyFont="1" applyFill="1" applyBorder="1" applyAlignment="1">
      <alignment vertical="center"/>
    </xf>
    <xf numFmtId="9" fontId="7" fillId="6" borderId="4" xfId="70" applyFont="1" applyFill="1" applyBorder="1" applyAlignment="1">
      <alignment vertical="center"/>
    </xf>
    <xf numFmtId="164" fontId="54" fillId="6" borderId="4" xfId="69" applyFont="1" applyFill="1" applyBorder="1"/>
    <xf numFmtId="0" fontId="71" fillId="6" borderId="4" xfId="0" applyFont="1" applyFill="1" applyBorder="1" applyAlignment="1" applyProtection="1">
      <alignment horizontal="center" vertical="center" wrapText="1"/>
      <protection locked="0"/>
    </xf>
    <xf numFmtId="0" fontId="7" fillId="6" borderId="0" xfId="10" applyFont="1" applyFill="1" applyAlignment="1">
      <alignment vertical="center"/>
    </xf>
    <xf numFmtId="164" fontId="54" fillId="12" borderId="4" xfId="69" applyFont="1" applyFill="1" applyBorder="1" applyAlignment="1">
      <alignment vertical="center"/>
    </xf>
    <xf numFmtId="0" fontId="78" fillId="6" borderId="4" xfId="0" applyFont="1" applyFill="1" applyBorder="1" applyAlignment="1">
      <alignment horizontal="left" vertical="center" wrapText="1" indent="2"/>
    </xf>
    <xf numFmtId="164" fontId="54" fillId="15" borderId="4" xfId="69" applyFont="1" applyFill="1" applyBorder="1"/>
    <xf numFmtId="0" fontId="7" fillId="6" borderId="4" xfId="10" applyFont="1" applyFill="1" applyBorder="1" applyAlignment="1">
      <alignment vertical="center" wrapText="1"/>
    </xf>
    <xf numFmtId="164" fontId="7" fillId="12" borderId="4" xfId="69" applyFont="1" applyFill="1" applyBorder="1" applyAlignment="1">
      <alignment vertical="center"/>
    </xf>
    <xf numFmtId="0" fontId="52" fillId="15" borderId="4" xfId="0" applyFont="1" applyFill="1" applyBorder="1" applyAlignment="1" applyProtection="1">
      <alignment horizontal="center" vertical="center" wrapText="1"/>
      <protection locked="0"/>
    </xf>
    <xf numFmtId="0" fontId="71" fillId="0" borderId="4" xfId="0" applyFont="1" applyBorder="1" applyAlignment="1">
      <alignment horizontal="center" vertical="center" wrapText="1"/>
    </xf>
    <xf numFmtId="0" fontId="72" fillId="0" borderId="4" xfId="0" applyFont="1" applyBorder="1" applyAlignment="1">
      <alignment horizontal="left" vertical="center" wrapText="1" indent="2"/>
    </xf>
    <xf numFmtId="187" fontId="71" fillId="0" borderId="4" xfId="0" applyNumberFormat="1" applyFont="1" applyBorder="1" applyAlignment="1">
      <alignment horizontal="center" vertical="center" wrapText="1"/>
    </xf>
    <xf numFmtId="0" fontId="78" fillId="0" borderId="4" xfId="10" applyFont="1" applyBorder="1" applyAlignment="1">
      <alignment vertical="center" wrapText="1"/>
    </xf>
    <xf numFmtId="164" fontId="70" fillId="0" borderId="4" xfId="69" applyFont="1" applyFill="1" applyBorder="1" applyAlignment="1">
      <alignment horizontal="center" vertical="center" wrapText="1"/>
    </xf>
    <xf numFmtId="164" fontId="54" fillId="0" borderId="4" xfId="69" applyFont="1" applyFill="1" applyBorder="1" applyAlignment="1">
      <alignment vertical="center"/>
    </xf>
    <xf numFmtId="9" fontId="7" fillId="0" borderId="4" xfId="69" applyNumberFormat="1" applyFont="1" applyFill="1" applyBorder="1" applyAlignment="1">
      <alignment vertical="center"/>
    </xf>
    <xf numFmtId="0" fontId="80" fillId="0" borderId="0" xfId="0" applyFont="1" applyAlignment="1">
      <alignment vertical="center" wrapText="1"/>
    </xf>
    <xf numFmtId="0" fontId="71" fillId="8" borderId="4" xfId="0" applyFont="1" applyFill="1" applyBorder="1" applyAlignment="1">
      <alignment vertical="center" wrapText="1"/>
    </xf>
    <xf numFmtId="187" fontId="71" fillId="8" borderId="4" xfId="0" applyNumberFormat="1" applyFont="1" applyFill="1" applyBorder="1" applyAlignment="1">
      <alignment horizontal="center" vertical="center" wrapText="1"/>
    </xf>
    <xf numFmtId="0" fontId="71" fillId="0" borderId="4" xfId="0" applyFont="1" applyBorder="1" applyAlignment="1" applyProtection="1">
      <alignment horizontal="center" vertical="center" wrapText="1"/>
      <protection locked="0"/>
    </xf>
    <xf numFmtId="0" fontId="71" fillId="0" borderId="4" xfId="0" applyFont="1" applyBorder="1" applyAlignment="1">
      <alignment horizontal="left" vertical="center" wrapText="1" indent="2"/>
    </xf>
    <xf numFmtId="187" fontId="54" fillId="0" borderId="4" xfId="10" applyNumberFormat="1" applyFont="1" applyBorder="1" applyAlignment="1">
      <alignment horizontal="center" vertical="center"/>
    </xf>
    <xf numFmtId="0" fontId="54" fillId="0" borderId="4" xfId="10" applyFont="1" applyBorder="1" applyAlignment="1">
      <alignment vertical="center" wrapText="1"/>
    </xf>
    <xf numFmtId="164" fontId="76" fillId="0" borderId="4" xfId="69" applyFont="1" applyFill="1" applyBorder="1" applyAlignment="1">
      <alignment vertical="center"/>
    </xf>
    <xf numFmtId="2" fontId="54" fillId="0" borderId="4" xfId="69" applyNumberFormat="1" applyFont="1" applyFill="1" applyBorder="1" applyAlignment="1">
      <alignment vertical="center"/>
    </xf>
    <xf numFmtId="9" fontId="54" fillId="0" borderId="4" xfId="70" applyFont="1" applyFill="1" applyBorder="1" applyAlignment="1">
      <alignment vertical="center"/>
    </xf>
    <xf numFmtId="0" fontId="54" fillId="0" borderId="4" xfId="10" applyFont="1" applyBorder="1" applyAlignment="1">
      <alignment horizontal="left" vertical="center" wrapText="1"/>
    </xf>
    <xf numFmtId="187" fontId="54" fillId="0" borderId="4" xfId="10" applyNumberFormat="1" applyFont="1" applyBorder="1" applyAlignment="1">
      <alignment horizontal="left" vertical="center" wrapText="1"/>
    </xf>
    <xf numFmtId="0" fontId="54" fillId="0" borderId="4" xfId="10" applyFont="1" applyBorder="1" applyAlignment="1">
      <alignment vertical="top" wrapText="1"/>
    </xf>
    <xf numFmtId="164" fontId="81" fillId="0" borderId="4" xfId="69" applyFont="1" applyFill="1" applyBorder="1" applyAlignment="1">
      <alignment vertical="center"/>
    </xf>
    <xf numFmtId="164" fontId="74" fillId="0" borderId="4" xfId="69" applyFont="1" applyFill="1" applyBorder="1" applyAlignment="1">
      <alignment vertical="center"/>
    </xf>
    <xf numFmtId="0" fontId="71" fillId="0" borderId="4" xfId="0" applyFont="1" applyBorder="1" applyAlignment="1">
      <alignment horizontal="left" vertical="center" wrapText="1"/>
    </xf>
    <xf numFmtId="164" fontId="7" fillId="0" borderId="4" xfId="69" applyFont="1" applyFill="1" applyBorder="1" applyAlignment="1">
      <alignment vertical="center" wrapText="1"/>
    </xf>
    <xf numFmtId="187" fontId="71" fillId="0" borderId="4" xfId="0" applyNumberFormat="1" applyFont="1" applyBorder="1" applyAlignment="1">
      <alignment horizontal="center" vertical="center"/>
    </xf>
    <xf numFmtId="164" fontId="54" fillId="0" borderId="4" xfId="69" applyFont="1" applyFill="1" applyBorder="1"/>
    <xf numFmtId="187" fontId="71" fillId="8" borderId="4" xfId="0" applyNumberFormat="1" applyFont="1" applyFill="1" applyBorder="1" applyAlignment="1">
      <alignment horizontal="center" vertical="center"/>
    </xf>
    <xf numFmtId="14" fontId="71" fillId="8" borderId="4" xfId="0" applyNumberFormat="1" applyFont="1" applyFill="1" applyBorder="1" applyAlignment="1">
      <alignment horizontal="center" vertical="center"/>
    </xf>
    <xf numFmtId="0" fontId="54" fillId="0" borderId="4" xfId="10" applyFont="1" applyBorder="1" applyAlignment="1">
      <alignment horizontal="left" vertical="top" wrapText="1"/>
    </xf>
    <xf numFmtId="164" fontId="7" fillId="24" borderId="4" xfId="69" applyFont="1" applyFill="1" applyBorder="1" applyAlignment="1">
      <alignment vertical="center"/>
    </xf>
    <xf numFmtId="0" fontId="52" fillId="0" borderId="4" xfId="0" applyFont="1" applyBorder="1" applyAlignment="1" applyProtection="1">
      <alignment horizontal="center" vertical="center" wrapText="1"/>
      <protection locked="0"/>
    </xf>
    <xf numFmtId="0" fontId="70" fillId="0" borderId="4" xfId="0" applyFont="1" applyBorder="1" applyAlignment="1">
      <alignment vertical="center" wrapText="1"/>
    </xf>
    <xf numFmtId="187" fontId="7" fillId="0" borderId="4" xfId="10" applyNumberFormat="1" applyFont="1" applyBorder="1" applyAlignment="1">
      <alignment vertical="center"/>
    </xf>
    <xf numFmtId="164" fontId="75" fillId="0" borderId="4" xfId="69" applyFont="1" applyFill="1" applyBorder="1" applyAlignment="1">
      <alignment horizontal="center" vertical="center" wrapText="1"/>
    </xf>
    <xf numFmtId="0" fontId="52" fillId="0" borderId="4" xfId="0" applyFont="1" applyBorder="1" applyAlignment="1">
      <alignment horizontal="center" vertical="center" wrapText="1"/>
    </xf>
    <xf numFmtId="187" fontId="7" fillId="0" borderId="4" xfId="10" applyNumberFormat="1" applyFont="1" applyBorder="1"/>
    <xf numFmtId="0" fontId="7" fillId="0" borderId="4" xfId="10" applyFont="1" applyBorder="1" applyAlignment="1">
      <alignment wrapText="1"/>
    </xf>
    <xf numFmtId="9" fontId="7" fillId="0" borderId="4" xfId="70" applyFont="1" applyFill="1" applyBorder="1"/>
    <xf numFmtId="0" fontId="7" fillId="0" borderId="4" xfId="10" applyFont="1" applyBorder="1" applyAlignment="1">
      <alignment horizontal="left" vertical="center" wrapText="1"/>
    </xf>
    <xf numFmtId="0" fontId="78" fillId="0" borderId="4" xfId="10" applyFont="1" applyBorder="1" applyAlignment="1">
      <alignment horizontal="left" vertical="center" wrapText="1"/>
    </xf>
    <xf numFmtId="164" fontId="74" fillId="0" borderId="4" xfId="69" applyFont="1" applyFill="1" applyBorder="1" applyAlignment="1">
      <alignment horizontal="center" vertical="center"/>
    </xf>
    <xf numFmtId="0" fontId="84" fillId="0" borderId="4" xfId="0" applyFont="1" applyBorder="1" applyAlignment="1">
      <alignment horizontal="center" vertical="center" wrapText="1"/>
    </xf>
    <xf numFmtId="164" fontId="78" fillId="0" borderId="4" xfId="69" applyFont="1" applyBorder="1" applyAlignment="1">
      <alignment horizontal="center" vertical="center" wrapText="1"/>
    </xf>
    <xf numFmtId="0" fontId="7" fillId="12" borderId="4" xfId="10" applyFont="1" applyFill="1" applyBorder="1" applyAlignment="1">
      <alignment vertical="center" wrapText="1"/>
    </xf>
    <xf numFmtId="164" fontId="74" fillId="6" borderId="4" xfId="69" applyFont="1" applyFill="1" applyBorder="1" applyAlignment="1">
      <alignment horizontal="center" vertical="center" wrapText="1"/>
    </xf>
    <xf numFmtId="9" fontId="74" fillId="6" borderId="4" xfId="70" applyFont="1" applyFill="1" applyBorder="1" applyAlignment="1">
      <alignment horizontal="center" vertical="center" wrapText="1"/>
    </xf>
    <xf numFmtId="164" fontId="76" fillId="25" borderId="4" xfId="69" applyFont="1" applyFill="1" applyBorder="1" applyAlignment="1">
      <alignment vertical="center"/>
    </xf>
    <xf numFmtId="9" fontId="76" fillId="25" borderId="4" xfId="70" applyFont="1" applyFill="1" applyBorder="1" applyAlignment="1">
      <alignment vertical="center"/>
    </xf>
    <xf numFmtId="9" fontId="76" fillId="6" borderId="4" xfId="70" applyFont="1" applyFill="1" applyBorder="1" applyAlignment="1">
      <alignment horizontal="center" vertical="center"/>
    </xf>
    <xf numFmtId="9" fontId="76" fillId="0" borderId="4" xfId="70" applyFont="1" applyFill="1" applyBorder="1" applyAlignment="1">
      <alignment vertical="center"/>
    </xf>
    <xf numFmtId="2" fontId="86" fillId="0" borderId="4" xfId="0" applyNumberFormat="1" applyFont="1" applyBorder="1" applyAlignment="1">
      <alignment horizontal="right" vertical="center"/>
    </xf>
    <xf numFmtId="164" fontId="76" fillId="26" borderId="4" xfId="69" applyFont="1" applyFill="1" applyBorder="1" applyAlignment="1">
      <alignment vertical="center"/>
    </xf>
    <xf numFmtId="9" fontId="76" fillId="26" borderId="4" xfId="70" applyFont="1" applyFill="1" applyBorder="1" applyAlignment="1">
      <alignment vertical="center"/>
    </xf>
    <xf numFmtId="0" fontId="87" fillId="0" borderId="4" xfId="0" applyFont="1" applyBorder="1" applyAlignment="1">
      <alignment horizontal="center" vertical="center" wrapText="1"/>
    </xf>
    <xf numFmtId="164" fontId="76" fillId="6" borderId="4" xfId="69" applyFont="1" applyFill="1" applyBorder="1" applyAlignment="1">
      <alignment vertical="center"/>
    </xf>
    <xf numFmtId="9" fontId="76" fillId="6" borderId="4" xfId="70" applyFont="1" applyFill="1" applyBorder="1" applyAlignment="1">
      <alignment vertical="center"/>
    </xf>
    <xf numFmtId="164" fontId="76" fillId="0" borderId="4" xfId="69" applyFont="1" applyBorder="1" applyAlignment="1">
      <alignment vertical="center"/>
    </xf>
    <xf numFmtId="164" fontId="76" fillId="15" borderId="4" xfId="69" applyFont="1" applyFill="1" applyBorder="1" applyAlignment="1">
      <alignment vertical="center"/>
    </xf>
    <xf numFmtId="9" fontId="76" fillId="15" borderId="4" xfId="70" applyFont="1" applyFill="1" applyBorder="1" applyAlignment="1">
      <alignment vertical="center"/>
    </xf>
    <xf numFmtId="164" fontId="33" fillId="15" borderId="4" xfId="69" applyFont="1" applyFill="1" applyBorder="1" applyAlignment="1">
      <alignment vertical="center"/>
    </xf>
    <xf numFmtId="164" fontId="33" fillId="27" borderId="4" xfId="69" applyFont="1" applyFill="1" applyBorder="1" applyAlignment="1">
      <alignment vertical="center"/>
    </xf>
    <xf numFmtId="9" fontId="33" fillId="15" borderId="4" xfId="70" applyFont="1" applyFill="1" applyBorder="1" applyAlignment="1">
      <alignment vertical="center"/>
    </xf>
    <xf numFmtId="0" fontId="31" fillId="15" borderId="0" xfId="10" applyFont="1" applyFill="1" applyAlignment="1">
      <alignment vertical="center"/>
    </xf>
    <xf numFmtId="0" fontId="76" fillId="15" borderId="7" xfId="10" applyFont="1" applyFill="1" applyBorder="1" applyAlignment="1">
      <alignment vertical="center" wrapText="1"/>
    </xf>
    <xf numFmtId="164" fontId="76" fillId="15" borderId="7" xfId="69" applyFont="1" applyFill="1" applyBorder="1" applyAlignment="1">
      <alignment vertical="center"/>
    </xf>
    <xf numFmtId="164" fontId="76" fillId="22" borderId="7" xfId="69" applyFont="1" applyFill="1" applyBorder="1" applyAlignment="1">
      <alignment vertical="center"/>
    </xf>
    <xf numFmtId="9" fontId="76" fillId="15" borderId="7" xfId="70" applyFont="1" applyFill="1" applyBorder="1" applyAlignment="1">
      <alignment vertical="center"/>
    </xf>
    <xf numFmtId="0" fontId="76" fillId="12" borderId="7" xfId="10" applyFont="1" applyFill="1" applyBorder="1" applyAlignment="1">
      <alignment vertical="center" wrapText="1"/>
    </xf>
    <xf numFmtId="164" fontId="76" fillId="12" borderId="7" xfId="69" applyFont="1" applyFill="1" applyBorder="1" applyAlignment="1">
      <alignment vertical="center"/>
    </xf>
    <xf numFmtId="164" fontId="76" fillId="12" borderId="4" xfId="69" applyFont="1" applyFill="1" applyBorder="1" applyAlignment="1">
      <alignment vertical="center"/>
    </xf>
    <xf numFmtId="164" fontId="76" fillId="24" borderId="7" xfId="69" applyFont="1" applyFill="1" applyBorder="1" applyAlignment="1">
      <alignment vertical="center"/>
    </xf>
    <xf numFmtId="9" fontId="76" fillId="12" borderId="7" xfId="70" applyFont="1" applyFill="1" applyBorder="1" applyAlignment="1">
      <alignment vertical="center"/>
    </xf>
    <xf numFmtId="164" fontId="89" fillId="12" borderId="7" xfId="69" applyFont="1" applyFill="1" applyBorder="1" applyAlignment="1">
      <alignment vertical="center"/>
    </xf>
    <xf numFmtId="0" fontId="52" fillId="12" borderId="7" xfId="0" applyFont="1" applyFill="1" applyBorder="1" applyAlignment="1">
      <alignment horizontal="left" vertical="center" wrapText="1"/>
    </xf>
    <xf numFmtId="0" fontId="71" fillId="12" borderId="4" xfId="0" applyFont="1" applyFill="1" applyBorder="1" applyAlignment="1" applyProtection="1">
      <alignment horizontal="center" vertical="center" wrapText="1"/>
      <protection locked="0"/>
    </xf>
    <xf numFmtId="164" fontId="76" fillId="24" borderId="4" xfId="69" applyFont="1" applyFill="1" applyBorder="1" applyAlignment="1">
      <alignment vertical="center"/>
    </xf>
    <xf numFmtId="0" fontId="71" fillId="12" borderId="7" xfId="0" applyFont="1" applyFill="1" applyBorder="1" applyAlignment="1" applyProtection="1">
      <alignment horizontal="center" vertical="center" wrapText="1"/>
      <protection locked="0"/>
    </xf>
    <xf numFmtId="187" fontId="12" fillId="28" borderId="4" xfId="69" applyNumberFormat="1" applyFont="1" applyFill="1" applyBorder="1" applyAlignment="1">
      <alignment vertical="center"/>
    </xf>
    <xf numFmtId="164" fontId="12" fillId="28" borderId="4" xfId="69" applyFont="1" applyFill="1" applyBorder="1" applyAlignment="1">
      <alignment vertical="center"/>
    </xf>
    <xf numFmtId="187" fontId="12" fillId="28" borderId="4" xfId="69" applyNumberFormat="1" applyFont="1" applyFill="1" applyBorder="1" applyAlignment="1">
      <alignment horizontal="center" vertical="center"/>
    </xf>
    <xf numFmtId="0" fontId="71" fillId="28" borderId="4" xfId="0" applyFont="1" applyFill="1" applyBorder="1" applyAlignment="1" applyProtection="1">
      <alignment horizontal="center" vertical="center" wrapText="1"/>
      <protection locked="0"/>
    </xf>
    <xf numFmtId="0" fontId="71" fillId="0" borderId="0" xfId="0" applyFont="1" applyAlignment="1" applyProtection="1">
      <alignment horizontal="center" vertical="center" wrapText="1"/>
      <protection locked="0"/>
    </xf>
    <xf numFmtId="0" fontId="16" fillId="14" borderId="0" xfId="10" applyFont="1" applyFill="1" applyAlignment="1">
      <alignment horizontal="center" vertical="center"/>
    </xf>
    <xf numFmtId="173" fontId="7" fillId="0" borderId="0" xfId="69" applyNumberFormat="1" applyFont="1" applyBorder="1" applyAlignment="1">
      <alignment horizontal="center" vertical="center"/>
    </xf>
    <xf numFmtId="164" fontId="7" fillId="0" borderId="0" xfId="69" applyFont="1" applyBorder="1"/>
    <xf numFmtId="164" fontId="10" fillId="0" borderId="0" xfId="69" applyFont="1" applyBorder="1" applyAlignment="1">
      <alignment vertical="center" wrapText="1"/>
    </xf>
    <xf numFmtId="0" fontId="10" fillId="0" borderId="0" xfId="15" applyFont="1" applyAlignment="1">
      <alignment vertical="center" wrapText="1"/>
    </xf>
    <xf numFmtId="0" fontId="10" fillId="0" borderId="0" xfId="15" applyFont="1" applyAlignment="1">
      <alignment horizontal="center" vertical="center"/>
    </xf>
    <xf numFmtId="0" fontId="10" fillId="0" borderId="0" xfId="10" applyFont="1" applyAlignment="1">
      <alignment vertical="center" wrapText="1"/>
    </xf>
    <xf numFmtId="0" fontId="10" fillId="0" borderId="0" xfId="10" applyFont="1" applyAlignment="1">
      <alignment horizontal="center" vertical="top"/>
    </xf>
    <xf numFmtId="164" fontId="10" fillId="0" borderId="0" xfId="69" applyFont="1" applyBorder="1" applyAlignment="1">
      <alignment horizontal="center" vertical="top"/>
    </xf>
    <xf numFmtId="164" fontId="13" fillId="5" borderId="0" xfId="69" applyFont="1" applyFill="1" applyBorder="1" applyAlignment="1">
      <alignment horizontal="left"/>
    </xf>
    <xf numFmtId="0" fontId="8" fillId="5" borderId="0" xfId="10" applyFont="1" applyFill="1" applyAlignment="1">
      <alignment horizontal="center" vertical="center"/>
    </xf>
    <xf numFmtId="0" fontId="8" fillId="5" borderId="0" xfId="10" applyFont="1" applyFill="1" applyAlignment="1">
      <alignment horizontal="center"/>
    </xf>
    <xf numFmtId="164" fontId="8" fillId="0" borderId="0" xfId="69" applyFont="1" applyFill="1" applyBorder="1" applyAlignment="1">
      <alignment horizontal="center"/>
    </xf>
    <xf numFmtId="164" fontId="8" fillId="7" borderId="4" xfId="69" applyFont="1" applyFill="1" applyBorder="1" applyAlignment="1">
      <alignment horizontal="center" vertical="center" wrapText="1"/>
    </xf>
    <xf numFmtId="173" fontId="8" fillId="14" borderId="4" xfId="69" applyNumberFormat="1" applyFont="1" applyFill="1" applyBorder="1" applyAlignment="1">
      <alignment horizontal="center" vertical="center" wrapText="1"/>
    </xf>
    <xf numFmtId="173" fontId="8" fillId="0" borderId="4" xfId="69" applyNumberFormat="1" applyFont="1" applyFill="1" applyBorder="1" applyAlignment="1">
      <alignment horizontal="center" vertical="center"/>
    </xf>
    <xf numFmtId="164" fontId="68" fillId="0" borderId="4" xfId="69" applyFont="1" applyFill="1" applyBorder="1" applyAlignment="1">
      <alignment wrapText="1"/>
    </xf>
    <xf numFmtId="0" fontId="70" fillId="15" borderId="4" xfId="0" applyFont="1" applyFill="1" applyBorder="1" applyAlignment="1">
      <alignment horizontal="center" vertical="center" wrapText="1"/>
    </xf>
    <xf numFmtId="0" fontId="70" fillId="15" borderId="4" xfId="0" applyFont="1" applyFill="1" applyBorder="1" applyAlignment="1">
      <alignment vertical="center" wrapText="1"/>
    </xf>
    <xf numFmtId="14" fontId="70" fillId="15" borderId="4" xfId="0" applyNumberFormat="1" applyFont="1" applyFill="1" applyBorder="1" applyAlignment="1">
      <alignment horizontal="center" vertical="center" wrapText="1"/>
    </xf>
    <xf numFmtId="164" fontId="7" fillId="15" borderId="4" xfId="69" applyFont="1" applyFill="1" applyBorder="1" applyAlignment="1">
      <alignment wrapText="1"/>
    </xf>
    <xf numFmtId="0" fontId="52" fillId="15" borderId="4" xfId="0" applyFont="1" applyFill="1" applyBorder="1" applyAlignment="1">
      <alignment horizontal="center" vertical="center" wrapText="1"/>
    </xf>
    <xf numFmtId="177" fontId="52" fillId="15" borderId="4" xfId="0" applyNumberFormat="1" applyFont="1" applyFill="1" applyBorder="1" applyAlignment="1">
      <alignment horizontal="center" vertical="center" wrapText="1"/>
    </xf>
    <xf numFmtId="0" fontId="52" fillId="15" borderId="4" xfId="0" applyFont="1" applyFill="1" applyBorder="1" applyAlignment="1">
      <alignment vertical="center" wrapText="1"/>
    </xf>
    <xf numFmtId="14" fontId="70" fillId="0" borderId="4" xfId="0" applyNumberFormat="1" applyFont="1" applyBorder="1" applyAlignment="1">
      <alignment horizontal="center" vertical="center" wrapText="1"/>
    </xf>
    <xf numFmtId="164" fontId="7" fillId="0" borderId="4" xfId="69" applyFont="1" applyFill="1" applyBorder="1" applyAlignment="1">
      <alignment wrapText="1"/>
    </xf>
    <xf numFmtId="177" fontId="52" fillId="0" borderId="4" xfId="0" applyNumberFormat="1" applyFont="1" applyBorder="1" applyAlignment="1">
      <alignment horizontal="center" vertical="center" wrapText="1"/>
    </xf>
    <xf numFmtId="0" fontId="71" fillId="15" borderId="4" xfId="0" applyFont="1" applyFill="1" applyBorder="1" applyAlignment="1">
      <alignment horizontal="center" vertical="center" wrapText="1"/>
    </xf>
    <xf numFmtId="0" fontId="71" fillId="15" borderId="4" xfId="0" applyFont="1" applyFill="1" applyBorder="1" applyAlignment="1">
      <alignment horizontal="left" vertical="center" wrapText="1" indent="2"/>
    </xf>
    <xf numFmtId="0" fontId="71" fillId="15" borderId="4" xfId="0" applyFont="1" applyFill="1" applyBorder="1" applyAlignment="1">
      <alignment vertical="center" wrapText="1"/>
    </xf>
    <xf numFmtId="0" fontId="7" fillId="12" borderId="0" xfId="10" applyFont="1" applyFill="1" applyAlignment="1">
      <alignment wrapText="1"/>
    </xf>
    <xf numFmtId="0" fontId="73" fillId="15" borderId="4" xfId="0" applyFont="1" applyFill="1" applyBorder="1" applyAlignment="1">
      <alignment horizontal="center" vertical="center" wrapText="1"/>
    </xf>
    <xf numFmtId="0" fontId="73" fillId="15" borderId="4" xfId="0" applyFont="1" applyFill="1" applyBorder="1" applyAlignment="1">
      <alignment vertical="center" wrapText="1"/>
    </xf>
    <xf numFmtId="0" fontId="10" fillId="0" borderId="0" xfId="10" applyFont="1" applyAlignment="1">
      <alignment horizontal="center" vertical="center"/>
    </xf>
    <xf numFmtId="0" fontId="8" fillId="7" borderId="4" xfId="10" applyFont="1" applyFill="1" applyBorder="1" applyAlignment="1">
      <alignment horizontal="center" vertical="center" wrapText="1"/>
    </xf>
    <xf numFmtId="164" fontId="8" fillId="4" borderId="4" xfId="69" applyFont="1" applyFill="1" applyBorder="1" applyAlignment="1">
      <alignment horizontal="center" vertical="center" wrapText="1"/>
    </xf>
    <xf numFmtId="9" fontId="8" fillId="4" borderId="4" xfId="70" applyFont="1" applyFill="1" applyBorder="1" applyAlignment="1">
      <alignment horizontal="center" vertical="center" wrapText="1"/>
    </xf>
    <xf numFmtId="0" fontId="8" fillId="0" borderId="0" xfId="10" applyFont="1" applyAlignment="1">
      <alignment horizontal="center" vertical="center" wrapText="1"/>
    </xf>
    <xf numFmtId="0" fontId="8" fillId="0" borderId="0" xfId="10" applyFont="1" applyAlignment="1">
      <alignment horizontal="center" vertical="center"/>
    </xf>
    <xf numFmtId="0" fontId="13" fillId="0" borderId="0" xfId="14" applyFont="1" applyAlignment="1">
      <alignment horizontal="center" vertical="center"/>
    </xf>
    <xf numFmtId="0" fontId="40" fillId="0" borderId="0" xfId="10" applyFont="1" applyAlignment="1">
      <alignment horizontal="center" vertical="center"/>
    </xf>
    <xf numFmtId="0" fontId="13" fillId="13" borderId="0" xfId="14" applyFont="1" applyFill="1" applyAlignment="1">
      <alignment horizontal="center" vertical="center"/>
    </xf>
    <xf numFmtId="0" fontId="40" fillId="13" borderId="0" xfId="10" applyFont="1" applyFill="1" applyAlignment="1">
      <alignment horizontal="center" vertical="center"/>
    </xf>
    <xf numFmtId="0" fontId="12" fillId="4" borderId="7" xfId="14" applyFont="1" applyFill="1" applyBorder="1" applyAlignment="1">
      <alignment horizontal="center" vertical="center"/>
    </xf>
    <xf numFmtId="0" fontId="12" fillId="4" borderId="10" xfId="14" applyFont="1" applyFill="1" applyBorder="1" applyAlignment="1">
      <alignment horizontal="center" vertical="center"/>
    </xf>
    <xf numFmtId="0" fontId="15" fillId="0" borderId="6" xfId="10" applyFont="1" applyBorder="1" applyAlignment="1">
      <alignment horizontal="center" vertical="center"/>
    </xf>
    <xf numFmtId="0" fontId="12" fillId="4" borderId="4" xfId="14" applyFont="1" applyFill="1" applyBorder="1" applyAlignment="1">
      <alignment horizontal="center" vertical="center"/>
    </xf>
    <xf numFmtId="0" fontId="15" fillId="0" borderId="4" xfId="10" applyFont="1" applyBorder="1" applyAlignment="1">
      <alignment horizontal="center" vertical="center"/>
    </xf>
    <xf numFmtId="0" fontId="49" fillId="11" borderId="4" xfId="0" applyFont="1" applyFill="1" applyBorder="1" applyAlignment="1">
      <alignment horizontal="center"/>
    </xf>
    <xf numFmtId="0" fontId="8" fillId="4" borderId="4" xfId="14" applyFont="1" applyFill="1" applyBorder="1" applyAlignment="1">
      <alignment horizontal="center" vertical="center" wrapText="1"/>
    </xf>
    <xf numFmtId="0" fontId="7" fillId="0" borderId="4" xfId="10" applyFont="1" applyBorder="1" applyAlignment="1">
      <alignment horizontal="center" vertical="center" wrapText="1"/>
    </xf>
    <xf numFmtId="0" fontId="8" fillId="4" borderId="5" xfId="14" applyFont="1" applyFill="1" applyBorder="1" applyAlignment="1">
      <alignment horizontal="center" vertical="center" wrapText="1"/>
    </xf>
    <xf numFmtId="0" fontId="8" fillId="4" borderId="3"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17" fillId="0" borderId="6" xfId="10" applyBorder="1" applyAlignment="1">
      <alignment horizontal="center" vertical="center" wrapText="1"/>
    </xf>
    <xf numFmtId="0" fontId="8" fillId="4" borderId="4" xfId="14" applyFont="1" applyFill="1" applyBorder="1" applyAlignment="1">
      <alignment horizontal="center" vertical="center"/>
    </xf>
    <xf numFmtId="0" fontId="17" fillId="0" borderId="4" xfId="10" applyBorder="1" applyAlignment="1">
      <alignment horizontal="center" vertical="center"/>
    </xf>
    <xf numFmtId="0" fontId="34" fillId="6" borderId="12" xfId="10" applyFont="1" applyFill="1" applyBorder="1" applyAlignment="1">
      <alignment horizontal="left" vertical="center" wrapText="1"/>
    </xf>
    <xf numFmtId="0" fontId="34" fillId="6" borderId="0" xfId="10" applyFont="1" applyFill="1" applyBorder="1" applyAlignment="1">
      <alignment horizontal="left"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34" fillId="6" borderId="9" xfId="10" applyFont="1" applyFill="1" applyBorder="1" applyAlignment="1">
      <alignment horizontal="left" vertical="center"/>
    </xf>
    <xf numFmtId="0" fontId="34" fillId="6" borderId="11" xfId="10" applyFont="1" applyFill="1" applyBorder="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66" fillId="6" borderId="12" xfId="10" applyFont="1" applyFill="1" applyBorder="1" applyAlignment="1">
      <alignment horizontal="left" vertical="center"/>
    </xf>
    <xf numFmtId="0" fontId="66" fillId="6" borderId="0" xfId="10" applyFont="1" applyFill="1" applyAlignment="1">
      <alignment horizontal="left" vertical="center"/>
    </xf>
    <xf numFmtId="0" fontId="34" fillId="6" borderId="0" xfId="10" applyFont="1" applyFill="1" applyAlignment="1">
      <alignment horizontal="left" vertical="center" wrapText="1"/>
    </xf>
    <xf numFmtId="0" fontId="31" fillId="6" borderId="0" xfId="10" applyFont="1" applyFill="1" applyAlignment="1">
      <alignment vertical="center"/>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21" fillId="0" borderId="0" xfId="10" applyFont="1" applyAlignment="1">
      <alignment horizontal="center" vertical="center"/>
    </xf>
    <xf numFmtId="0" fontId="12" fillId="4" borderId="4" xfId="14" quotePrefix="1" applyFont="1" applyFill="1" applyBorder="1" applyAlignment="1">
      <alignment horizontal="center" vertical="center" wrapText="1"/>
    </xf>
    <xf numFmtId="0" fontId="16" fillId="0" borderId="4" xfId="10" applyFont="1" applyBorder="1" applyAlignment="1">
      <alignment horizontal="center" vertical="center" wrapText="1"/>
    </xf>
    <xf numFmtId="0" fontId="12" fillId="0" borderId="0" xfId="14" applyFont="1" applyAlignment="1">
      <alignment horizontal="center" vertical="center"/>
    </xf>
    <xf numFmtId="0" fontId="45" fillId="0" borderId="0" xfId="10" applyFont="1" applyAlignment="1">
      <alignment horizontal="center" vertical="center"/>
    </xf>
    <xf numFmtId="0" fontId="8" fillId="4" borderId="4" xfId="14" quotePrefix="1" applyFont="1" applyFill="1" applyBorder="1" applyAlignment="1">
      <alignment horizontal="center" vertical="center" wrapText="1"/>
    </xf>
    <xf numFmtId="1" fontId="30" fillId="18" borderId="23" xfId="0" applyNumberFormat="1" applyFont="1" applyFill="1" applyBorder="1" applyAlignment="1">
      <alignment horizontal="center"/>
    </xf>
    <xf numFmtId="1" fontId="30" fillId="18" borderId="3" xfId="0" applyNumberFormat="1" applyFont="1" applyFill="1" applyBorder="1" applyAlignment="1">
      <alignment horizontal="center"/>
    </xf>
    <xf numFmtId="1" fontId="30" fillId="18" borderId="26" xfId="0" applyNumberFormat="1" applyFont="1" applyFill="1" applyBorder="1" applyAlignment="1">
      <alignment horizontal="center"/>
    </xf>
    <xf numFmtId="1" fontId="30" fillId="18" borderId="8" xfId="0" applyNumberFormat="1" applyFont="1" applyFill="1" applyBorder="1" applyAlignment="1">
      <alignment horizontal="center"/>
    </xf>
    <xf numFmtId="1" fontId="30" fillId="18" borderId="4" xfId="0" applyNumberFormat="1" applyFont="1" applyFill="1" applyBorder="1" applyAlignment="1">
      <alignment horizontal="center"/>
    </xf>
    <xf numFmtId="0" fontId="8" fillId="4" borderId="4" xfId="10" applyFont="1" applyFill="1" applyBorder="1" applyAlignment="1">
      <alignment horizontal="center" vertical="center" wrapText="1"/>
    </xf>
    <xf numFmtId="0" fontId="17" fillId="0" borderId="4" xfId="10" applyBorder="1" applyAlignment="1">
      <alignment horizontal="center" vertical="center" wrapText="1"/>
    </xf>
    <xf numFmtId="0" fontId="8" fillId="4" borderId="4" xfId="10" applyFont="1" applyFill="1" applyBorder="1" applyAlignment="1">
      <alignment horizontal="center" vertical="center"/>
    </xf>
    <xf numFmtId="0" fontId="8" fillId="4" borderId="6" xfId="14" applyFont="1" applyFill="1" applyBorder="1" applyAlignment="1">
      <alignment horizontal="center" vertical="center" wrapText="1"/>
    </xf>
    <xf numFmtId="0" fontId="8" fillId="4" borderId="7" xfId="10" applyFont="1" applyFill="1" applyBorder="1" applyAlignment="1">
      <alignment horizontal="center" vertical="center" wrapText="1"/>
    </xf>
    <xf numFmtId="0" fontId="8" fillId="4" borderId="6" xfId="10" applyFont="1" applyFill="1" applyBorder="1" applyAlignment="1">
      <alignment horizontal="center" vertical="center" wrapText="1"/>
    </xf>
    <xf numFmtId="0" fontId="8" fillId="4" borderId="7" xfId="10" applyFont="1" applyFill="1" applyBorder="1" applyAlignment="1">
      <alignment horizontal="center" vertical="center"/>
    </xf>
    <xf numFmtId="0" fontId="8" fillId="4" borderId="6" xfId="10" applyFont="1" applyFill="1" applyBorder="1" applyAlignment="1">
      <alignment horizontal="center" vertical="center"/>
    </xf>
    <xf numFmtId="0" fontId="8" fillId="4" borderId="7" xfId="14" applyFont="1" applyFill="1" applyBorder="1" applyAlignment="1">
      <alignment horizontal="left" vertical="center" wrapText="1"/>
    </xf>
    <xf numFmtId="0" fontId="8" fillId="4" borderId="6" xfId="14" applyFont="1" applyFill="1" applyBorder="1" applyAlignment="1">
      <alignment horizontal="left" vertical="center" wrapText="1"/>
    </xf>
    <xf numFmtId="0" fontId="7" fillId="0" borderId="9" xfId="14" quotePrefix="1" applyFont="1" applyFill="1" applyBorder="1" applyAlignment="1">
      <alignment horizontal="center" vertical="center" wrapText="1"/>
    </xf>
    <xf numFmtId="0" fontId="7" fillId="0" borderId="11" xfId="14" quotePrefix="1" applyFont="1" applyFill="1" applyBorder="1" applyAlignment="1">
      <alignment horizontal="center" vertical="center" wrapText="1"/>
    </xf>
    <xf numFmtId="0" fontId="7" fillId="0" borderId="12" xfId="14" quotePrefix="1" applyFont="1" applyFill="1" applyBorder="1" applyAlignment="1">
      <alignment horizontal="center" vertical="center" wrapText="1"/>
    </xf>
    <xf numFmtId="0" fontId="7" fillId="0" borderId="0" xfId="14" quotePrefix="1" applyFont="1" applyFill="1" applyBorder="1" applyAlignment="1">
      <alignment horizontal="center" vertical="center" wrapText="1"/>
    </xf>
    <xf numFmtId="0" fontId="7" fillId="0" borderId="15" xfId="14" quotePrefix="1" applyFont="1" applyFill="1" applyBorder="1" applyAlignment="1">
      <alignment horizontal="center" vertical="center" wrapText="1"/>
    </xf>
    <xf numFmtId="0" fontId="7" fillId="0" borderId="16" xfId="14" quotePrefix="1" applyFont="1" applyFill="1" applyBorder="1" applyAlignment="1">
      <alignment horizontal="center" vertical="center" wrapText="1"/>
    </xf>
    <xf numFmtId="0" fontId="7" fillId="0" borderId="13" xfId="14" quotePrefix="1" applyFont="1" applyFill="1" applyBorder="1" applyAlignment="1">
      <alignment horizontal="center" vertical="center" wrapText="1"/>
    </xf>
    <xf numFmtId="0" fontId="7" fillId="0" borderId="14" xfId="14" quotePrefix="1" applyFont="1" applyFill="1" applyBorder="1" applyAlignment="1">
      <alignment horizontal="center" vertical="center" wrapText="1"/>
    </xf>
    <xf numFmtId="0" fontId="7" fillId="0" borderId="17" xfId="14" quotePrefix="1" applyFont="1" applyFill="1" applyBorder="1" applyAlignment="1">
      <alignment horizontal="center" vertical="center" wrapText="1"/>
    </xf>
    <xf numFmtId="0" fontId="17" fillId="0" borderId="0" xfId="10" applyAlignment="1">
      <alignment horizontal="center" vertical="center"/>
    </xf>
    <xf numFmtId="0" fontId="8" fillId="0" borderId="9" xfId="10" quotePrefix="1" applyFont="1" applyFill="1" applyBorder="1" applyAlignment="1">
      <alignment horizontal="center" vertical="center"/>
    </xf>
    <xf numFmtId="0" fontId="8" fillId="0" borderId="11" xfId="10" quotePrefix="1" applyFont="1" applyFill="1" applyBorder="1" applyAlignment="1">
      <alignment horizontal="center" vertical="center"/>
    </xf>
    <xf numFmtId="0" fontId="8" fillId="0" borderId="12" xfId="10" quotePrefix="1" applyFont="1" applyFill="1" applyBorder="1" applyAlignment="1">
      <alignment horizontal="center" vertical="center"/>
    </xf>
    <xf numFmtId="0" fontId="8" fillId="0" borderId="0" xfId="10" quotePrefix="1" applyFont="1" applyFill="1" applyBorder="1" applyAlignment="1">
      <alignment horizontal="center" vertical="center"/>
    </xf>
    <xf numFmtId="0" fontId="8" fillId="0" borderId="15" xfId="10" quotePrefix="1" applyFont="1" applyFill="1" applyBorder="1" applyAlignment="1">
      <alignment horizontal="center" vertical="center"/>
    </xf>
    <xf numFmtId="0" fontId="8" fillId="0" borderId="16" xfId="10" quotePrefix="1" applyFont="1" applyFill="1" applyBorder="1" applyAlignment="1">
      <alignment horizontal="center" vertical="center"/>
    </xf>
    <xf numFmtId="0" fontId="8" fillId="0" borderId="11" xfId="10" applyFont="1" applyFill="1" applyBorder="1" applyAlignment="1">
      <alignment horizontal="center" vertical="center"/>
    </xf>
    <xf numFmtId="0" fontId="8" fillId="0" borderId="13"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14" xfId="10" applyFont="1" applyFill="1" applyBorder="1" applyAlignment="1">
      <alignment horizontal="center" vertical="center"/>
    </xf>
    <xf numFmtId="0" fontId="8" fillId="0" borderId="16" xfId="10" applyFont="1" applyFill="1" applyBorder="1" applyAlignment="1">
      <alignment horizontal="center" vertical="center"/>
    </xf>
    <xf numFmtId="0" fontId="8" fillId="0" borderId="17" xfId="10" applyFont="1" applyFill="1" applyBorder="1" applyAlignment="1">
      <alignment horizontal="center" vertical="center"/>
    </xf>
    <xf numFmtId="0" fontId="8" fillId="5" borderId="9" xfId="14" quotePrefix="1" applyFont="1" applyFill="1" applyBorder="1" applyAlignment="1">
      <alignment horizontal="center" vertical="center"/>
    </xf>
    <xf numFmtId="0" fontId="8" fillId="5" borderId="11" xfId="14" applyFont="1" applyFill="1" applyBorder="1" applyAlignment="1">
      <alignment horizontal="center" vertical="center"/>
    </xf>
    <xf numFmtId="0" fontId="8" fillId="5" borderId="13" xfId="14" applyFont="1" applyFill="1" applyBorder="1" applyAlignment="1">
      <alignment horizontal="center" vertical="center"/>
    </xf>
    <xf numFmtId="0" fontId="8" fillId="5" borderId="12" xfId="14" applyFont="1" applyFill="1" applyBorder="1" applyAlignment="1">
      <alignment horizontal="center" vertical="center"/>
    </xf>
    <xf numFmtId="0" fontId="8" fillId="5" borderId="0" xfId="14" applyFont="1" applyFill="1" applyBorder="1" applyAlignment="1">
      <alignment horizontal="center" vertical="center"/>
    </xf>
    <xf numFmtId="0" fontId="8" fillId="5" borderId="14" xfId="14" applyFont="1" applyFill="1" applyBorder="1" applyAlignment="1">
      <alignment horizontal="center" vertical="center"/>
    </xf>
    <xf numFmtId="0" fontId="8" fillId="5" borderId="15" xfId="14" applyFont="1" applyFill="1" applyBorder="1" applyAlignment="1">
      <alignment horizontal="center" vertical="center"/>
    </xf>
    <xf numFmtId="0" fontId="8" fillId="5" borderId="16" xfId="14" applyFont="1" applyFill="1" applyBorder="1" applyAlignment="1">
      <alignment horizontal="center" vertical="center"/>
    </xf>
    <xf numFmtId="0" fontId="8" fillId="5" borderId="17" xfId="14" applyFont="1" applyFill="1" applyBorder="1" applyAlignment="1">
      <alignment horizontal="center" vertical="center"/>
    </xf>
    <xf numFmtId="0" fontId="8" fillId="0" borderId="9" xfId="14" quotePrefix="1" applyFont="1" applyFill="1" applyBorder="1" applyAlignment="1">
      <alignment horizontal="center" vertical="center" wrapText="1"/>
    </xf>
    <xf numFmtId="0" fontId="8" fillId="0" borderId="11" xfId="14"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2" xfId="14" applyFont="1" applyFill="1" applyBorder="1" applyAlignment="1">
      <alignment horizontal="center" vertical="center" wrapText="1"/>
    </xf>
    <xf numFmtId="0" fontId="8" fillId="0" borderId="0" xfId="14" applyFont="1" applyFill="1" applyBorder="1" applyAlignment="1">
      <alignment horizontal="center" vertical="center" wrapText="1"/>
    </xf>
    <xf numFmtId="0" fontId="8" fillId="0" borderId="14" xfId="14" applyFont="1" applyFill="1" applyBorder="1" applyAlignment="1">
      <alignment horizontal="center" vertical="center" wrapText="1"/>
    </xf>
    <xf numFmtId="0" fontId="8" fillId="0" borderId="15" xfId="14" applyFont="1" applyFill="1" applyBorder="1" applyAlignment="1">
      <alignment horizontal="center" vertical="center" wrapText="1"/>
    </xf>
    <xf numFmtId="0" fontId="8" fillId="0" borderId="16" xfId="14" applyFont="1" applyFill="1" applyBorder="1" applyAlignment="1">
      <alignment horizontal="center" vertical="center" wrapText="1"/>
    </xf>
    <xf numFmtId="0" fontId="8" fillId="0" borderId="17" xfId="14" applyFont="1" applyFill="1" applyBorder="1" applyAlignment="1">
      <alignment horizontal="center" vertical="center" wrapText="1"/>
    </xf>
    <xf numFmtId="0" fontId="8" fillId="0" borderId="9"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12"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14" xfId="10" applyFont="1" applyFill="1" applyBorder="1" applyAlignment="1">
      <alignment horizontal="center" vertical="center" wrapText="1"/>
    </xf>
    <xf numFmtId="0" fontId="8" fillId="0" borderId="15"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7" xfId="10" applyFont="1" applyFill="1" applyBorder="1" applyAlignment="1">
      <alignment horizontal="center" vertical="center" wrapText="1"/>
    </xf>
    <xf numFmtId="0" fontId="8" fillId="4" borderId="5" xfId="10" applyFont="1" applyFill="1" applyBorder="1" applyAlignment="1">
      <alignment horizontal="center" vertical="center"/>
    </xf>
    <xf numFmtId="0" fontId="8" fillId="4" borderId="8" xfId="10" applyFont="1" applyFill="1" applyBorder="1" applyAlignment="1">
      <alignment horizontal="center" vertical="center"/>
    </xf>
    <xf numFmtId="0" fontId="7" fillId="0" borderId="4" xfId="0" applyFont="1" applyFill="1" applyBorder="1" applyAlignment="1">
      <alignment horizontal="center" vertical="top"/>
    </xf>
    <xf numFmtId="164" fontId="7" fillId="0" borderId="4" xfId="29" applyFont="1" applyFill="1" applyBorder="1" applyAlignment="1">
      <alignment horizontal="center" vertical="center"/>
    </xf>
    <xf numFmtId="164" fontId="7" fillId="0" borderId="7" xfId="29" applyFont="1" applyFill="1" applyBorder="1" applyAlignment="1">
      <alignment horizontal="center" vertical="center"/>
    </xf>
    <xf numFmtId="164" fontId="7" fillId="0" borderId="10" xfId="29" applyFont="1" applyFill="1" applyBorder="1" applyAlignment="1">
      <alignment horizontal="center" vertical="center"/>
    </xf>
    <xf numFmtId="164" fontId="7" fillId="0" borderId="6" xfId="29" applyFont="1" applyFill="1" applyBorder="1" applyAlignment="1">
      <alignment horizontal="center" vertical="center"/>
    </xf>
    <xf numFmtId="164" fontId="26" fillId="0" borderId="7" xfId="29" applyFont="1" applyFill="1" applyBorder="1" applyAlignment="1">
      <alignment horizontal="center" vertical="center"/>
    </xf>
    <xf numFmtId="164" fontId="26" fillId="0" borderId="10" xfId="29" applyFont="1" applyFill="1" applyBorder="1" applyAlignment="1">
      <alignment horizontal="center" vertical="center"/>
    </xf>
    <xf numFmtId="164" fontId="26" fillId="0" borderId="6" xfId="29" applyFont="1" applyFill="1" applyBorder="1" applyAlignment="1">
      <alignment horizontal="center" vertical="center"/>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0" fontId="8" fillId="7" borderId="4" xfId="10" applyFont="1" applyFill="1" applyBorder="1" applyAlignment="1">
      <alignment horizontal="center" wrapText="1"/>
    </xf>
    <xf numFmtId="0" fontId="8" fillId="7" borderId="5" xfId="10" applyFont="1" applyFill="1" applyBorder="1" applyAlignment="1">
      <alignment horizontal="center" vertical="center" wrapText="1"/>
    </xf>
    <xf numFmtId="0" fontId="8" fillId="7" borderId="3" xfId="10" applyFont="1" applyFill="1" applyBorder="1" applyAlignment="1">
      <alignment horizontal="center" vertical="center" wrapText="1"/>
    </xf>
    <xf numFmtId="0" fontId="8" fillId="7" borderId="8" xfId="10" applyFont="1" applyFill="1" applyBorder="1" applyAlignment="1">
      <alignment horizontal="center" vertical="center" wrapText="1"/>
    </xf>
    <xf numFmtId="0" fontId="12" fillId="0" borderId="0" xfId="14" applyFont="1" applyFill="1" applyBorder="1" applyAlignment="1">
      <alignment horizontal="center" vertical="center" wrapText="1"/>
    </xf>
    <xf numFmtId="0" fontId="8" fillId="7" borderId="5" xfId="14" applyFont="1" applyFill="1" applyBorder="1" applyAlignment="1">
      <alignment horizontal="center" vertical="center" wrapText="1"/>
    </xf>
    <xf numFmtId="0" fontId="8" fillId="7" borderId="3" xfId="14" applyFont="1" applyFill="1" applyBorder="1" applyAlignment="1">
      <alignment horizontal="center" vertical="center" wrapText="1"/>
    </xf>
    <xf numFmtId="0" fontId="8" fillId="7" borderId="8" xfId="14" applyFont="1" applyFill="1" applyBorder="1" applyAlignment="1">
      <alignment horizontal="center" vertical="center" wrapText="1"/>
    </xf>
    <xf numFmtId="0" fontId="7" fillId="0" borderId="0" xfId="10" applyFont="1" applyFill="1" applyBorder="1" applyAlignment="1">
      <alignment horizontal="center" vertical="center" wrapText="1"/>
    </xf>
    <xf numFmtId="164" fontId="8" fillId="0" borderId="4" xfId="29" applyFont="1" applyFill="1" applyBorder="1" applyAlignment="1" applyProtection="1">
      <alignment horizontal="center" vertical="center"/>
    </xf>
    <xf numFmtId="4" fontId="7" fillId="0" borderId="7" xfId="10" applyNumberFormat="1" applyFont="1" applyFill="1" applyBorder="1" applyAlignment="1" applyProtection="1">
      <alignment horizontal="center" vertical="center"/>
    </xf>
    <xf numFmtId="4" fontId="7" fillId="0" borderId="10" xfId="10" applyNumberFormat="1" applyFont="1" applyFill="1" applyBorder="1" applyAlignment="1" applyProtection="1">
      <alignment horizontal="center" vertical="center"/>
    </xf>
    <xf numFmtId="4" fontId="7" fillId="0" borderId="6" xfId="10" applyNumberFormat="1" applyFont="1" applyFill="1" applyBorder="1" applyAlignment="1" applyProtection="1">
      <alignment horizontal="center" vertical="center"/>
    </xf>
    <xf numFmtId="0" fontId="8" fillId="7" borderId="5" xfId="10" applyFont="1" applyFill="1" applyBorder="1" applyAlignment="1">
      <alignment horizontal="center" vertical="center"/>
    </xf>
    <xf numFmtId="0" fontId="8" fillId="7" borderId="8" xfId="10" applyFont="1" applyFill="1" applyBorder="1" applyAlignment="1">
      <alignment horizontal="center" vertical="center"/>
    </xf>
    <xf numFmtId="164" fontId="7" fillId="0" borderId="7" xfId="29" applyFont="1" applyFill="1" applyBorder="1" applyAlignment="1" applyProtection="1">
      <alignment horizontal="center" vertical="center"/>
    </xf>
    <xf numFmtId="164" fontId="7" fillId="0" borderId="10" xfId="29" applyFont="1" applyFill="1" applyBorder="1" applyAlignment="1" applyProtection="1">
      <alignment horizontal="center" vertical="center"/>
    </xf>
    <xf numFmtId="164" fontId="7" fillId="0" borderId="6" xfId="29" applyFont="1" applyFill="1" applyBorder="1" applyAlignment="1" applyProtection="1">
      <alignment horizontal="center" vertical="center"/>
    </xf>
    <xf numFmtId="4" fontId="8" fillId="0" borderId="4" xfId="10" applyNumberFormat="1" applyFont="1" applyFill="1" applyBorder="1" applyAlignment="1" applyProtection="1">
      <alignment horizontal="center" vertical="center"/>
    </xf>
    <xf numFmtId="0" fontId="8" fillId="0" borderId="0" xfId="10" applyFont="1" applyFill="1" applyAlignment="1">
      <alignment horizontal="left"/>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2" fontId="7" fillId="0" borderId="7" xfId="10" applyNumberFormat="1" applyFont="1" applyFill="1" applyBorder="1" applyAlignment="1" applyProtection="1">
      <alignment horizontal="center" vertical="center"/>
    </xf>
    <xf numFmtId="2" fontId="7" fillId="0" borderId="10" xfId="10" applyNumberFormat="1" applyFont="1" applyFill="1" applyBorder="1" applyAlignment="1" applyProtection="1">
      <alignment horizontal="center" vertical="center"/>
    </xf>
    <xf numFmtId="2" fontId="7" fillId="0" borderId="6" xfId="10" applyNumberFormat="1" applyFont="1" applyFill="1" applyBorder="1" applyAlignment="1" applyProtection="1">
      <alignment horizontal="center" vertical="center"/>
    </xf>
    <xf numFmtId="0" fontId="8" fillId="0" borderId="0" xfId="10" applyFont="1" applyAlignment="1">
      <alignment horizontal="left"/>
    </xf>
    <xf numFmtId="0" fontId="8" fillId="0" borderId="0" xfId="14" applyFont="1" applyFill="1" applyBorder="1" applyAlignment="1">
      <alignment horizontal="center" vertical="center"/>
    </xf>
    <xf numFmtId="0" fontId="17" fillId="0" borderId="4" xfId="10" applyBorder="1" applyAlignment="1">
      <alignment vertical="center"/>
    </xf>
    <xf numFmtId="0" fontId="11" fillId="4" borderId="4" xfId="10" applyFont="1" applyFill="1" applyBorder="1" applyAlignment="1">
      <alignment horizontal="center" vertical="center" wrapText="1"/>
    </xf>
    <xf numFmtId="173" fontId="8" fillId="4" borderId="4" xfId="69" applyNumberFormat="1" applyFont="1" applyFill="1" applyBorder="1" applyAlignment="1">
      <alignment horizontal="center" vertical="center" wrapText="1"/>
    </xf>
    <xf numFmtId="164" fontId="8" fillId="4" borderId="4" xfId="69" applyFont="1" applyFill="1" applyBorder="1" applyAlignment="1">
      <alignment horizontal="center" vertical="center" wrapText="1"/>
    </xf>
    <xf numFmtId="164" fontId="53" fillId="4" borderId="7" xfId="69" applyFont="1" applyFill="1" applyBorder="1" applyAlignment="1">
      <alignment horizontal="center" vertical="center" wrapText="1"/>
    </xf>
    <xf numFmtId="164" fontId="53" fillId="4" borderId="10" xfId="69" applyFont="1" applyFill="1" applyBorder="1" applyAlignment="1">
      <alignment horizontal="center" vertical="center" wrapText="1"/>
    </xf>
    <xf numFmtId="164" fontId="53" fillId="4" borderId="6" xfId="69" applyFont="1" applyFill="1" applyBorder="1" applyAlignment="1">
      <alignment horizontal="center" vertical="center" wrapText="1"/>
    </xf>
    <xf numFmtId="0" fontId="53" fillId="4" borderId="7" xfId="10" applyFont="1" applyFill="1" applyBorder="1" applyAlignment="1">
      <alignment horizontal="center" vertical="center" wrapText="1"/>
    </xf>
    <xf numFmtId="0" fontId="53" fillId="4" borderId="10" xfId="10" applyFont="1" applyFill="1" applyBorder="1" applyAlignment="1">
      <alignment horizontal="center" vertical="center" wrapText="1"/>
    </xf>
    <xf numFmtId="0" fontId="53" fillId="4" borderId="6" xfId="10" applyFont="1" applyFill="1" applyBorder="1" applyAlignment="1">
      <alignment horizontal="center" vertical="center" wrapText="1"/>
    </xf>
    <xf numFmtId="9" fontId="8" fillId="4" borderId="7" xfId="70" applyFont="1" applyFill="1" applyBorder="1" applyAlignment="1">
      <alignment horizontal="center" vertical="center" wrapText="1"/>
    </xf>
    <xf numFmtId="9" fontId="8" fillId="4" borderId="6" xfId="70" applyFont="1" applyFill="1" applyBorder="1" applyAlignment="1">
      <alignment horizontal="center" vertical="center" wrapText="1"/>
    </xf>
    <xf numFmtId="187" fontId="8" fillId="4" borderId="4" xfId="10" applyNumberFormat="1" applyFont="1" applyFill="1" applyBorder="1" applyAlignment="1">
      <alignment horizontal="center" vertical="center" wrapText="1"/>
    </xf>
    <xf numFmtId="9" fontId="8" fillId="4" borderId="4" xfId="70" applyFont="1" applyFill="1" applyBorder="1" applyAlignment="1">
      <alignment horizontal="center" vertical="center" wrapText="1"/>
    </xf>
    <xf numFmtId="0" fontId="76" fillId="0" borderId="7" xfId="10" applyFont="1" applyBorder="1" applyAlignment="1">
      <alignment horizontal="left" vertical="center" wrapText="1"/>
    </xf>
    <xf numFmtId="0" fontId="76" fillId="0" borderId="10" xfId="10" applyFont="1" applyBorder="1" applyAlignment="1">
      <alignment horizontal="left" vertical="center" wrapText="1"/>
    </xf>
    <xf numFmtId="0" fontId="76" fillId="0" borderId="6" xfId="10" applyFont="1" applyBorder="1" applyAlignment="1">
      <alignment horizontal="left" vertical="center" wrapText="1"/>
    </xf>
    <xf numFmtId="0" fontId="8" fillId="4" borderId="4" xfId="31" applyFont="1" applyFill="1" applyBorder="1" applyAlignment="1">
      <alignment horizontal="center" vertical="center" wrapText="1"/>
    </xf>
    <xf numFmtId="0" fontId="8" fillId="4" borderId="5" xfId="31" applyFont="1" applyFill="1" applyBorder="1" applyAlignment="1">
      <alignment horizontal="center" wrapText="1"/>
    </xf>
    <xf numFmtId="0" fontId="8" fillId="4" borderId="3" xfId="31" applyFont="1" applyFill="1" applyBorder="1" applyAlignment="1">
      <alignment horizontal="center" wrapText="1"/>
    </xf>
    <xf numFmtId="0" fontId="8" fillId="4" borderId="8" xfId="31" applyFont="1" applyFill="1" applyBorder="1" applyAlignment="1">
      <alignment horizontal="center" wrapText="1"/>
    </xf>
    <xf numFmtId="0" fontId="8" fillId="4" borderId="4" xfId="31" applyFont="1" applyFill="1" applyBorder="1" applyAlignment="1">
      <alignment horizontal="center" wrapText="1"/>
    </xf>
    <xf numFmtId="0" fontId="17" fillId="0" borderId="4" xfId="31" applyBorder="1" applyAlignment="1">
      <alignment horizontal="center" wrapText="1"/>
    </xf>
    <xf numFmtId="0" fontId="8" fillId="4" borderId="4" xfId="10" applyFont="1" applyFill="1" applyBorder="1" applyAlignment="1">
      <alignment horizontal="center" wrapText="1"/>
    </xf>
    <xf numFmtId="0" fontId="26" fillId="0" borderId="4" xfId="10" applyFont="1" applyBorder="1" applyAlignment="1">
      <alignment horizontal="center" wrapText="1"/>
    </xf>
    <xf numFmtId="0" fontId="8" fillId="4" borderId="5" xfId="31" applyFont="1" applyFill="1" applyBorder="1" applyAlignment="1">
      <alignment horizontal="center" vertical="center" wrapText="1"/>
    </xf>
    <xf numFmtId="0" fontId="8" fillId="4" borderId="3" xfId="31" applyFont="1" applyFill="1" applyBorder="1" applyAlignment="1">
      <alignment horizontal="center" vertical="center" wrapText="1"/>
    </xf>
    <xf numFmtId="0" fontId="8" fillId="4" borderId="8" xfId="31" applyFont="1" applyFill="1" applyBorder="1" applyAlignment="1">
      <alignment horizontal="center" vertical="center" wrapText="1"/>
    </xf>
    <xf numFmtId="0" fontId="7" fillId="6" borderId="0" xfId="68" applyFont="1" applyFill="1" applyAlignment="1">
      <alignment horizontal="left" vertical="center"/>
    </xf>
    <xf numFmtId="0" fontId="8" fillId="4" borderId="5" xfId="10" applyFont="1" applyFill="1" applyBorder="1" applyAlignment="1">
      <alignment horizontal="center" vertical="center" wrapText="1"/>
    </xf>
    <xf numFmtId="0" fontId="8" fillId="4" borderId="3" xfId="10" applyFont="1" applyFill="1" applyBorder="1" applyAlignment="1">
      <alignment horizontal="center" vertical="center" wrapText="1"/>
    </xf>
    <xf numFmtId="0" fontId="8" fillId="4" borderId="8" xfId="10" applyFont="1" applyFill="1" applyBorder="1" applyAlignment="1">
      <alignment horizontal="center" vertical="center" wrapText="1"/>
    </xf>
    <xf numFmtId="174" fontId="7" fillId="5" borderId="0" xfId="69" applyNumberFormat="1" applyFont="1" applyFill="1" applyBorder="1" applyAlignment="1">
      <alignment horizontal="left" vertical="top" wrapText="1"/>
    </xf>
    <xf numFmtId="174" fontId="8" fillId="7" borderId="5" xfId="69" applyNumberFormat="1" applyFont="1" applyFill="1" applyBorder="1" applyAlignment="1">
      <alignment horizontal="center" vertical="center" wrapText="1"/>
    </xf>
    <xf numFmtId="174" fontId="8" fillId="7" borderId="3" xfId="69" applyNumberFormat="1" applyFont="1" applyFill="1" applyBorder="1" applyAlignment="1">
      <alignment horizontal="center" vertical="center" wrapText="1"/>
    </xf>
    <xf numFmtId="174" fontId="8" fillId="7" borderId="8" xfId="69" applyNumberFormat="1" applyFont="1" applyFill="1" applyBorder="1" applyAlignment="1">
      <alignment horizontal="center" vertical="center" wrapText="1"/>
    </xf>
    <xf numFmtId="0" fontId="8" fillId="4" borderId="4" xfId="14" applyNumberFormat="1" applyFont="1" applyFill="1" applyBorder="1" applyAlignment="1">
      <alignment horizontal="center" vertical="center" wrapText="1"/>
    </xf>
    <xf numFmtId="174" fontId="8" fillId="4" borderId="7" xfId="69" applyNumberFormat="1" applyFont="1" applyFill="1" applyBorder="1" applyAlignment="1">
      <alignment horizontal="center" vertical="center" wrapText="1"/>
    </xf>
    <xf numFmtId="174" fontId="8" fillId="4" borderId="10" xfId="69" applyNumberFormat="1" applyFont="1" applyFill="1" applyBorder="1" applyAlignment="1">
      <alignment horizontal="center" vertical="center" wrapText="1"/>
    </xf>
    <xf numFmtId="174" fontId="8" fillId="4" borderId="6" xfId="69" applyNumberFormat="1" applyFont="1" applyFill="1" applyBorder="1" applyAlignment="1">
      <alignment horizontal="center" vertical="center" wrapText="1"/>
    </xf>
    <xf numFmtId="0" fontId="8" fillId="4" borderId="7" xfId="14" applyNumberFormat="1" applyFont="1" applyFill="1" applyBorder="1" applyAlignment="1">
      <alignment horizontal="center" vertical="center" wrapText="1"/>
    </xf>
    <xf numFmtId="0" fontId="8" fillId="4" borderId="10" xfId="14" applyNumberFormat="1" applyFont="1" applyFill="1" applyBorder="1" applyAlignment="1">
      <alignment horizontal="center" vertical="center" wrapText="1"/>
    </xf>
    <xf numFmtId="0" fontId="8" fillId="4" borderId="6" xfId="14" applyNumberFormat="1" applyFont="1" applyFill="1" applyBorder="1" applyAlignment="1">
      <alignment horizontal="center" vertical="center" wrapText="1"/>
    </xf>
    <xf numFmtId="174" fontId="8" fillId="4" borderId="4" xfId="69" applyNumberFormat="1" applyFont="1" applyFill="1" applyBorder="1" applyAlignment="1">
      <alignment horizontal="center" vertical="center" wrapText="1"/>
    </xf>
    <xf numFmtId="0" fontId="7" fillId="0" borderId="0" xfId="14" applyFont="1" applyAlignment="1">
      <alignment horizontal="left" vertical="center" wrapText="1"/>
    </xf>
    <xf numFmtId="0" fontId="12" fillId="0" borderId="0" xfId="14" applyFont="1" applyAlignment="1">
      <alignment horizontal="center" vertical="center" wrapText="1"/>
    </xf>
    <xf numFmtId="0" fontId="8" fillId="4" borderId="7" xfId="14" applyFont="1" applyFill="1" applyBorder="1" applyAlignment="1">
      <alignment horizontal="center" vertical="center"/>
    </xf>
    <xf numFmtId="0" fontId="8" fillId="4" borderId="6" xfId="14" applyFont="1" applyFill="1" applyBorder="1" applyAlignment="1">
      <alignment horizontal="center" vertical="center"/>
    </xf>
    <xf numFmtId="0" fontId="12" fillId="4" borderId="5" xfId="14" applyFont="1" applyFill="1" applyBorder="1" applyAlignment="1">
      <alignment horizontal="center" vertical="center" wrapText="1"/>
    </xf>
    <xf numFmtId="0" fontId="12" fillId="4" borderId="3"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7" fillId="0" borderId="0" xfId="10" applyFill="1" applyAlignment="1">
      <alignment horizontal="center" vertical="center"/>
    </xf>
    <xf numFmtId="0" fontId="8" fillId="4" borderId="4" xfId="10" applyFont="1" applyFill="1" applyBorder="1" applyAlignment="1">
      <alignment horizontal="center"/>
    </xf>
    <xf numFmtId="0" fontId="10" fillId="4" borderId="4" xfId="14" applyFont="1" applyFill="1" applyBorder="1" applyAlignment="1">
      <alignment horizontal="center" vertical="center"/>
    </xf>
    <xf numFmtId="0" fontId="8" fillId="4" borderId="4" xfId="10" applyFont="1" applyFill="1" applyBorder="1" applyAlignment="1">
      <alignment horizontal="center" vertical="top" wrapText="1"/>
    </xf>
    <xf numFmtId="0" fontId="17" fillId="0" borderId="4" xfId="10" applyBorder="1"/>
    <xf numFmtId="0" fontId="8" fillId="0" borderId="0" xfId="10" applyFont="1" applyBorder="1" applyAlignment="1">
      <alignment horizontal="center" vertical="top"/>
    </xf>
    <xf numFmtId="0" fontId="9" fillId="0" borderId="0" xfId="10" applyFont="1" applyAlignment="1">
      <alignment horizontal="center" vertical="center"/>
    </xf>
    <xf numFmtId="0" fontId="9" fillId="6" borderId="0" xfId="10" applyFont="1" applyFill="1" applyAlignment="1">
      <alignment horizontal="center" vertical="center"/>
    </xf>
    <xf numFmtId="0" fontId="9" fillId="7" borderId="4" xfId="10" applyFont="1" applyFill="1" applyBorder="1" applyAlignment="1">
      <alignment horizontal="center" vertical="center" wrapText="1"/>
    </xf>
    <xf numFmtId="0" fontId="8" fillId="0" borderId="0" xfId="10" applyFont="1" applyAlignment="1">
      <alignment horizontal="center" vertical="center" wrapText="1"/>
    </xf>
    <xf numFmtId="0" fontId="91" fillId="0" borderId="0" xfId="14" applyFont="1" applyAlignment="1">
      <alignment horizontal="left" vertical="center" wrapText="1"/>
    </xf>
    <xf numFmtId="0" fontId="8" fillId="0" borderId="0" xfId="10" applyFont="1" applyBorder="1" applyAlignment="1">
      <alignment horizontal="center" vertical="center" wrapText="1"/>
    </xf>
    <xf numFmtId="0" fontId="8" fillId="4" borderId="7" xfId="35" applyFont="1" applyFill="1" applyBorder="1" applyAlignment="1">
      <alignment horizontal="left" vertical="center" wrapText="1"/>
    </xf>
    <xf numFmtId="0" fontId="8" fillId="4" borderId="10" xfId="35" applyFont="1" applyFill="1" applyBorder="1" applyAlignment="1">
      <alignment horizontal="left" vertical="center" wrapText="1"/>
    </xf>
    <xf numFmtId="0" fontId="7" fillId="0" borderId="10" xfId="71" applyFont="1" applyBorder="1" applyAlignment="1">
      <alignment horizontal="left" vertical="center" wrapText="1"/>
    </xf>
    <xf numFmtId="0" fontId="7" fillId="0" borderId="6" xfId="71" applyFont="1" applyBorder="1" applyAlignment="1">
      <alignment horizontal="left" vertical="center" wrapText="1"/>
    </xf>
    <xf numFmtId="0" fontId="8" fillId="4" borderId="6" xfId="35" applyFont="1" applyFill="1" applyBorder="1" applyAlignment="1">
      <alignment horizontal="left" vertical="center" wrapText="1"/>
    </xf>
    <xf numFmtId="0" fontId="8" fillId="4" borderId="5" xfId="35" applyFont="1" applyFill="1" applyBorder="1" applyAlignment="1">
      <alignment horizontal="center" vertical="center"/>
    </xf>
    <xf numFmtId="0" fontId="8" fillId="4" borderId="3" xfId="35" applyFont="1" applyFill="1" applyBorder="1" applyAlignment="1">
      <alignment horizontal="center" vertical="center"/>
    </xf>
    <xf numFmtId="0" fontId="8" fillId="4" borderId="8" xfId="35" applyFont="1" applyFill="1" applyBorder="1" applyAlignment="1">
      <alignment horizontal="center" vertical="center"/>
    </xf>
    <xf numFmtId="2" fontId="8" fillId="4" borderId="7" xfId="35" applyNumberFormat="1" applyFont="1" applyFill="1" applyBorder="1" applyAlignment="1">
      <alignment horizontal="center" vertical="top"/>
    </xf>
    <xf numFmtId="2" fontId="8" fillId="4" borderId="10" xfId="35" applyNumberFormat="1" applyFont="1" applyFill="1" applyBorder="1" applyAlignment="1">
      <alignment horizontal="center" vertical="top"/>
    </xf>
    <xf numFmtId="2" fontId="8" fillId="4" borderId="6" xfId="35" applyNumberFormat="1" applyFont="1" applyFill="1" applyBorder="1" applyAlignment="1">
      <alignment horizontal="center" vertical="top"/>
    </xf>
    <xf numFmtId="0" fontId="8" fillId="4" borderId="7" xfId="35" applyFont="1" applyFill="1" applyBorder="1" applyAlignment="1">
      <alignment horizontal="center" vertical="top" wrapText="1"/>
    </xf>
    <xf numFmtId="0" fontId="8" fillId="4" borderId="10" xfId="35" applyFont="1" applyFill="1" applyBorder="1" applyAlignment="1">
      <alignment horizontal="center" vertical="top" wrapText="1"/>
    </xf>
    <xf numFmtId="0" fontId="8" fillId="4" borderId="6" xfId="35" applyFont="1" applyFill="1" applyBorder="1" applyAlignment="1">
      <alignment horizontal="center" vertical="top" wrapText="1"/>
    </xf>
    <xf numFmtId="0" fontId="8" fillId="4" borderId="4" xfId="35" applyFont="1" applyFill="1" applyBorder="1" applyAlignment="1">
      <alignment horizontal="center" vertical="center" wrapText="1"/>
    </xf>
    <xf numFmtId="0" fontId="8" fillId="4" borderId="5" xfId="10" applyFont="1" applyFill="1" applyBorder="1" applyAlignment="1">
      <alignment horizontal="center" vertical="top" wrapText="1"/>
    </xf>
    <xf numFmtId="0" fontId="8" fillId="4" borderId="3" xfId="10" applyFont="1" applyFill="1" applyBorder="1" applyAlignment="1">
      <alignment horizontal="center" vertical="top" wrapText="1"/>
    </xf>
    <xf numFmtId="0" fontId="8" fillId="4" borderId="8" xfId="10" applyFont="1" applyFill="1" applyBorder="1" applyAlignment="1">
      <alignment horizontal="center" vertical="top" wrapText="1"/>
    </xf>
    <xf numFmtId="0" fontId="60" fillId="11" borderId="7" xfId="76" applyFont="1" applyFill="1" applyBorder="1" applyAlignment="1">
      <alignment horizontal="center" vertical="center" wrapText="1"/>
    </xf>
    <xf numFmtId="0" fontId="60" fillId="11" borderId="6" xfId="76" applyFont="1" applyFill="1" applyBorder="1" applyAlignment="1">
      <alignment horizontal="center" vertical="center" wrapText="1"/>
    </xf>
    <xf numFmtId="0" fontId="61" fillId="11" borderId="5" xfId="76" applyFont="1" applyFill="1" applyBorder="1" applyAlignment="1">
      <alignment horizontal="center"/>
    </xf>
    <xf numFmtId="0" fontId="61" fillId="11" borderId="3" xfId="76" applyFont="1" applyFill="1" applyBorder="1" applyAlignment="1">
      <alignment horizontal="center"/>
    </xf>
    <xf numFmtId="0" fontId="61" fillId="11" borderId="8" xfId="76" applyFont="1" applyFill="1" applyBorder="1" applyAlignment="1">
      <alignment horizontal="center"/>
    </xf>
    <xf numFmtId="0" fontId="8" fillId="0" borderId="0" xfId="10" applyFont="1" applyAlignment="1">
      <alignment horizontal="center" vertical="center"/>
    </xf>
    <xf numFmtId="0" fontId="8" fillId="6" borderId="0" xfId="10" applyFont="1" applyFill="1" applyAlignment="1">
      <alignment horizontal="center" vertical="center"/>
    </xf>
    <xf numFmtId="0" fontId="60" fillId="11" borderId="7" xfId="76" applyFont="1" applyFill="1" applyBorder="1" applyAlignment="1">
      <alignment horizontal="center" vertical="center"/>
    </xf>
    <xf numFmtId="0" fontId="60" fillId="11" borderId="6" xfId="76" applyFont="1" applyFill="1" applyBorder="1" applyAlignment="1">
      <alignment horizontal="center" vertical="center"/>
    </xf>
    <xf numFmtId="0" fontId="38" fillId="0" borderId="0" xfId="14" applyFont="1" applyAlignment="1">
      <alignment horizontal="left" vertical="center"/>
    </xf>
    <xf numFmtId="0" fontId="7" fillId="0" borderId="7" xfId="14" applyFont="1" applyBorder="1" applyAlignment="1">
      <alignment horizontal="center" vertical="center"/>
    </xf>
    <xf numFmtId="0" fontId="7" fillId="0" borderId="10" xfId="14" applyFont="1" applyBorder="1" applyAlignment="1">
      <alignment horizontal="center" vertical="center"/>
    </xf>
    <xf numFmtId="0" fontId="7"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31" fillId="0" borderId="9" xfId="19" applyFont="1" applyFill="1" applyBorder="1" applyAlignment="1">
      <alignment horizontal="center" vertical="center"/>
    </xf>
    <xf numFmtId="0" fontId="31" fillId="0" borderId="11" xfId="19" applyFont="1" applyFill="1" applyBorder="1" applyAlignment="1">
      <alignment horizontal="center" vertical="center"/>
    </xf>
    <xf numFmtId="0" fontId="31" fillId="0" borderId="13" xfId="19" applyFont="1" applyFill="1" applyBorder="1" applyAlignment="1">
      <alignment horizontal="center" vertical="center"/>
    </xf>
    <xf numFmtId="0" fontId="31" fillId="0" borderId="12" xfId="19" applyFont="1" applyFill="1" applyBorder="1" applyAlignment="1">
      <alignment horizontal="center" vertical="center"/>
    </xf>
    <xf numFmtId="0" fontId="31" fillId="0" borderId="0" xfId="19" applyFont="1" applyFill="1" applyBorder="1" applyAlignment="1">
      <alignment horizontal="center" vertical="center"/>
    </xf>
    <xf numFmtId="0" fontId="31" fillId="0" borderId="14" xfId="19" applyFont="1" applyFill="1" applyBorder="1" applyAlignment="1">
      <alignment horizontal="center" vertical="center"/>
    </xf>
    <xf numFmtId="0" fontId="31" fillId="0" borderId="15" xfId="19" applyFont="1" applyFill="1" applyBorder="1" applyAlignment="1">
      <alignment horizontal="center" vertical="center"/>
    </xf>
    <xf numFmtId="0" fontId="31" fillId="0" borderId="16" xfId="19" applyFont="1" applyFill="1" applyBorder="1" applyAlignment="1">
      <alignment horizontal="center" vertical="center"/>
    </xf>
    <xf numFmtId="0" fontId="31" fillId="0" borderId="17" xfId="19" applyFont="1" applyFill="1" applyBorder="1" applyAlignment="1">
      <alignment horizontal="center" vertical="center"/>
    </xf>
    <xf numFmtId="0" fontId="8" fillId="7" borderId="7" xfId="68" applyFont="1" applyFill="1" applyBorder="1" applyAlignment="1">
      <alignment horizontal="center" vertical="center"/>
    </xf>
    <xf numFmtId="0" fontId="8" fillId="7" borderId="6" xfId="68" applyFont="1" applyFill="1" applyBorder="1" applyAlignment="1">
      <alignment horizontal="center" vertical="center"/>
    </xf>
    <xf numFmtId="0" fontId="8" fillId="7" borderId="5" xfId="31" applyFont="1" applyFill="1" applyBorder="1" applyAlignment="1">
      <alignment horizontal="center" vertical="center" wrapText="1"/>
    </xf>
    <xf numFmtId="0" fontId="8" fillId="7" borderId="3" xfId="31" applyFont="1" applyFill="1" applyBorder="1" applyAlignment="1">
      <alignment horizontal="center" vertical="center" wrapText="1"/>
    </xf>
    <xf numFmtId="0" fontId="8" fillId="7" borderId="8" xfId="31" applyFont="1" applyFill="1" applyBorder="1" applyAlignment="1">
      <alignment horizontal="center" vertical="center" wrapText="1"/>
    </xf>
    <xf numFmtId="0" fontId="8" fillId="7" borderId="4" xfId="31" applyFont="1" applyFill="1" applyBorder="1" applyAlignment="1">
      <alignment horizontal="center" vertical="center" wrapText="1"/>
    </xf>
  </cellXfs>
  <cellStyles count="88">
    <cellStyle name="Body" xfId="1" xr:uid="{00000000-0005-0000-0000-000000000000}"/>
    <cellStyle name="Comma" xfId="69" builtinId="3"/>
    <cellStyle name="Comma  - Style1" xfId="2" xr:uid="{00000000-0005-0000-0000-000002000000}"/>
    <cellStyle name="Comma 10" xfId="73" xr:uid="{00000000-0005-0000-0000-000003000000}"/>
    <cellStyle name="Comma 11" xfId="83" xr:uid="{00000000-0005-0000-0000-000004000000}"/>
    <cellStyle name="Comma 11 2" xfId="20" xr:uid="{00000000-0005-0000-0000-000005000000}"/>
    <cellStyle name="Comma 11 2 2" xfId="87" xr:uid="{00000000-0005-0000-0000-000006000000}"/>
    <cellStyle name="Comma 2" xfId="25" xr:uid="{00000000-0005-0000-0000-000007000000}"/>
    <cellStyle name="Comma 2 2" xfId="26" xr:uid="{00000000-0005-0000-0000-000008000000}"/>
    <cellStyle name="Comma 2 2 2" xfId="64" xr:uid="{00000000-0005-0000-0000-000009000000}"/>
    <cellStyle name="Comma 2 3" xfId="27" xr:uid="{00000000-0005-0000-0000-00000A000000}"/>
    <cellStyle name="Comma 2 4" xfId="57" xr:uid="{00000000-0005-0000-0000-00000B000000}"/>
    <cellStyle name="Comma 3" xfId="28" xr:uid="{00000000-0005-0000-0000-00000C000000}"/>
    <cellStyle name="Comma 3 2" xfId="63" xr:uid="{00000000-0005-0000-0000-00000D000000}"/>
    <cellStyle name="Comma 3 2 3" xfId="77" xr:uid="{00000000-0005-0000-0000-00000E000000}"/>
    <cellStyle name="Comma 4" xfId="29" xr:uid="{00000000-0005-0000-0000-00000F000000}"/>
    <cellStyle name="Comma 4 2" xfId="65" xr:uid="{00000000-0005-0000-0000-000010000000}"/>
    <cellStyle name="Comma 4 2 3" xfId="78" xr:uid="{00000000-0005-0000-0000-000011000000}"/>
    <cellStyle name="Comma 5" xfId="30" xr:uid="{00000000-0005-0000-0000-000012000000}"/>
    <cellStyle name="Comma 6" xfId="49" xr:uid="{00000000-0005-0000-0000-000013000000}"/>
    <cellStyle name="Comma 6 2" xfId="50" xr:uid="{00000000-0005-0000-0000-000014000000}"/>
    <cellStyle name="Comma 6 3" xfId="51" xr:uid="{00000000-0005-0000-0000-000015000000}"/>
    <cellStyle name="Comma 6 4" xfId="52" xr:uid="{00000000-0005-0000-0000-000016000000}"/>
    <cellStyle name="Comma 6 5" xfId="81" xr:uid="{00000000-0005-0000-0000-000017000000}"/>
    <cellStyle name="Comma 7" xfId="22" xr:uid="{00000000-0005-0000-0000-000018000000}"/>
    <cellStyle name="Comma 8" xfId="66" xr:uid="{00000000-0005-0000-0000-000019000000}"/>
    <cellStyle name="Comma 8 3" xfId="79" xr:uid="{00000000-0005-0000-0000-00001A000000}"/>
    <cellStyle name="Comma 9" xfId="72" xr:uid="{00000000-0005-0000-0000-00001B000000}"/>
    <cellStyle name="Curren - Style2" xfId="3" xr:uid="{00000000-0005-0000-0000-00001C000000}"/>
    <cellStyle name="Grey" xfId="4" xr:uid="{00000000-0005-0000-0000-00001D000000}"/>
    <cellStyle name="Header1" xfId="5" xr:uid="{00000000-0005-0000-0000-00001E000000}"/>
    <cellStyle name="Header2" xfId="6" xr:uid="{00000000-0005-0000-0000-00001F000000}"/>
    <cellStyle name="Input [yellow]" xfId="7" xr:uid="{00000000-0005-0000-0000-000020000000}"/>
    <cellStyle name="no dec" xfId="8" xr:uid="{00000000-0005-0000-0000-000021000000}"/>
    <cellStyle name="Normal" xfId="0" builtinId="0"/>
    <cellStyle name="Normal - Style1" xfId="9" xr:uid="{00000000-0005-0000-0000-000023000000}"/>
    <cellStyle name="Normal 10" xfId="74" xr:uid="{00000000-0005-0000-0000-000024000000}"/>
    <cellStyle name="Normal 11" xfId="84" xr:uid="{00000000-0005-0000-0000-000025000000}"/>
    <cellStyle name="Normal 142" xfId="71" xr:uid="{00000000-0005-0000-0000-000026000000}"/>
    <cellStyle name="Normal 15" xfId="19" xr:uid="{00000000-0005-0000-0000-000027000000}"/>
    <cellStyle name="Normal 15 2" xfId="86" xr:uid="{00000000-0005-0000-0000-000028000000}"/>
    <cellStyle name="Normal 18" xfId="62" xr:uid="{00000000-0005-0000-0000-000029000000}"/>
    <cellStyle name="Normal 18 3" xfId="76" xr:uid="{00000000-0005-0000-0000-00002A000000}"/>
    <cellStyle name="Normal 2" xfId="10" xr:uid="{00000000-0005-0000-0000-00002B000000}"/>
    <cellStyle name="Normal 2 2" xfId="11" xr:uid="{00000000-0005-0000-0000-00002C000000}"/>
    <cellStyle name="Normal 2 2 2" xfId="31" xr:uid="{00000000-0005-0000-0000-00002D000000}"/>
    <cellStyle name="Normal 2 2 2 2" xfId="58" xr:uid="{00000000-0005-0000-0000-00002E000000}"/>
    <cellStyle name="Normal 2 2_Working APR 2007-08 Mahagenco_Bhushan_1.3" xfId="32" xr:uid="{00000000-0005-0000-0000-00002F000000}"/>
    <cellStyle name="Normal 2 3" xfId="12" xr:uid="{00000000-0005-0000-0000-000030000000}"/>
    <cellStyle name="Normal 2 4" xfId="53" xr:uid="{00000000-0005-0000-0000-000031000000}"/>
    <cellStyle name="Normal 2_ARR FINAL" xfId="33" xr:uid="{00000000-0005-0000-0000-000032000000}"/>
    <cellStyle name="Normal 3" xfId="13" xr:uid="{00000000-0005-0000-0000-000033000000}"/>
    <cellStyle name="Normal 3 2" xfId="34" xr:uid="{00000000-0005-0000-0000-000034000000}"/>
    <cellStyle name="Normal 3 2 2" xfId="59" xr:uid="{00000000-0005-0000-0000-000035000000}"/>
    <cellStyle name="Normal 39" xfId="23" xr:uid="{00000000-0005-0000-0000-000036000000}"/>
    <cellStyle name="Normal 4" xfId="35" xr:uid="{00000000-0005-0000-0000-000037000000}"/>
    <cellStyle name="Normal 4 2" xfId="60" xr:uid="{00000000-0005-0000-0000-000038000000}"/>
    <cellStyle name="Normal 5" xfId="36" xr:uid="{00000000-0005-0000-0000-000039000000}"/>
    <cellStyle name="Normal 5 2" xfId="37" xr:uid="{00000000-0005-0000-0000-00003A000000}"/>
    <cellStyle name="Normal 6" xfId="38" xr:uid="{00000000-0005-0000-0000-00003B000000}"/>
    <cellStyle name="Normal 7" xfId="39" xr:uid="{00000000-0005-0000-0000-00003C000000}"/>
    <cellStyle name="Normal 8" xfId="54" xr:uid="{00000000-0005-0000-0000-00003D000000}"/>
    <cellStyle name="Normal 9" xfId="55" xr:uid="{00000000-0005-0000-0000-00003E000000}"/>
    <cellStyle name="Normal_FORMATS 5 YEAR ALOKE 2" xfId="14" xr:uid="{00000000-0005-0000-0000-00003F000000}"/>
    <cellStyle name="Normal_FORMATS 5 YEAR ALOKE 2 2" xfId="68" xr:uid="{00000000-0005-0000-0000-000040000000}"/>
    <cellStyle name="Normal_FORMATS 5 YEAR ALOKE 3 2" xfId="15" xr:uid="{00000000-0005-0000-0000-000041000000}"/>
    <cellStyle name="Normal_Sheet1" xfId="80" xr:uid="{00000000-0005-0000-0000-000042000000}"/>
    <cellStyle name="Percent" xfId="70" builtinId="5"/>
    <cellStyle name="Percent [0]_#6 Temps &amp; Contractors" xfId="16" xr:uid="{00000000-0005-0000-0000-000044000000}"/>
    <cellStyle name="Percent [2]" xfId="17" xr:uid="{00000000-0005-0000-0000-000045000000}"/>
    <cellStyle name="Percent 12 10" xfId="82" xr:uid="{00000000-0005-0000-0000-000046000000}"/>
    <cellStyle name="Percent 2" xfId="40" xr:uid="{00000000-0005-0000-0000-000047000000}"/>
    <cellStyle name="Percent 2 2" xfId="41" xr:uid="{00000000-0005-0000-0000-000048000000}"/>
    <cellStyle name="Percent 2 3" xfId="61" xr:uid="{00000000-0005-0000-0000-000049000000}"/>
    <cellStyle name="Percent 3" xfId="42" xr:uid="{00000000-0005-0000-0000-00004A000000}"/>
    <cellStyle name="Percent 3 2" xfId="43" xr:uid="{00000000-0005-0000-0000-00004B000000}"/>
    <cellStyle name="Percent 4" xfId="24" xr:uid="{00000000-0005-0000-0000-00004C000000}"/>
    <cellStyle name="Percent 41" xfId="21" xr:uid="{00000000-0005-0000-0000-00004D000000}"/>
    <cellStyle name="Percent 5" xfId="44" xr:uid="{00000000-0005-0000-0000-00004E000000}"/>
    <cellStyle name="Percent 5 2" xfId="45" xr:uid="{00000000-0005-0000-0000-00004F000000}"/>
    <cellStyle name="Percent 5 3" xfId="46" xr:uid="{00000000-0005-0000-0000-000050000000}"/>
    <cellStyle name="Percent 6" xfId="47" xr:uid="{00000000-0005-0000-0000-000051000000}"/>
    <cellStyle name="Percent 6 2" xfId="48" xr:uid="{00000000-0005-0000-0000-000052000000}"/>
    <cellStyle name="Percent 7" xfId="67" xr:uid="{00000000-0005-0000-0000-000053000000}"/>
    <cellStyle name="Percent 8" xfId="75" xr:uid="{00000000-0005-0000-0000-000054000000}"/>
    <cellStyle name="Percent 9" xfId="85" xr:uid="{00000000-0005-0000-0000-000055000000}"/>
    <cellStyle name="Style 1" xfId="18" xr:uid="{00000000-0005-0000-0000-000056000000}"/>
    <cellStyle name="Style 2" xfId="56" xr:uid="{00000000-0005-0000-0000-000057000000}"/>
  </cellStyles>
  <dxfs count="163">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0.34998626667073579"/>
        </patternFill>
      </fill>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5" Type="http://schemas.openxmlformats.org/officeDocument/2006/relationships/worksheet" Target="worksheets/sheet5.xml"/><Relationship Id="rId61"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D1">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view="pageBreakPreview" topLeftCell="A45" zoomScale="80" zoomScaleNormal="80" zoomScaleSheetLayoutView="80" workbookViewId="0">
      <selection activeCell="G18" sqref="G18"/>
    </sheetView>
  </sheetViews>
  <sheetFormatPr defaultColWidth="9.36328125" defaultRowHeight="14"/>
  <cols>
    <col min="1" max="1" width="6.36328125" style="14" customWidth="1"/>
    <col min="2" max="2" width="9.36328125" style="14" customWidth="1"/>
    <col min="3" max="3" width="75.6328125" style="14" customWidth="1"/>
    <col min="4" max="4" width="17.6328125" style="14" customWidth="1"/>
    <col min="5" max="5" width="20.6328125" style="14" customWidth="1"/>
    <col min="6" max="14" width="18.6328125" style="14" customWidth="1"/>
    <col min="15" max="16384" width="9.36328125" style="14"/>
  </cols>
  <sheetData>
    <row r="2" spans="2:14" ht="17.5">
      <c r="B2" s="1666" t="s">
        <v>745</v>
      </c>
      <c r="C2" s="1667"/>
      <c r="D2" s="1667"/>
      <c r="E2" s="30"/>
      <c r="F2" s="30"/>
      <c r="G2" s="30"/>
      <c r="H2" s="30"/>
      <c r="I2" s="30"/>
      <c r="J2" s="30"/>
      <c r="K2" s="30"/>
      <c r="L2" s="30"/>
      <c r="M2" s="30"/>
      <c r="N2" s="30"/>
    </row>
    <row r="3" spans="2:14" s="5" customFormat="1" ht="15.5" customHeight="1">
      <c r="B3" s="1668" t="s">
        <v>1356</v>
      </c>
      <c r="C3" s="1669"/>
      <c r="D3" s="1669"/>
      <c r="E3" s="30"/>
      <c r="F3" s="30"/>
      <c r="G3" s="30"/>
      <c r="H3" s="30"/>
      <c r="I3" s="30"/>
      <c r="J3" s="30"/>
      <c r="K3" s="30"/>
      <c r="L3" s="30"/>
      <c r="M3" s="30"/>
      <c r="N3" s="30"/>
    </row>
    <row r="4" spans="2:14" ht="15.5">
      <c r="B4" s="31"/>
      <c r="C4" s="31"/>
      <c r="D4" s="31"/>
      <c r="E4" s="31"/>
      <c r="F4" s="31"/>
      <c r="G4" s="31"/>
      <c r="H4" s="31"/>
      <c r="I4" s="31"/>
      <c r="J4" s="31"/>
      <c r="K4" s="31"/>
      <c r="L4" s="31"/>
      <c r="M4" s="31"/>
      <c r="N4" s="31"/>
    </row>
    <row r="5" spans="2:14" ht="15.5">
      <c r="B5" s="31"/>
      <c r="C5" s="31"/>
      <c r="D5" s="31"/>
      <c r="E5" s="31"/>
      <c r="F5" s="31"/>
      <c r="G5" s="31"/>
      <c r="H5" s="31"/>
      <c r="I5" s="31"/>
      <c r="J5" s="31"/>
      <c r="K5" s="31"/>
      <c r="L5" s="31"/>
      <c r="M5" s="32"/>
      <c r="N5" s="31"/>
    </row>
    <row r="6" spans="2:14">
      <c r="B6" s="1670" t="s">
        <v>341</v>
      </c>
      <c r="C6" s="1673" t="s">
        <v>15</v>
      </c>
      <c r="D6" s="1673" t="s">
        <v>5</v>
      </c>
    </row>
    <row r="7" spans="2:14">
      <c r="B7" s="1671"/>
      <c r="C7" s="1673"/>
      <c r="D7" s="1673"/>
    </row>
    <row r="8" spans="2:14">
      <c r="B8" s="1672"/>
      <c r="C8" s="1674"/>
      <c r="D8" s="1674"/>
    </row>
    <row r="9" spans="2:14" ht="15.5">
      <c r="B9" s="122">
        <v>1</v>
      </c>
      <c r="C9" s="121" t="s">
        <v>53</v>
      </c>
      <c r="D9" s="1041" t="s">
        <v>13</v>
      </c>
    </row>
    <row r="10" spans="2:14" ht="15.5">
      <c r="B10" s="122">
        <f>B9+1</f>
        <v>2</v>
      </c>
      <c r="C10" s="121" t="s">
        <v>371</v>
      </c>
      <c r="D10" s="1041" t="s">
        <v>372</v>
      </c>
    </row>
    <row r="11" spans="2:14" ht="15.5">
      <c r="B11" s="122">
        <f>B10+1</f>
        <v>3</v>
      </c>
      <c r="C11" s="121" t="s">
        <v>390</v>
      </c>
      <c r="D11" s="1041" t="s">
        <v>55</v>
      </c>
    </row>
    <row r="12" spans="2:14" ht="15.5">
      <c r="B12" s="122">
        <f>B11+1</f>
        <v>4</v>
      </c>
      <c r="C12" s="121" t="s">
        <v>54</v>
      </c>
      <c r="D12" s="1041" t="s">
        <v>56</v>
      </c>
    </row>
    <row r="13" spans="2:14" ht="15.5">
      <c r="B13" s="122">
        <f>B12+1</f>
        <v>5</v>
      </c>
      <c r="C13" s="121" t="s">
        <v>310</v>
      </c>
      <c r="D13" s="1041" t="s">
        <v>58</v>
      </c>
    </row>
    <row r="14" spans="2:14" ht="15.5">
      <c r="B14" s="122">
        <f t="shared" ref="B14:B41" si="0">B13+1</f>
        <v>6</v>
      </c>
      <c r="C14" s="121" t="s">
        <v>57</v>
      </c>
      <c r="D14" s="1041" t="s">
        <v>60</v>
      </c>
    </row>
    <row r="15" spans="2:14" ht="15.5">
      <c r="B15" s="122">
        <f t="shared" si="0"/>
        <v>7</v>
      </c>
      <c r="C15" s="121" t="s">
        <v>59</v>
      </c>
      <c r="D15" s="1041" t="s">
        <v>62</v>
      </c>
    </row>
    <row r="16" spans="2:14" ht="15.5">
      <c r="B16" s="122">
        <f t="shared" si="0"/>
        <v>8</v>
      </c>
      <c r="C16" s="123" t="s">
        <v>357</v>
      </c>
      <c r="D16" s="1041" t="s">
        <v>64</v>
      </c>
    </row>
    <row r="17" spans="2:4" ht="15.5">
      <c r="B17" s="122">
        <f t="shared" si="0"/>
        <v>9</v>
      </c>
      <c r="C17" s="123" t="s">
        <v>61</v>
      </c>
      <c r="D17" s="1041" t="s">
        <v>356</v>
      </c>
    </row>
    <row r="18" spans="2:4" ht="15.5">
      <c r="B18" s="122">
        <f t="shared" si="0"/>
        <v>10</v>
      </c>
      <c r="C18" s="121" t="s">
        <v>63</v>
      </c>
      <c r="D18" s="1041" t="s">
        <v>389</v>
      </c>
    </row>
    <row r="19" spans="2:4" ht="15.5">
      <c r="B19" s="122">
        <f t="shared" si="0"/>
        <v>11</v>
      </c>
      <c r="C19" s="123" t="s">
        <v>65</v>
      </c>
      <c r="D19" s="1041" t="s">
        <v>40</v>
      </c>
    </row>
    <row r="20" spans="2:4" ht="15.5">
      <c r="B20" s="122">
        <f t="shared" si="0"/>
        <v>12</v>
      </c>
      <c r="C20" s="123" t="s">
        <v>619</v>
      </c>
      <c r="D20" s="1041" t="s">
        <v>66</v>
      </c>
    </row>
    <row r="21" spans="2:4" ht="15.5">
      <c r="B21" s="122">
        <f t="shared" si="0"/>
        <v>13</v>
      </c>
      <c r="C21" s="123" t="s">
        <v>179</v>
      </c>
      <c r="D21" s="1041" t="s">
        <v>67</v>
      </c>
    </row>
    <row r="22" spans="2:4" ht="15.5">
      <c r="B22" s="122">
        <f t="shared" si="0"/>
        <v>14</v>
      </c>
      <c r="C22" s="123" t="s">
        <v>617</v>
      </c>
      <c r="D22" s="1041" t="s">
        <v>68</v>
      </c>
    </row>
    <row r="23" spans="2:4" ht="15.5">
      <c r="B23" s="122">
        <f t="shared" si="0"/>
        <v>15</v>
      </c>
      <c r="C23" s="121" t="s">
        <v>618</v>
      </c>
      <c r="D23" s="1041" t="s">
        <v>69</v>
      </c>
    </row>
    <row r="24" spans="2:4" ht="15.5">
      <c r="B24" s="122">
        <f t="shared" si="0"/>
        <v>16</v>
      </c>
      <c r="C24" s="121" t="s">
        <v>485</v>
      </c>
      <c r="D24" s="1041" t="s">
        <v>41</v>
      </c>
    </row>
    <row r="25" spans="2:4" ht="15.5">
      <c r="B25" s="122">
        <f t="shared" si="0"/>
        <v>17</v>
      </c>
      <c r="C25" s="121" t="s">
        <v>14</v>
      </c>
      <c r="D25" s="1041" t="s">
        <v>396</v>
      </c>
    </row>
    <row r="26" spans="2:4" ht="15.5">
      <c r="B26" s="122">
        <f t="shared" si="0"/>
        <v>18</v>
      </c>
      <c r="C26" s="121" t="s">
        <v>311</v>
      </c>
      <c r="D26" s="1041" t="s">
        <v>397</v>
      </c>
    </row>
    <row r="27" spans="2:4" ht="15.5">
      <c r="B27" s="122">
        <f t="shared" si="0"/>
        <v>19</v>
      </c>
      <c r="C27" s="121" t="s">
        <v>48</v>
      </c>
      <c r="D27" s="1041" t="s">
        <v>486</v>
      </c>
    </row>
    <row r="28" spans="2:4" ht="15.5">
      <c r="B28" s="122">
        <f t="shared" si="0"/>
        <v>20</v>
      </c>
      <c r="C28" s="121" t="s">
        <v>1357</v>
      </c>
      <c r="D28" s="1041" t="s">
        <v>70</v>
      </c>
    </row>
    <row r="29" spans="2:4" ht="46.5">
      <c r="B29" s="122">
        <f t="shared" si="0"/>
        <v>21</v>
      </c>
      <c r="C29" s="1042" t="s">
        <v>1358</v>
      </c>
      <c r="D29" s="1041" t="s">
        <v>1359</v>
      </c>
    </row>
    <row r="30" spans="2:4" ht="15.5">
      <c r="B30" s="122">
        <f t="shared" si="0"/>
        <v>22</v>
      </c>
      <c r="C30" s="121" t="s">
        <v>1360</v>
      </c>
      <c r="D30" s="1041" t="s">
        <v>1361</v>
      </c>
    </row>
    <row r="31" spans="2:4" ht="15.5">
      <c r="B31" s="122">
        <f t="shared" si="0"/>
        <v>23</v>
      </c>
      <c r="C31" s="123" t="s">
        <v>33</v>
      </c>
      <c r="D31" s="1041" t="s">
        <v>71</v>
      </c>
    </row>
    <row r="32" spans="2:4" ht="15.5">
      <c r="B32" s="122">
        <f t="shared" si="0"/>
        <v>24</v>
      </c>
      <c r="C32" s="121" t="s">
        <v>42</v>
      </c>
      <c r="D32" s="1041" t="s">
        <v>73</v>
      </c>
    </row>
    <row r="33" spans="2:4" ht="15.5">
      <c r="B33" s="122">
        <f t="shared" si="0"/>
        <v>25</v>
      </c>
      <c r="C33" s="121" t="s">
        <v>72</v>
      </c>
      <c r="D33" s="1041" t="s">
        <v>74</v>
      </c>
    </row>
    <row r="34" spans="2:4" ht="15.5">
      <c r="B34" s="122">
        <f t="shared" si="0"/>
        <v>26</v>
      </c>
      <c r="C34" s="123" t="s">
        <v>642</v>
      </c>
      <c r="D34" s="1041" t="s">
        <v>75</v>
      </c>
    </row>
    <row r="35" spans="2:4" ht="15.5">
      <c r="B35" s="122">
        <f t="shared" si="0"/>
        <v>27</v>
      </c>
      <c r="C35" s="224" t="s">
        <v>441</v>
      </c>
      <c r="D35" s="1041" t="s">
        <v>312</v>
      </c>
    </row>
    <row r="36" spans="2:4" ht="15.5">
      <c r="B36" s="122">
        <f t="shared" si="0"/>
        <v>28</v>
      </c>
      <c r="C36" s="123" t="s">
        <v>314</v>
      </c>
      <c r="D36" s="1041" t="s">
        <v>313</v>
      </c>
    </row>
    <row r="37" spans="2:4" ht="15.5">
      <c r="B37" s="122">
        <f t="shared" si="0"/>
        <v>29</v>
      </c>
      <c r="C37" s="121" t="s">
        <v>447</v>
      </c>
      <c r="D37" s="1041" t="s">
        <v>440</v>
      </c>
    </row>
    <row r="38" spans="2:4" ht="15.5">
      <c r="B38" s="122">
        <f t="shared" si="0"/>
        <v>30</v>
      </c>
      <c r="C38" s="121" t="s">
        <v>323</v>
      </c>
      <c r="D38" s="1041" t="s">
        <v>76</v>
      </c>
    </row>
    <row r="39" spans="2:4" ht="15.5">
      <c r="B39" s="122">
        <f t="shared" si="0"/>
        <v>31</v>
      </c>
      <c r="C39" s="121" t="s">
        <v>315</v>
      </c>
      <c r="D39" s="1041" t="s">
        <v>77</v>
      </c>
    </row>
    <row r="40" spans="2:4" ht="15.5">
      <c r="B40" s="122">
        <f t="shared" si="0"/>
        <v>32</v>
      </c>
      <c r="C40" s="121" t="s">
        <v>89</v>
      </c>
      <c r="D40" s="1041" t="s">
        <v>324</v>
      </c>
    </row>
    <row r="41" spans="2:4" ht="15.5">
      <c r="B41" s="122">
        <f t="shared" si="0"/>
        <v>33</v>
      </c>
      <c r="C41" s="121" t="s">
        <v>316</v>
      </c>
      <c r="D41" s="1041" t="s">
        <v>350</v>
      </c>
    </row>
    <row r="42" spans="2:4" ht="15.5">
      <c r="B42" s="1043"/>
      <c r="C42" s="1044" t="s">
        <v>1362</v>
      </c>
      <c r="D42" s="1045"/>
    </row>
    <row r="43" spans="2:4" ht="15.5">
      <c r="B43" s="122">
        <f>B41+1</f>
        <v>34</v>
      </c>
      <c r="C43" s="121" t="s">
        <v>1363</v>
      </c>
      <c r="D43" s="1041" t="s">
        <v>1364</v>
      </c>
    </row>
    <row r="44" spans="2:4" ht="15.5">
      <c r="B44" s="122">
        <f>B43+1</f>
        <v>35</v>
      </c>
      <c r="C44" s="121" t="s">
        <v>1365</v>
      </c>
      <c r="D44" s="1041" t="s">
        <v>1366</v>
      </c>
    </row>
    <row r="45" spans="2:4" ht="15.5">
      <c r="B45" s="122">
        <f>B44+1</f>
        <v>36</v>
      </c>
      <c r="C45" s="121" t="s">
        <v>1367</v>
      </c>
      <c r="D45" s="1041" t="s">
        <v>1368</v>
      </c>
    </row>
    <row r="46" spans="2:4" ht="15.5">
      <c r="B46" s="122">
        <f t="shared" ref="B46:B55" si="1">B45+1</f>
        <v>37</v>
      </c>
      <c r="C46" s="121" t="s">
        <v>1369</v>
      </c>
      <c r="D46" s="1041" t="s">
        <v>1370</v>
      </c>
    </row>
    <row r="47" spans="2:4" ht="15.5">
      <c r="B47" s="122">
        <f t="shared" si="1"/>
        <v>38</v>
      </c>
      <c r="C47" s="121" t="s">
        <v>1371</v>
      </c>
      <c r="D47" s="1041" t="s">
        <v>1372</v>
      </c>
    </row>
    <row r="48" spans="2:4" ht="15.5">
      <c r="B48" s="122">
        <f t="shared" si="1"/>
        <v>39</v>
      </c>
      <c r="C48" s="121" t="s">
        <v>1373</v>
      </c>
      <c r="D48" s="1041" t="s">
        <v>1374</v>
      </c>
    </row>
    <row r="49" spans="2:4" ht="15.5">
      <c r="B49" s="122">
        <f t="shared" si="1"/>
        <v>40</v>
      </c>
      <c r="C49" s="121" t="s">
        <v>1375</v>
      </c>
      <c r="D49" s="1041" t="s">
        <v>1376</v>
      </c>
    </row>
    <row r="50" spans="2:4" ht="15.5">
      <c r="B50" s="122">
        <f t="shared" si="1"/>
        <v>41</v>
      </c>
      <c r="C50" s="121" t="s">
        <v>1377</v>
      </c>
      <c r="D50" s="1041" t="s">
        <v>1378</v>
      </c>
    </row>
    <row r="51" spans="2:4" ht="15.5">
      <c r="B51" s="122">
        <f t="shared" si="1"/>
        <v>42</v>
      </c>
      <c r="C51" s="121" t="s">
        <v>1379</v>
      </c>
      <c r="D51" s="1041" t="s">
        <v>1380</v>
      </c>
    </row>
    <row r="52" spans="2:4" ht="15.5">
      <c r="B52" s="122">
        <f t="shared" si="1"/>
        <v>43</v>
      </c>
      <c r="C52" s="280" t="s">
        <v>1381</v>
      </c>
      <c r="D52" s="281" t="s">
        <v>1382</v>
      </c>
    </row>
    <row r="53" spans="2:4" ht="15.5">
      <c r="B53" s="122">
        <f t="shared" si="1"/>
        <v>44</v>
      </c>
      <c r="C53" s="280" t="s">
        <v>1383</v>
      </c>
      <c r="D53" s="281" t="s">
        <v>1384</v>
      </c>
    </row>
    <row r="54" spans="2:4" ht="15.5">
      <c r="B54" s="122">
        <f t="shared" si="1"/>
        <v>45</v>
      </c>
      <c r="C54" s="280" t="s">
        <v>525</v>
      </c>
      <c r="D54" s="281" t="s">
        <v>526</v>
      </c>
    </row>
    <row r="55" spans="2:4" ht="15.5">
      <c r="B55" s="1046">
        <f t="shared" si="1"/>
        <v>46</v>
      </c>
      <c r="C55" s="1047" t="s">
        <v>595</v>
      </c>
      <c r="D55" s="1048" t="s">
        <v>1385</v>
      </c>
    </row>
    <row r="56" spans="2:4" ht="15.5">
      <c r="B56" s="122">
        <f>B55+1</f>
        <v>47</v>
      </c>
      <c r="C56" s="280" t="s">
        <v>1386</v>
      </c>
      <c r="D56" s="281" t="s">
        <v>1387</v>
      </c>
    </row>
    <row r="57" spans="2:4">
      <c r="B57" s="99">
        <v>48</v>
      </c>
      <c r="C57" s="24" t="s">
        <v>1388</v>
      </c>
      <c r="D57" s="24" t="s">
        <v>1389</v>
      </c>
    </row>
    <row r="58" spans="2:4">
      <c r="B58" s="282" t="s">
        <v>1390</v>
      </c>
    </row>
  </sheetData>
  <mergeCells count="5">
    <mergeCell ref="B2:D2"/>
    <mergeCell ref="B3:D3"/>
    <mergeCell ref="B6:B8"/>
    <mergeCell ref="C6:C8"/>
    <mergeCell ref="D6:D8"/>
  </mergeCells>
  <phoneticPr fontId="20"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showGridLines="0" topLeftCell="A25" zoomScale="80" zoomScaleNormal="80" workbookViewId="0">
      <selection activeCell="O47" sqref="O47"/>
    </sheetView>
  </sheetViews>
  <sheetFormatPr defaultColWidth="8.81640625" defaultRowHeight="13"/>
  <cols>
    <col min="1" max="1" width="8.81640625" style="516"/>
    <col min="2" max="2" width="46.453125" style="517" customWidth="1"/>
    <col min="3" max="3" width="8.81640625" style="516"/>
    <col min="4" max="5" width="9" style="516" bestFit="1" customWidth="1"/>
    <col min="6" max="8" width="8.81640625" style="516"/>
    <col min="9" max="9" width="12.81640625" style="516" customWidth="1"/>
    <col min="10" max="10" width="14.1796875" style="516" customWidth="1"/>
    <col min="11" max="11" width="12.36328125" style="516" customWidth="1"/>
    <col min="12" max="12" width="8.81640625" style="516"/>
    <col min="13" max="13" width="13.90625" style="516" customWidth="1"/>
    <col min="14" max="14" width="14.08984375" style="516" customWidth="1"/>
    <col min="15" max="15" width="13.90625" style="516" customWidth="1"/>
    <col min="16" max="16" width="16.08984375" style="516" customWidth="1"/>
    <col min="17" max="16384" width="8.81640625" style="516"/>
  </cols>
  <sheetData>
    <row r="1" spans="2:7">
      <c r="B1" s="1675" t="s">
        <v>893</v>
      </c>
      <c r="C1" s="1675"/>
      <c r="D1" s="1675"/>
      <c r="E1" s="1675"/>
      <c r="F1" s="1675"/>
    </row>
    <row r="2" spans="2:7">
      <c r="B2" s="799" t="s">
        <v>37</v>
      </c>
      <c r="C2" s="800" t="s">
        <v>889</v>
      </c>
      <c r="D2" s="800" t="s">
        <v>890</v>
      </c>
      <c r="E2" s="800" t="s">
        <v>891</v>
      </c>
      <c r="F2" s="800" t="s">
        <v>892</v>
      </c>
      <c r="G2" s="795"/>
    </row>
    <row r="3" spans="2:7">
      <c r="B3" s="518" t="s">
        <v>883</v>
      </c>
      <c r="C3" s="796" t="s">
        <v>99</v>
      </c>
      <c r="D3" s="625">
        <f>'F2.1'!$G$15</f>
        <v>0.85</v>
      </c>
      <c r="E3" s="625">
        <f>'F2.1'!$J$15</f>
        <v>0.85</v>
      </c>
      <c r="F3" s="625">
        <f>'F2.1'!$N$15</f>
        <v>0.85</v>
      </c>
      <c r="G3" s="795"/>
    </row>
    <row r="4" spans="2:7">
      <c r="B4" s="518" t="s">
        <v>651</v>
      </c>
      <c r="C4" s="796" t="s">
        <v>99</v>
      </c>
      <c r="D4" s="625">
        <f>'F2.1'!$G$16</f>
        <v>0.76354999999999995</v>
      </c>
      <c r="E4" s="625">
        <f>'F2.1'!$K$16</f>
        <v>0.81130000000000002</v>
      </c>
      <c r="F4" s="625">
        <f>'F2.1'!$Q$16</f>
        <v>0.75027802223481954</v>
      </c>
      <c r="G4" s="795"/>
    </row>
    <row r="5" spans="2:7">
      <c r="B5" s="519" t="s">
        <v>884</v>
      </c>
      <c r="C5" s="796" t="s">
        <v>443</v>
      </c>
      <c r="D5" s="1228">
        <f>'F1'!$F13+'F1'!$G15+'F1'!$F16+'F1'!$G17+'F1'!$G18+'F1'!$F19+'F1'!$F21+'F1'!$G24+'F1'!$G25-'F1'!$G26</f>
        <v>1058.4026225237174</v>
      </c>
      <c r="E5" s="1228">
        <f>'F1'!$J13+'F1'!$K15+'F1'!$J16+'F1'!$K17+'F1'!$K18+'F1'!$J19+'F1'!$J21+'F1'!$K24+'F1'!$K25-'F1'!$K26</f>
        <v>1110.8632185624622</v>
      </c>
      <c r="F5" s="1228">
        <f ca="1">'F1'!$N13+'F1'!$Q15+'F1'!$N16+'F1'!$Q17+'F1'!$Q18+'F1'!$N19+'F1'!$N21+'F1'!$Q24+'F1'!$Q25-'F1'!$Q26</f>
        <v>1092.9772850610593</v>
      </c>
      <c r="G5" s="795"/>
    </row>
    <row r="6" spans="2:7">
      <c r="B6" s="519" t="s">
        <v>885</v>
      </c>
      <c r="C6" s="796" t="s">
        <v>443</v>
      </c>
      <c r="D6" s="624">
        <f>+'F3.1'!$E$27</f>
        <v>9.1935441000000004</v>
      </c>
      <c r="E6" s="624">
        <f>+'F3.1'!$G$27</f>
        <v>20.111360491008533</v>
      </c>
      <c r="F6" s="624">
        <f>+'F3.1'!$I$27</f>
        <v>20.111360491008533</v>
      </c>
      <c r="G6" s="795"/>
    </row>
    <row r="7" spans="2:7">
      <c r="B7" s="519" t="s">
        <v>938</v>
      </c>
      <c r="C7" s="796" t="s">
        <v>443</v>
      </c>
      <c r="D7" s="624">
        <f>D5-D6</f>
        <v>1049.2090784237173</v>
      </c>
      <c r="E7" s="624">
        <f t="shared" ref="E7:F7" si="0">E5-E6</f>
        <v>1090.7518580714536</v>
      </c>
      <c r="F7" s="624">
        <f t="shared" ca="1" si="0"/>
        <v>1072.8659245700508</v>
      </c>
      <c r="G7" s="795"/>
    </row>
    <row r="8" spans="2:7">
      <c r="B8" s="521" t="s">
        <v>886</v>
      </c>
      <c r="C8" s="794" t="s">
        <v>443</v>
      </c>
      <c r="D8" s="831">
        <f>D48</f>
        <v>106.34968373446031</v>
      </c>
      <c r="E8" s="831">
        <f>E48</f>
        <v>49.219856786104174</v>
      </c>
      <c r="F8" s="831">
        <f ca="1">F48</f>
        <v>61.947278484674712</v>
      </c>
      <c r="G8" s="795"/>
    </row>
    <row r="9" spans="2:7">
      <c r="B9" s="519" t="s">
        <v>887</v>
      </c>
      <c r="C9" s="796" t="s">
        <v>443</v>
      </c>
      <c r="D9" s="814">
        <f>D7-D8</f>
        <v>942.85939468925699</v>
      </c>
      <c r="E9" s="814">
        <f>E7-E8</f>
        <v>1041.5320012853495</v>
      </c>
      <c r="F9" s="814">
        <f ca="1">F7-F8</f>
        <v>1010.9186460853761</v>
      </c>
      <c r="G9" s="795"/>
    </row>
    <row r="10" spans="2:7">
      <c r="B10" s="521" t="s">
        <v>888</v>
      </c>
      <c r="C10" s="794" t="s">
        <v>443</v>
      </c>
      <c r="D10" s="797">
        <f>D9+D6</f>
        <v>952.05293878925704</v>
      </c>
      <c r="E10" s="797">
        <f>E9+E6</f>
        <v>1061.643361776358</v>
      </c>
      <c r="F10" s="797">
        <f ca="1">F9+F6</f>
        <v>1031.0300065763845</v>
      </c>
      <c r="G10" s="795"/>
    </row>
    <row r="11" spans="2:7">
      <c r="B11" s="798"/>
      <c r="C11" s="795"/>
      <c r="D11" s="795"/>
      <c r="E11" s="795"/>
      <c r="F11" s="795"/>
      <c r="G11" s="795"/>
    </row>
    <row r="12" spans="2:7">
      <c r="B12" s="522" t="s">
        <v>944</v>
      </c>
    </row>
    <row r="13" spans="2:7">
      <c r="B13" s="788" t="s">
        <v>940</v>
      </c>
      <c r="C13" s="520" t="s">
        <v>99</v>
      </c>
      <c r="D13" s="687">
        <v>0.81354000000000004</v>
      </c>
      <c r="E13" s="687">
        <v>0.79586999999999997</v>
      </c>
      <c r="F13" s="687">
        <v>0.83297500000000002</v>
      </c>
    </row>
    <row r="14" spans="2:7">
      <c r="B14" s="788" t="s">
        <v>941</v>
      </c>
      <c r="C14" s="520" t="s">
        <v>99</v>
      </c>
      <c r="D14" s="687">
        <v>0.81367</v>
      </c>
      <c r="E14" s="687">
        <v>0.77729999999999999</v>
      </c>
      <c r="F14" s="687">
        <v>0.8268899999999999</v>
      </c>
    </row>
    <row r="15" spans="2:7">
      <c r="B15" s="788" t="s">
        <v>942</v>
      </c>
      <c r="C15" s="520" t="s">
        <v>99</v>
      </c>
      <c r="D15" s="687">
        <v>0.75529000000000002</v>
      </c>
      <c r="E15" s="687">
        <v>0.82611000000000001</v>
      </c>
      <c r="F15" s="687">
        <v>0.80259499999999995</v>
      </c>
    </row>
    <row r="16" spans="2:7">
      <c r="B16" s="788" t="s">
        <v>943</v>
      </c>
      <c r="C16" s="520" t="s">
        <v>99</v>
      </c>
      <c r="D16" s="687">
        <v>0.74522999999999995</v>
      </c>
      <c r="E16" s="687">
        <v>0.82079000000000002</v>
      </c>
      <c r="F16" s="687">
        <v>0.78917499999999996</v>
      </c>
    </row>
    <row r="18" spans="2:6">
      <c r="B18" s="789" t="s">
        <v>1011</v>
      </c>
    </row>
    <row r="19" spans="2:6">
      <c r="B19" s="788" t="s">
        <v>1012</v>
      </c>
      <c r="C19" s="683" t="s">
        <v>443</v>
      </c>
      <c r="D19" s="815">
        <f>D7*1/4*20%</f>
        <v>52.460453921185866</v>
      </c>
      <c r="E19" s="1225">
        <f t="shared" ref="E19" si="1">E7*1/4*20%</f>
        <v>54.537592903572687</v>
      </c>
      <c r="F19" s="1225">
        <f t="shared" ref="F19" ca="1" si="2">F7*1/4*20%</f>
        <v>53.643296228502543</v>
      </c>
    </row>
    <row r="20" spans="2:6">
      <c r="B20" s="788" t="s">
        <v>1013</v>
      </c>
      <c r="C20" s="683" t="s">
        <v>443</v>
      </c>
      <c r="D20" s="816">
        <f>D7*1/4*80%</f>
        <v>209.84181568474347</v>
      </c>
      <c r="E20" s="1226">
        <f t="shared" ref="E20" si="3">E7*1/4*80%</f>
        <v>218.15037161429075</v>
      </c>
      <c r="F20" s="1226">
        <f t="shared" ref="F20" ca="1" si="4">F7*1/4*80%</f>
        <v>214.57318491401017</v>
      </c>
    </row>
    <row r="21" spans="2:6">
      <c r="B21" s="788" t="s">
        <v>1014</v>
      </c>
      <c r="C21" s="683" t="s">
        <v>443</v>
      </c>
      <c r="D21" s="815">
        <f>D7*3/4*20%</f>
        <v>157.38136176355761</v>
      </c>
      <c r="E21" s="1225">
        <f t="shared" ref="E21" si="5">E7*3/4*20%</f>
        <v>163.61277871071806</v>
      </c>
      <c r="F21" s="1225">
        <f t="shared" ref="F21" ca="1" si="6">F7*3/4*20%</f>
        <v>160.92988868550762</v>
      </c>
    </row>
    <row r="22" spans="2:6">
      <c r="B22" s="788" t="s">
        <v>1015</v>
      </c>
      <c r="C22" s="683" t="s">
        <v>443</v>
      </c>
      <c r="D22" s="816">
        <f>D7*3/4*80%</f>
        <v>629.52544705423043</v>
      </c>
      <c r="E22" s="1226">
        <f t="shared" ref="E22" si="7">E7*3/4*80%</f>
        <v>654.45111484287224</v>
      </c>
      <c r="F22" s="1226">
        <f t="shared" ref="F22" ca="1" si="8">F7*3/4*80%</f>
        <v>643.71955474203048</v>
      </c>
    </row>
    <row r="23" spans="2:6">
      <c r="B23" s="790"/>
      <c r="C23" s="683"/>
      <c r="D23" s="684"/>
      <c r="E23" s="1226"/>
      <c r="F23" s="1226"/>
    </row>
    <row r="24" spans="2:6" ht="26">
      <c r="B24" s="791" t="s">
        <v>1016</v>
      </c>
      <c r="C24" s="683"/>
      <c r="D24" s="684"/>
      <c r="E24" s="1226"/>
      <c r="F24" s="1226"/>
    </row>
    <row r="25" spans="2:6">
      <c r="B25" s="788" t="s">
        <v>1012</v>
      </c>
      <c r="C25" s="683" t="s">
        <v>443</v>
      </c>
      <c r="D25" s="832">
        <f>MIN(D13/$D$3,1)*D19</f>
        <v>50.210209038872414</v>
      </c>
      <c r="E25" s="1226">
        <f t="shared" ref="E25:F28" si="9">MIN(E13/E$3,1)*E19</f>
        <v>51.064510663725166</v>
      </c>
      <c r="F25" s="1226">
        <f t="shared" ca="1" si="9"/>
        <v>52.568852559925773</v>
      </c>
    </row>
    <row r="26" spans="2:6">
      <c r="B26" s="788" t="s">
        <v>1013</v>
      </c>
      <c r="C26" s="683" t="s">
        <v>443</v>
      </c>
      <c r="D26" s="832">
        <f t="shared" ref="D26:D28" si="10">MIN(D14/$D$3,1)*D20</f>
        <v>200.8729296096532</v>
      </c>
      <c r="E26" s="1226">
        <f t="shared" si="9"/>
        <v>199.49209865386848</v>
      </c>
      <c r="F26" s="1226">
        <f t="shared" ca="1" si="9"/>
        <v>208.73931867475983</v>
      </c>
    </row>
    <row r="27" spans="2:6">
      <c r="B27" s="788" t="s">
        <v>1014</v>
      </c>
      <c r="C27" s="683" t="s">
        <v>443</v>
      </c>
      <c r="D27" s="832">
        <f t="shared" si="10"/>
        <v>139.84537497223226</v>
      </c>
      <c r="E27" s="1226">
        <f t="shared" si="9"/>
        <v>159.01429720083684</v>
      </c>
      <c r="F27" s="1226">
        <f t="shared" ca="1" si="9"/>
        <v>151.95473412887645</v>
      </c>
    </row>
    <row r="28" spans="2:6">
      <c r="B28" s="788" t="s">
        <v>1015</v>
      </c>
      <c r="C28" s="683" t="s">
        <v>443</v>
      </c>
      <c r="D28" s="832">
        <f t="shared" si="10"/>
        <v>551.93088106849905</v>
      </c>
      <c r="E28" s="1226">
        <f t="shared" si="9"/>
        <v>631.96109476691902</v>
      </c>
      <c r="F28" s="1226">
        <f t="shared" ca="1" si="9"/>
        <v>597.65574072181403</v>
      </c>
    </row>
    <row r="29" spans="2:6">
      <c r="B29" s="792"/>
      <c r="C29" s="685"/>
      <c r="D29" s="686"/>
      <c r="E29" s="1227"/>
      <c r="F29" s="1227"/>
    </row>
    <row r="30" spans="2:6">
      <c r="B30" s="791" t="s">
        <v>1017</v>
      </c>
      <c r="C30" s="683"/>
      <c r="D30" s="684"/>
      <c r="E30" s="1226"/>
      <c r="F30" s="1226"/>
    </row>
    <row r="31" spans="2:6">
      <c r="B31" s="788" t="s">
        <v>1012</v>
      </c>
      <c r="C31" s="683" t="s">
        <v>443</v>
      </c>
      <c r="D31" s="684"/>
      <c r="E31" s="1226"/>
      <c r="F31" s="1226"/>
    </row>
    <row r="32" spans="2:6">
      <c r="B32" s="788" t="s">
        <v>1013</v>
      </c>
      <c r="C32" s="683" t="s">
        <v>443</v>
      </c>
      <c r="D32" s="793">
        <f>D26-D20</f>
        <v>-8.9688860750902677</v>
      </c>
      <c r="E32" s="1226">
        <f t="shared" ref="E32" si="11">E26-E20</f>
        <v>-18.658272960422266</v>
      </c>
      <c r="F32" s="1226">
        <f t="shared" ref="F32" ca="1" si="12">F26-F20</f>
        <v>-5.8338662392503409</v>
      </c>
    </row>
    <row r="33" spans="2:16">
      <c r="B33" s="788" t="s">
        <v>1014</v>
      </c>
      <c r="C33" s="683" t="s">
        <v>443</v>
      </c>
      <c r="D33" s="684"/>
      <c r="E33" s="1226"/>
      <c r="F33" s="1226"/>
    </row>
    <row r="34" spans="2:16">
      <c r="B34" s="788" t="s">
        <v>1015</v>
      </c>
      <c r="C34" s="683" t="s">
        <v>443</v>
      </c>
      <c r="D34" s="793">
        <f>D28-D22</f>
        <v>-77.594565985731379</v>
      </c>
      <c r="E34" s="1226">
        <f t="shared" ref="E34" si="13">E28-E22</f>
        <v>-22.490020075953225</v>
      </c>
      <c r="F34" s="1226">
        <f t="shared" ref="F34" ca="1" si="14">F28-F22</f>
        <v>-46.063814020216455</v>
      </c>
    </row>
    <row r="35" spans="2:16">
      <c r="B35" s="790"/>
      <c r="C35" s="683"/>
      <c r="D35" s="684"/>
      <c r="E35" s="1226"/>
      <c r="F35" s="1226"/>
    </row>
    <row r="36" spans="2:16">
      <c r="B36" s="791" t="s">
        <v>1018</v>
      </c>
      <c r="C36" s="683"/>
      <c r="D36" s="684"/>
      <c r="E36" s="1226"/>
      <c r="F36" s="1226"/>
    </row>
    <row r="37" spans="2:16">
      <c r="B37" s="790" t="s">
        <v>1012</v>
      </c>
      <c r="C37" s="683" t="s">
        <v>443</v>
      </c>
      <c r="D37" s="793">
        <f>D13/D3*D19-D25</f>
        <v>0</v>
      </c>
      <c r="E37" s="1226">
        <f t="shared" ref="E37" si="15">E13/E3*E19-E25</f>
        <v>0</v>
      </c>
      <c r="F37" s="1226">
        <f t="shared" ref="F37" ca="1" si="16">F13/F3*F19-F25</f>
        <v>0</v>
      </c>
    </row>
    <row r="38" spans="2:16">
      <c r="B38" s="790" t="s">
        <v>1013</v>
      </c>
      <c r="C38" s="683" t="s">
        <v>443</v>
      </c>
      <c r="D38" s="684"/>
      <c r="E38" s="1226"/>
      <c r="F38" s="1226"/>
    </row>
    <row r="39" spans="2:16">
      <c r="B39" s="790" t="s">
        <v>1014</v>
      </c>
      <c r="C39" s="683" t="s">
        <v>443</v>
      </c>
      <c r="D39" s="793">
        <f>D15/D3*D21-D27</f>
        <v>0</v>
      </c>
      <c r="E39" s="1226">
        <f t="shared" ref="E39" si="17">E15/E3*E21-E27</f>
        <v>0</v>
      </c>
      <c r="F39" s="1226">
        <f t="shared" ref="F39" ca="1" si="18">F15/F3*F21-F27</f>
        <v>0</v>
      </c>
    </row>
    <row r="40" spans="2:16">
      <c r="B40" s="790" t="s">
        <v>1015</v>
      </c>
      <c r="C40" s="683" t="s">
        <v>443</v>
      </c>
      <c r="D40" s="684"/>
      <c r="E40" s="1226"/>
      <c r="F40" s="1226"/>
    </row>
    <row r="41" spans="2:16">
      <c r="B41" s="790"/>
      <c r="C41" s="683"/>
      <c r="D41" s="684"/>
      <c r="E41" s="1226"/>
      <c r="F41" s="1226"/>
    </row>
    <row r="42" spans="2:16">
      <c r="B42" s="791" t="s">
        <v>1019</v>
      </c>
      <c r="C42" s="683"/>
      <c r="D42" s="684"/>
      <c r="E42" s="1226"/>
      <c r="F42" s="1226"/>
    </row>
    <row r="43" spans="2:16">
      <c r="B43" s="790" t="s">
        <v>1012</v>
      </c>
      <c r="C43" s="683" t="s">
        <v>443</v>
      </c>
      <c r="D43" s="684"/>
      <c r="E43" s="1226"/>
      <c r="F43" s="1226"/>
    </row>
    <row r="44" spans="2:16" ht="14">
      <c r="B44" s="790" t="s">
        <v>1013</v>
      </c>
      <c r="C44" s="683" t="s">
        <v>443</v>
      </c>
      <c r="D44" s="684">
        <f>IF(D32&lt;0,MIN(D37,-D32),0)</f>
        <v>0</v>
      </c>
      <c r="E44" s="1226">
        <f t="shared" ref="E44" si="19">IF(E32&lt;0,MIN(E37,-E32),0)</f>
        <v>0</v>
      </c>
      <c r="F44" s="1226">
        <f t="shared" ref="F44" ca="1" si="20">IF(F32&lt;0,MIN(F37,-F32),0)</f>
        <v>0</v>
      </c>
      <c r="I44" s="188" t="s">
        <v>873</v>
      </c>
      <c r="J44" s="33"/>
      <c r="K44" s="14"/>
      <c r="L44" s="14"/>
      <c r="M44" s="14"/>
      <c r="N44" s="14"/>
      <c r="O44" s="14"/>
      <c r="P44" s="14"/>
    </row>
    <row r="45" spans="2:16" ht="56">
      <c r="B45" s="790" t="s">
        <v>1014</v>
      </c>
      <c r="C45" s="683" t="s">
        <v>443</v>
      </c>
      <c r="D45" s="684"/>
      <c r="E45" s="1226"/>
      <c r="F45" s="1226"/>
      <c r="I45" s="786" t="s">
        <v>874</v>
      </c>
      <c r="J45" s="787" t="s">
        <v>875</v>
      </c>
      <c r="K45" s="787" t="s">
        <v>876</v>
      </c>
      <c r="L45" s="787" t="s">
        <v>877</v>
      </c>
      <c r="M45" s="787" t="s">
        <v>878</v>
      </c>
      <c r="N45" s="787" t="s">
        <v>879</v>
      </c>
      <c r="O45" s="787" t="s">
        <v>880</v>
      </c>
      <c r="P45" s="787" t="s">
        <v>881</v>
      </c>
    </row>
    <row r="46" spans="2:16" ht="15.5">
      <c r="B46" s="790" t="s">
        <v>1015</v>
      </c>
      <c r="C46" s="683" t="s">
        <v>443</v>
      </c>
      <c r="D46" s="684">
        <f>IF(D34&lt;0,MIN(D39,-D34),0)</f>
        <v>0</v>
      </c>
      <c r="E46" s="1226">
        <f t="shared" ref="E46" si="21">IF(E34&lt;0,MIN(E39,-E34),0)</f>
        <v>0</v>
      </c>
      <c r="F46" s="1226">
        <f t="shared" ref="F46" ca="1" si="22">IF(F34&lt;0,MIN(F39,-F34),0)</f>
        <v>0</v>
      </c>
      <c r="I46" s="119" t="s">
        <v>515</v>
      </c>
      <c r="J46" s="491">
        <f>'F2.1'!G30</f>
        <v>6119.4900000000016</v>
      </c>
      <c r="K46" s="783">
        <f>'F2.1'!$G$34</f>
        <v>0.06</v>
      </c>
      <c r="L46" s="588">
        <v>6.3605957296787308E-2</v>
      </c>
      <c r="M46" s="491">
        <f>(L46-K46)*J46</f>
        <v>22.066619618116981</v>
      </c>
      <c r="N46" s="784">
        <f>'F2.2'!F157</f>
        <v>3.9016907065705357</v>
      </c>
      <c r="O46" s="491">
        <f>M46*N46/10</f>
        <v>8.6097124689434086</v>
      </c>
      <c r="P46" s="785">
        <f>IF(O46&lt;0,2/3,1/3)*O46</f>
        <v>2.8699041563144694</v>
      </c>
    </row>
    <row r="47" spans="2:16" ht="15.5">
      <c r="B47" s="790"/>
      <c r="C47" s="683"/>
      <c r="D47" s="684"/>
      <c r="E47" s="1226"/>
      <c r="F47" s="1226"/>
      <c r="I47" s="119" t="s">
        <v>516</v>
      </c>
      <c r="J47" s="491">
        <f>'F2.1'!$K$30</f>
        <v>6559.1950000000006</v>
      </c>
      <c r="K47" s="783">
        <f>'F2.1'!$K$34</f>
        <v>0.06</v>
      </c>
      <c r="L47" s="588">
        <v>6.812458290291519E-2</v>
      </c>
      <c r="M47" s="491">
        <f>(L47-K47)*J47</f>
        <v>53.290723553886821</v>
      </c>
      <c r="N47" s="784">
        <f>'F2.2'!J157</f>
        <v>3.8166430007069647</v>
      </c>
      <c r="O47" s="491">
        <f>M47*N47/10</f>
        <v>20.339166705455192</v>
      </c>
      <c r="P47" s="785">
        <f>IF(O47&lt;0,2/3,1/3)*O47</f>
        <v>6.7797222351517306</v>
      </c>
    </row>
    <row r="48" spans="2:16" ht="15.5">
      <c r="B48" s="792" t="s">
        <v>886</v>
      </c>
      <c r="C48" s="683" t="s">
        <v>443</v>
      </c>
      <c r="D48" s="684">
        <f>SUM(D19:D22)-SUM(D25:D28)+SUM(D43:D46)</f>
        <v>106.34968373446031</v>
      </c>
      <c r="E48" s="1226">
        <f t="shared" ref="E48" si="23">SUM(E19:E22)-SUM(E25:E28)+SUM(E43:E46)</f>
        <v>49.219856786104174</v>
      </c>
      <c r="F48" s="1226">
        <f t="shared" ref="F48" ca="1" si="24">SUM(F19:F22)-SUM(F25:F28)+SUM(F43:F46)</f>
        <v>61.947278484674712</v>
      </c>
      <c r="I48" s="1215"/>
      <c r="J48" s="1216"/>
      <c r="K48" s="1217"/>
      <c r="L48" s="1218"/>
      <c r="M48" s="1216"/>
      <c r="N48" s="1219"/>
      <c r="O48" s="1216"/>
      <c r="P48" s="1220"/>
    </row>
    <row r="49" spans="4:16" ht="14">
      <c r="I49" s="119"/>
      <c r="J49" s="491"/>
      <c r="K49" s="409"/>
      <c r="L49" s="119"/>
      <c r="M49" s="119"/>
      <c r="N49" s="119"/>
      <c r="O49" s="119"/>
      <c r="P49" s="119"/>
    </row>
    <row r="57" spans="4:16">
      <c r="D57" s="795"/>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39"/>
  <sheetViews>
    <sheetView showGridLines="0" tabSelected="1" zoomScale="80" zoomScaleNormal="80" zoomScaleSheetLayoutView="78" workbookViewId="0">
      <selection activeCell="A3" sqref="A3"/>
    </sheetView>
  </sheetViews>
  <sheetFormatPr defaultColWidth="9.36328125" defaultRowHeight="14"/>
  <cols>
    <col min="1" max="1" width="6.6328125" style="14" customWidth="1"/>
    <col min="2" max="2" width="6.36328125" style="14" customWidth="1"/>
    <col min="3" max="3" width="33.36328125" style="14" customWidth="1"/>
    <col min="4" max="6" width="12.54296875" style="14" customWidth="1"/>
    <col min="7" max="7" width="14.6328125" style="14" customWidth="1"/>
    <col min="8" max="13" width="12.54296875" style="14" customWidth="1"/>
    <col min="14" max="14" width="10.6328125" style="14" customWidth="1"/>
    <col min="15" max="15" width="14" style="14" bestFit="1" customWidth="1"/>
    <col min="16" max="16" width="13" style="14" customWidth="1"/>
    <col min="17" max="17" width="15.54296875" style="14" customWidth="1"/>
    <col min="18" max="23" width="19.90625" style="14" customWidth="1"/>
    <col min="24" max="24" width="15.6328125" style="14" customWidth="1"/>
    <col min="25" max="16384" width="9.36328125" style="14"/>
  </cols>
  <sheetData>
    <row r="2" spans="2:26">
      <c r="B2" s="1682" t="str">
        <f>Index!B2</f>
        <v xml:space="preserve">      Maharashtra State Power Generation Company Ltd.</v>
      </c>
      <c r="C2" s="1682"/>
      <c r="D2" s="1682"/>
      <c r="E2" s="1682"/>
      <c r="F2" s="1682"/>
      <c r="G2" s="1682"/>
      <c r="H2" s="1682"/>
      <c r="I2" s="1682"/>
      <c r="J2" s="1682"/>
      <c r="K2" s="1682"/>
      <c r="L2" s="1682"/>
      <c r="M2" s="630"/>
      <c r="N2" s="1682" t="s">
        <v>745</v>
      </c>
      <c r="O2" s="1682"/>
      <c r="P2" s="1682"/>
      <c r="Q2" s="1682"/>
      <c r="R2" s="1682"/>
      <c r="S2" s="1682"/>
      <c r="T2" s="1682"/>
      <c r="U2" s="1682"/>
      <c r="V2" s="1682"/>
      <c r="W2" s="1682"/>
      <c r="X2" s="1682"/>
      <c r="Y2" s="188"/>
      <c r="Z2" s="188"/>
    </row>
    <row r="3" spans="2:26" s="5" customFormat="1">
      <c r="B3" s="1683" t="str">
        <f>Index!B3</f>
        <v>MYT Petition Formats for Bhusawal Units 4&amp;5</v>
      </c>
      <c r="C3" s="1683"/>
      <c r="D3" s="1683"/>
      <c r="E3" s="1683"/>
      <c r="F3" s="1683"/>
      <c r="G3" s="1683"/>
      <c r="H3" s="1683"/>
      <c r="I3" s="1683"/>
      <c r="J3" s="1683"/>
      <c r="K3" s="1683"/>
      <c r="L3" s="1683"/>
      <c r="M3" s="629"/>
      <c r="N3" s="1683" t="str">
        <f>Index!B3</f>
        <v>MYT Petition Formats for Bhusawal Units 4&amp;5</v>
      </c>
      <c r="O3" s="1683"/>
      <c r="P3" s="1683"/>
      <c r="Q3" s="1683"/>
      <c r="R3" s="1683"/>
      <c r="S3" s="1683"/>
      <c r="T3" s="1683"/>
      <c r="U3" s="1683"/>
      <c r="V3" s="1683"/>
      <c r="W3" s="1683"/>
      <c r="X3" s="1683"/>
      <c r="Y3" s="65"/>
      <c r="Z3" s="65"/>
    </row>
    <row r="4" spans="2:26" s="5" customFormat="1">
      <c r="B4" s="1683" t="s">
        <v>78</v>
      </c>
      <c r="C4" s="1683"/>
      <c r="D4" s="1683"/>
      <c r="E4" s="1683"/>
      <c r="F4" s="1683"/>
      <c r="G4" s="1683"/>
      <c r="H4" s="1683"/>
      <c r="I4" s="1683"/>
      <c r="J4" s="1683"/>
      <c r="K4" s="1683"/>
      <c r="L4" s="1683"/>
      <c r="M4" s="629"/>
      <c r="N4" s="1683" t="s">
        <v>78</v>
      </c>
      <c r="O4" s="1683"/>
      <c r="P4" s="1683"/>
      <c r="Q4" s="1683"/>
      <c r="R4" s="1683"/>
      <c r="S4" s="1683"/>
      <c r="T4" s="1683"/>
      <c r="U4" s="1683"/>
      <c r="V4" s="1683"/>
      <c r="W4" s="1683"/>
      <c r="X4" s="1683"/>
      <c r="Y4" s="65"/>
      <c r="Z4" s="65"/>
    </row>
    <row r="7" spans="2:26" ht="12.75" customHeight="1">
      <c r="B7" s="1684" t="s">
        <v>341</v>
      </c>
      <c r="C7" s="1687" t="s">
        <v>37</v>
      </c>
      <c r="D7" s="1687" t="s">
        <v>5</v>
      </c>
      <c r="E7" s="1678" t="s">
        <v>509</v>
      </c>
      <c r="F7" s="1679"/>
      <c r="G7" s="1679"/>
      <c r="H7" s="1680"/>
      <c r="I7" s="1678" t="s">
        <v>510</v>
      </c>
      <c r="J7" s="1679"/>
      <c r="K7" s="1679"/>
      <c r="L7" s="1680"/>
      <c r="M7" s="1678" t="s">
        <v>511</v>
      </c>
      <c r="N7" s="1679"/>
      <c r="O7" s="1679"/>
      <c r="P7" s="1679"/>
      <c r="Q7" s="1679"/>
      <c r="R7" s="1680"/>
      <c r="S7" s="1681" t="s">
        <v>946</v>
      </c>
      <c r="T7" s="1681"/>
      <c r="U7" s="1681"/>
      <c r="V7" s="1681"/>
      <c r="W7" s="1681"/>
      <c r="X7" s="1676" t="s">
        <v>27</v>
      </c>
    </row>
    <row r="8" spans="2:26" ht="28" customHeight="1">
      <c r="B8" s="1685"/>
      <c r="C8" s="1687"/>
      <c r="D8" s="1687"/>
      <c r="E8" s="1231" t="s">
        <v>1489</v>
      </c>
      <c r="F8" s="1231" t="s">
        <v>882</v>
      </c>
      <c r="G8" s="1231" t="s">
        <v>79</v>
      </c>
      <c r="H8" s="1231" t="s">
        <v>452</v>
      </c>
      <c r="I8" s="1231" t="s">
        <v>1489</v>
      </c>
      <c r="J8" s="1231" t="s">
        <v>882</v>
      </c>
      <c r="K8" s="1231" t="s">
        <v>79</v>
      </c>
      <c r="L8" s="1231" t="s">
        <v>452</v>
      </c>
      <c r="M8" s="1231" t="s">
        <v>1489</v>
      </c>
      <c r="N8" s="1231" t="s">
        <v>882</v>
      </c>
      <c r="O8" s="1231" t="s">
        <v>445</v>
      </c>
      <c r="P8" s="1231" t="s">
        <v>449</v>
      </c>
      <c r="Q8" s="1231" t="s">
        <v>80</v>
      </c>
      <c r="R8" s="1231" t="s">
        <v>453</v>
      </c>
      <c r="S8" s="702" t="s">
        <v>947</v>
      </c>
      <c r="T8" s="702" t="s">
        <v>948</v>
      </c>
      <c r="U8" s="702" t="s">
        <v>949</v>
      </c>
      <c r="V8" s="702" t="s">
        <v>950</v>
      </c>
      <c r="W8" s="702" t="s">
        <v>951</v>
      </c>
      <c r="X8" s="1676"/>
    </row>
    <row r="9" spans="2:26" ht="15">
      <c r="B9" s="1686"/>
      <c r="C9" s="1688"/>
      <c r="D9" s="1688"/>
      <c r="E9" s="1231" t="s">
        <v>81</v>
      </c>
      <c r="F9" s="1231" t="s">
        <v>82</v>
      </c>
      <c r="G9" s="1231" t="s">
        <v>1490</v>
      </c>
      <c r="H9" s="1231" t="s">
        <v>1491</v>
      </c>
      <c r="I9" s="1231" t="s">
        <v>1449</v>
      </c>
      <c r="J9" s="1231" t="s">
        <v>512</v>
      </c>
      <c r="K9" s="1231" t="s">
        <v>411</v>
      </c>
      <c r="L9" s="1231" t="s">
        <v>1492</v>
      </c>
      <c r="M9" s="1231" t="s">
        <v>557</v>
      </c>
      <c r="N9" s="1231" t="s">
        <v>622</v>
      </c>
      <c r="O9" s="1231" t="s">
        <v>558</v>
      </c>
      <c r="P9" s="1231" t="s">
        <v>559</v>
      </c>
      <c r="Q9" s="1231" t="s">
        <v>646</v>
      </c>
      <c r="R9" s="1231" t="s">
        <v>647</v>
      </c>
      <c r="S9" s="702" t="s">
        <v>21</v>
      </c>
      <c r="T9" s="702" t="s">
        <v>21</v>
      </c>
      <c r="U9" s="702" t="s">
        <v>21</v>
      </c>
      <c r="V9" s="702" t="s">
        <v>21</v>
      </c>
      <c r="W9" s="702" t="s">
        <v>21</v>
      </c>
      <c r="X9" s="1677"/>
    </row>
    <row r="10" spans="2:26">
      <c r="B10" s="24"/>
      <c r="C10" s="24"/>
      <c r="D10" s="127"/>
      <c r="E10" s="127"/>
      <c r="F10" s="127"/>
      <c r="G10" s="127"/>
      <c r="H10" s="127"/>
      <c r="I10" s="127"/>
      <c r="J10" s="127"/>
      <c r="K10" s="127"/>
      <c r="L10" s="127"/>
      <c r="M10" s="127"/>
      <c r="N10" s="127"/>
      <c r="O10" s="24"/>
      <c r="P10" s="24"/>
      <c r="Q10" s="24"/>
      <c r="R10" s="24"/>
      <c r="S10" s="24"/>
      <c r="T10" s="24"/>
      <c r="U10" s="24"/>
      <c r="V10" s="24"/>
      <c r="W10" s="24"/>
      <c r="X10" s="24"/>
    </row>
    <row r="11" spans="2:26" s="314" customFormat="1">
      <c r="B11" s="241">
        <v>1</v>
      </c>
      <c r="C11" s="119" t="s">
        <v>83</v>
      </c>
      <c r="D11" s="128" t="s">
        <v>56</v>
      </c>
      <c r="E11" s="660">
        <f>'F2.2'!E155</f>
        <v>2291.4738948260842</v>
      </c>
      <c r="F11" s="635">
        <f>'F2.2'!F155</f>
        <v>2244.3775826234255</v>
      </c>
      <c r="G11" s="635">
        <f>'F2.2'!G155</f>
        <v>2861.4377086544614</v>
      </c>
      <c r="H11" s="635">
        <f t="shared" ref="H11:H22" si="0">G11-F11</f>
        <v>617.06012603103591</v>
      </c>
      <c r="I11" s="635">
        <f>'F2.2'!$I$155</f>
        <v>2603.5826665898417</v>
      </c>
      <c r="J11" s="635">
        <f>'F2.2'!J155</f>
        <v>2353.2059345800794</v>
      </c>
      <c r="K11" s="635">
        <f>'F2.2'!K155</f>
        <v>2580.3348862731868</v>
      </c>
      <c r="L11" s="635">
        <f t="shared" ref="L11:L22" si="1">K11-J11</f>
        <v>227.12895169310741</v>
      </c>
      <c r="M11" s="635">
        <f>'F2.2'!$M$155</f>
        <v>2621.9950598721307</v>
      </c>
      <c r="N11" s="635">
        <f>'F2.2'!N155</f>
        <v>2473.9362198536901</v>
      </c>
      <c r="O11" s="635">
        <f>'F2.2'!O155</f>
        <v>1248.4104176237026</v>
      </c>
      <c r="P11" s="635">
        <f>'F2.2'!P155</f>
        <v>1347.4777879673402</v>
      </c>
      <c r="Q11" s="635">
        <f>O11+P11</f>
        <v>2595.8882055910426</v>
      </c>
      <c r="R11" s="635">
        <f t="shared" ref="R11:R19" si="2">Q11-N11</f>
        <v>121.95198573735252</v>
      </c>
      <c r="S11" s="584">
        <f>'F2.2'!S155</f>
        <v>3070.8332223647185</v>
      </c>
      <c r="T11" s="584">
        <f>'F2.2'!T155</f>
        <v>3224.4339736843654</v>
      </c>
      <c r="U11" s="584">
        <f>'F2.2'!U155</f>
        <v>3385.6556723685849</v>
      </c>
      <c r="V11" s="584">
        <f>'F2.2'!V155</f>
        <v>3554.9976804843377</v>
      </c>
      <c r="W11" s="584">
        <f>'F2.2'!W155</f>
        <v>3732.7475645085547</v>
      </c>
      <c r="X11" s="318"/>
    </row>
    <row r="12" spans="2:26" s="314" customFormat="1">
      <c r="B12" s="241">
        <f>B11+1</f>
        <v>2</v>
      </c>
      <c r="C12" s="119" t="s">
        <v>1431</v>
      </c>
      <c r="D12" s="128"/>
      <c r="E12" s="660"/>
      <c r="F12" s="1088"/>
      <c r="G12" s="1088"/>
      <c r="H12" s="1088"/>
      <c r="I12" s="1088"/>
      <c r="J12" s="1088"/>
      <c r="K12" s="1088"/>
      <c r="L12" s="1088"/>
      <c r="M12" s="1088"/>
      <c r="N12" s="1088"/>
      <c r="O12" s="1088"/>
      <c r="P12" s="1088"/>
      <c r="Q12" s="1088"/>
      <c r="R12" s="1088"/>
      <c r="S12" s="584">
        <f>'F2.2'!G198</f>
        <v>0</v>
      </c>
      <c r="T12" s="584">
        <f>'F2.2'!J198</f>
        <v>0</v>
      </c>
      <c r="U12" s="1155">
        <f>'F2.2'!M198</f>
        <v>38.480358219773102</v>
      </c>
      <c r="V12" s="1155">
        <f>'F2.2'!P198</f>
        <v>43.961161726684018</v>
      </c>
      <c r="W12" s="1155">
        <f>'F2.2'!S198</f>
        <v>43.961161726684018</v>
      </c>
      <c r="X12" s="318"/>
    </row>
    <row r="13" spans="2:26" s="314" customFormat="1">
      <c r="B13" s="241">
        <f t="shared" ref="B13:B27" si="3">B12+1</f>
        <v>3</v>
      </c>
      <c r="C13" s="119" t="s">
        <v>84</v>
      </c>
      <c r="D13" s="128" t="s">
        <v>40</v>
      </c>
      <c r="E13" s="660">
        <f>'F3'!E17+'F3.1'!D27</f>
        <v>217.84127627819339</v>
      </c>
      <c r="F13" s="527">
        <f>'F3'!F17+'F3.1'!E27</f>
        <v>224.0377546889768</v>
      </c>
      <c r="G13" s="635">
        <f>'F3'!G17+'F3.1'!E27</f>
        <v>267.61252884575958</v>
      </c>
      <c r="H13" s="635">
        <f t="shared" si="0"/>
        <v>43.57477415678278</v>
      </c>
      <c r="I13" s="635">
        <f>'F3'!$I$17+'F3.1'!F27</f>
        <v>225.65950847242536</v>
      </c>
      <c r="J13" s="635">
        <f>'F3'!J17+'F3.1'!G27</f>
        <v>265.7310399982124</v>
      </c>
      <c r="K13" s="635">
        <f>'F3'!K17+'F3.1'!G27</f>
        <v>337.20687626650709</v>
      </c>
      <c r="L13" s="635">
        <f t="shared" si="1"/>
        <v>71.475836268294699</v>
      </c>
      <c r="M13" s="635">
        <f>'F3'!$M$17+'F3.1'!H27</f>
        <v>233.70208334041286</v>
      </c>
      <c r="N13" s="635">
        <f>'F3'!N17+'F3.1'!I27</f>
        <v>274.84840730295855</v>
      </c>
      <c r="O13" s="635">
        <f>'F3'!O17+'F3.1'!I27/2</f>
        <v>130.31575033601268</v>
      </c>
      <c r="P13" s="635">
        <f>'F3'!P17+'F3.1'!I27/2</f>
        <v>170.89495208959056</v>
      </c>
      <c r="Q13" s="635">
        <f>O13+P13</f>
        <v>301.21070242560324</v>
      </c>
      <c r="R13" s="635">
        <f t="shared" si="2"/>
        <v>26.362295122644696</v>
      </c>
      <c r="S13" s="584">
        <f>'F3'!S17+'F3.1'!J27</f>
        <v>316.00504040269084</v>
      </c>
      <c r="T13" s="584">
        <f>'F3'!T17+'F3.1'!K27</f>
        <v>332.72840038134382</v>
      </c>
      <c r="U13" s="584">
        <f>'F3'!U17+'F3.1'!L27</f>
        <v>708.53227335847828</v>
      </c>
      <c r="V13" s="584">
        <f>'F3'!V17+'F3.1'!M27</f>
        <v>736.09537850106585</v>
      </c>
      <c r="W13" s="584">
        <f>'F3'!W17+'F3.1'!N27</f>
        <v>764.78397125391132</v>
      </c>
      <c r="X13" s="318"/>
    </row>
    <row r="14" spans="2:26" s="314" customFormat="1">
      <c r="B14" s="241">
        <f t="shared" si="3"/>
        <v>4</v>
      </c>
      <c r="C14" s="119" t="s">
        <v>1432</v>
      </c>
      <c r="D14" s="128"/>
      <c r="E14" s="128"/>
      <c r="F14" s="527"/>
      <c r="G14" s="682"/>
      <c r="H14" s="682">
        <f t="shared" si="0"/>
        <v>0</v>
      </c>
      <c r="I14" s="682"/>
      <c r="J14" s="1088"/>
      <c r="K14" s="1088"/>
      <c r="L14" s="1088">
        <f t="shared" si="1"/>
        <v>0</v>
      </c>
      <c r="M14" s="1088"/>
      <c r="N14" s="1088"/>
      <c r="O14" s="649"/>
      <c r="P14" s="649"/>
      <c r="Q14" s="682"/>
      <c r="R14" s="682">
        <f t="shared" si="2"/>
        <v>0</v>
      </c>
      <c r="S14" s="584">
        <f>'F3'!E24</f>
        <v>0</v>
      </c>
      <c r="T14" s="584">
        <f>'F3'!F24</f>
        <v>8.05448466</v>
      </c>
      <c r="U14" s="584">
        <f>'F3'!G24</f>
        <v>16.806487691555997</v>
      </c>
      <c r="V14" s="584">
        <f>'F3'!H24</f>
        <v>17.53420860860037</v>
      </c>
      <c r="W14" s="584">
        <f>'F3'!I24</f>
        <v>18.293439841352768</v>
      </c>
      <c r="X14" s="318"/>
    </row>
    <row r="15" spans="2:26" s="314" customFormat="1">
      <c r="B15" s="241">
        <f t="shared" si="3"/>
        <v>5</v>
      </c>
      <c r="C15" s="120" t="s">
        <v>338</v>
      </c>
      <c r="D15" s="128" t="s">
        <v>70</v>
      </c>
      <c r="E15" s="661">
        <v>340.23829467557158</v>
      </c>
      <c r="F15" s="682">
        <f>G15</f>
        <v>342.94685808239706</v>
      </c>
      <c r="G15" s="527">
        <f>'F5 (T)'!E85</f>
        <v>342.94685808239706</v>
      </c>
      <c r="H15" s="682">
        <f t="shared" si="0"/>
        <v>0</v>
      </c>
      <c r="I15" s="661">
        <v>340.94475867557151</v>
      </c>
      <c r="J15" s="1088">
        <f>K15</f>
        <v>343.73328998671707</v>
      </c>
      <c r="K15" s="1088">
        <f>'F5 (T)'!J85</f>
        <v>343.73328998671707</v>
      </c>
      <c r="L15" s="1088">
        <f t="shared" si="1"/>
        <v>0</v>
      </c>
      <c r="M15" s="661">
        <v>353.01630054678014</v>
      </c>
      <c r="N15" s="1088">
        <f>Q15</f>
        <v>343.93317805244874</v>
      </c>
      <c r="O15" s="682">
        <f>('F5 (T)'!O85)/2</f>
        <v>171.96658902622437</v>
      </c>
      <c r="P15" s="682">
        <f>O15</f>
        <v>171.96658902622437</v>
      </c>
      <c r="Q15" s="682">
        <f>O15+P15</f>
        <v>343.93317805244874</v>
      </c>
      <c r="R15" s="682">
        <f t="shared" si="2"/>
        <v>0</v>
      </c>
      <c r="S15" s="584">
        <f>'F5 (T)'!T85</f>
        <v>344.2371895382957</v>
      </c>
      <c r="T15" s="584">
        <f>'F5 (T)'!$E$112</f>
        <v>155.56677864666005</v>
      </c>
      <c r="U15" s="584">
        <f>'F5 (T)'!$J$112</f>
        <v>164.09768614252482</v>
      </c>
      <c r="V15" s="584">
        <f>'F5 (T)'!$O$112</f>
        <v>169.44571539258354</v>
      </c>
      <c r="W15" s="584">
        <f>'F5 (T)'!$T$112</f>
        <v>176.1203487259169</v>
      </c>
      <c r="X15" s="318"/>
    </row>
    <row r="16" spans="2:26" s="314" customFormat="1">
      <c r="B16" s="241">
        <f t="shared" si="3"/>
        <v>6</v>
      </c>
      <c r="C16" s="120" t="s">
        <v>864</v>
      </c>
      <c r="D16" s="128"/>
      <c r="E16" s="841">
        <v>4.3886183256135798</v>
      </c>
      <c r="F16" s="842">
        <f t="shared" ref="F16:F17" si="4">G16</f>
        <v>0.93390634205492162</v>
      </c>
      <c r="G16" s="527">
        <v>0.93390634205492162</v>
      </c>
      <c r="H16" s="682">
        <f t="shared" si="0"/>
        <v>0</v>
      </c>
      <c r="I16" s="584">
        <v>4.3228963389439725</v>
      </c>
      <c r="J16" s="1088">
        <f t="shared" ref="J16:J17" si="5">K16</f>
        <v>1.0413569799202387</v>
      </c>
      <c r="K16" s="527">
        <v>1.0413569799202387</v>
      </c>
      <c r="L16" s="1088">
        <f t="shared" si="1"/>
        <v>0</v>
      </c>
      <c r="M16" s="1410">
        <v>4.3228963389439725</v>
      </c>
      <c r="N16" s="1088">
        <f t="shared" ref="N16:N17" si="6">Q16</f>
        <v>1.0208014919244144</v>
      </c>
      <c r="O16" s="649">
        <f>Q16/2</f>
        <v>0.51040074596220719</v>
      </c>
      <c r="P16" s="649">
        <f>O16</f>
        <v>0.51040074596220719</v>
      </c>
      <c r="Q16" s="649">
        <v>1.0208014919244144</v>
      </c>
      <c r="R16" s="682">
        <f t="shared" si="2"/>
        <v>0</v>
      </c>
      <c r="S16" s="584">
        <v>1.0413569799202387</v>
      </c>
      <c r="T16" s="584">
        <v>1.0413569799202387</v>
      </c>
      <c r="U16" s="584">
        <v>1.0413569799202387</v>
      </c>
      <c r="V16" s="584">
        <v>1.0413569799202387</v>
      </c>
      <c r="W16" s="584">
        <v>1.0413569799202387</v>
      </c>
      <c r="X16" s="318"/>
    </row>
    <row r="17" spans="2:24" s="314" customFormat="1">
      <c r="B17" s="241">
        <f t="shared" si="3"/>
        <v>7</v>
      </c>
      <c r="C17" s="119" t="s">
        <v>337</v>
      </c>
      <c r="D17" s="128" t="s">
        <v>71</v>
      </c>
      <c r="E17" s="661">
        <f>'F6'!D25</f>
        <v>197.94967578015914</v>
      </c>
      <c r="F17" s="842">
        <f t="shared" si="4"/>
        <v>196.84451066399731</v>
      </c>
      <c r="G17" s="837">
        <f>'F6'!E25</f>
        <v>196.84451066399731</v>
      </c>
      <c r="H17" s="682">
        <f t="shared" si="0"/>
        <v>0</v>
      </c>
      <c r="I17" s="661">
        <f>'F6'!$G$25</f>
        <v>163.39944763325607</v>
      </c>
      <c r="J17" s="1088">
        <f t="shared" si="5"/>
        <v>164.04743291784061</v>
      </c>
      <c r="K17" s="1088">
        <f>'F6'!$H$25</f>
        <v>164.04743291784061</v>
      </c>
      <c r="L17" s="1088">
        <f t="shared" si="1"/>
        <v>0</v>
      </c>
      <c r="M17" s="661">
        <f>'F6'!J25</f>
        <v>145.07202365829826</v>
      </c>
      <c r="N17" s="1088">
        <f t="shared" si="6"/>
        <v>131.1384193559972</v>
      </c>
      <c r="O17" s="682">
        <f>'F6'!$K$25/2</f>
        <v>65.5692096779986</v>
      </c>
      <c r="P17" s="682">
        <f>O17</f>
        <v>65.5692096779986</v>
      </c>
      <c r="Q17" s="682">
        <f t="shared" ref="Q17:Q21" si="7">O17+P17</f>
        <v>131.1384193559972</v>
      </c>
      <c r="R17" s="682">
        <f t="shared" si="2"/>
        <v>0</v>
      </c>
      <c r="S17" s="584">
        <f>'F6'!M25</f>
        <v>98.821924478943657</v>
      </c>
      <c r="T17" s="584">
        <f>'F6'!N25</f>
        <v>85.250527927078892</v>
      </c>
      <c r="U17" s="584">
        <f>'F6'!O25</f>
        <v>83.186317321008985</v>
      </c>
      <c r="V17" s="584">
        <f>'F6'!P25</f>
        <v>76.606502872267114</v>
      </c>
      <c r="W17" s="584">
        <f>'F6'!Q25</f>
        <v>70.237400231441285</v>
      </c>
      <c r="X17" s="318"/>
    </row>
    <row r="18" spans="2:24" s="314" customFormat="1">
      <c r="B18" s="241">
        <f t="shared" si="3"/>
        <v>8</v>
      </c>
      <c r="C18" s="24" t="s">
        <v>1480</v>
      </c>
      <c r="D18" s="128"/>
      <c r="E18" s="661"/>
      <c r="F18" s="649">
        <f>G18</f>
        <v>6.2276094464786685E-2</v>
      </c>
      <c r="G18" s="1156">
        <v>6.2276094464786685E-2</v>
      </c>
      <c r="H18" s="1156"/>
      <c r="I18" s="661"/>
      <c r="J18" s="649">
        <f>K18</f>
        <v>6.2811264822205268E-2</v>
      </c>
      <c r="K18" s="1410">
        <v>6.2811264822205268E-2</v>
      </c>
      <c r="L18" s="1410"/>
      <c r="M18" s="661"/>
      <c r="N18" s="1410">
        <f>Q18</f>
        <v>5.7644463778937623E-2</v>
      </c>
      <c r="O18" s="1156">
        <v>2.8822231889468811E-2</v>
      </c>
      <c r="P18" s="1156">
        <v>2.8822231889468811E-2</v>
      </c>
      <c r="Q18" s="1156">
        <v>5.7644463778937623E-2</v>
      </c>
      <c r="R18" s="1156"/>
      <c r="S18" s="1156">
        <v>4.0798215851708772E-2</v>
      </c>
      <c r="T18" s="1156">
        <v>3.2201112275651471E-2</v>
      </c>
      <c r="U18" s="1156">
        <v>2.9319438692767461E-2</v>
      </c>
      <c r="V18" s="1156">
        <v>2.6030783234997499E-2</v>
      </c>
      <c r="W18" s="1156">
        <v>2.3360996010151285E-2</v>
      </c>
      <c r="X18" s="318"/>
    </row>
    <row r="19" spans="2:24" s="314" customFormat="1">
      <c r="B19" s="241">
        <f t="shared" si="3"/>
        <v>9</v>
      </c>
      <c r="C19" s="120" t="s">
        <v>87</v>
      </c>
      <c r="D19" s="128" t="s">
        <v>60</v>
      </c>
      <c r="E19" s="660">
        <f>'F2.4'!E34</f>
        <v>82.569074646181946</v>
      </c>
      <c r="F19" s="660">
        <f>'F2.4'!F34</f>
        <v>81.376351280661609</v>
      </c>
      <c r="G19" s="837">
        <f>'F2.4'!F35</f>
        <v>174.08206204458344</v>
      </c>
      <c r="H19" s="682">
        <f t="shared" si="0"/>
        <v>92.705710763921829</v>
      </c>
      <c r="I19" s="682">
        <f>'F2.4'!$G$34</f>
        <v>90.790670085158411</v>
      </c>
      <c r="J19" s="1088">
        <f>'F2.4'!$H$34</f>
        <v>115.65641553478056</v>
      </c>
      <c r="K19" s="1088">
        <f>'F2.4'!$H$35</f>
        <v>214.70842783599093</v>
      </c>
      <c r="L19" s="1088">
        <f t="shared" si="1"/>
        <v>99.052012301210368</v>
      </c>
      <c r="M19" s="1088">
        <f>'F2.4'!I34</f>
        <v>91.736925836873297</v>
      </c>
      <c r="N19" s="1088">
        <f ca="1">'F2.4'!J34</f>
        <v>128.66994087902717</v>
      </c>
      <c r="O19" s="682">
        <f ca="1">Q19/2</f>
        <v>64.334970439513583</v>
      </c>
      <c r="P19" s="682">
        <f ca="1">O19</f>
        <v>64.334970439513583</v>
      </c>
      <c r="Q19" s="682">
        <f ca="1">N19</f>
        <v>128.66994087902717</v>
      </c>
      <c r="R19" s="682">
        <f t="shared" ca="1" si="2"/>
        <v>0</v>
      </c>
      <c r="S19" s="584">
        <f ca="1">'F2.4'!E73</f>
        <v>107.92989922523527</v>
      </c>
      <c r="T19" s="584">
        <f ca="1">'F2.4'!F73</f>
        <v>110.15797473553414</v>
      </c>
      <c r="U19" s="584">
        <f ca="1">'F2.4'!G73</f>
        <v>123.63983768170435</v>
      </c>
      <c r="V19" s="584">
        <f ca="1">'F2.4'!H73</f>
        <v>129.48959510636411</v>
      </c>
      <c r="W19" s="584">
        <f ca="1">'F2.4'!I73</f>
        <v>135.29923387937831</v>
      </c>
      <c r="X19" s="318"/>
    </row>
    <row r="20" spans="2:24" s="314" customFormat="1">
      <c r="B20" s="241">
        <f t="shared" si="3"/>
        <v>10</v>
      </c>
      <c r="C20" s="120" t="s">
        <v>1433</v>
      </c>
      <c r="D20" s="128"/>
      <c r="E20" s="660"/>
      <c r="F20" s="660"/>
      <c r="G20" s="1088"/>
      <c r="H20" s="1088"/>
      <c r="I20" s="1088"/>
      <c r="J20" s="1088"/>
      <c r="K20" s="1088"/>
      <c r="L20" s="1088"/>
      <c r="M20" s="1088"/>
      <c r="N20" s="1088"/>
      <c r="O20" s="1088"/>
      <c r="P20" s="1088"/>
      <c r="Q20" s="1088"/>
      <c r="R20" s="1088"/>
      <c r="S20" s="584">
        <f>'F2.4'!E85</f>
        <v>0</v>
      </c>
      <c r="T20" s="584">
        <f>'F2.4'!F85</f>
        <v>0.47352158724749999</v>
      </c>
      <c r="U20" s="584">
        <f>'F2.4'!G85</f>
        <v>1.5024613087246619</v>
      </c>
      <c r="V20" s="584">
        <f>'F2.4'!H85</f>
        <v>1.588761674455851</v>
      </c>
      <c r="W20" s="584">
        <f>'F2.4'!I85</f>
        <v>1.5953733131077366</v>
      </c>
      <c r="X20" s="318"/>
    </row>
    <row r="21" spans="2:24" s="314" customFormat="1">
      <c r="B21" s="241">
        <f t="shared" si="3"/>
        <v>11</v>
      </c>
      <c r="C21" s="120" t="s">
        <v>88</v>
      </c>
      <c r="D21" s="128" t="s">
        <v>76</v>
      </c>
      <c r="E21" s="661">
        <f>'F10'!D27</f>
        <v>31.454819047390089</v>
      </c>
      <c r="F21" s="527">
        <f>G21</f>
        <v>35.120008536282299</v>
      </c>
      <c r="G21" s="584">
        <f>'F10'!E27</f>
        <v>35.120008536282299</v>
      </c>
      <c r="H21" s="682">
        <f t="shared" si="0"/>
        <v>0</v>
      </c>
      <c r="I21" s="661">
        <f>'F10'!G27</f>
        <v>31.454819047390089</v>
      </c>
      <c r="J21" s="527">
        <f>K21</f>
        <v>39.807030481122453</v>
      </c>
      <c r="K21" s="1088">
        <f>'F10'!H27</f>
        <v>39.807030481122453</v>
      </c>
      <c r="L21" s="1088">
        <f t="shared" si="1"/>
        <v>0</v>
      </c>
      <c r="M21" s="661">
        <f>'F10'!J27</f>
        <v>31.454819047390089</v>
      </c>
      <c r="N21" s="1088">
        <f>Q21</f>
        <v>31.132491146977994</v>
      </c>
      <c r="O21" s="682">
        <f>'F10'!K27</f>
        <v>15.566245573488997</v>
      </c>
      <c r="P21" s="682">
        <f>'F10'!L27</f>
        <v>15.566245573488997</v>
      </c>
      <c r="Q21" s="682">
        <f t="shared" si="7"/>
        <v>31.132491146977994</v>
      </c>
      <c r="R21" s="682">
        <f t="shared" ref="R21:R26" si="8">Q21-N21</f>
        <v>0</v>
      </c>
      <c r="S21" s="584">
        <f>'F10'!O27</f>
        <v>39.807030481122453</v>
      </c>
      <c r="T21" s="584">
        <f>'F10'!P27</f>
        <v>39.807030481122453</v>
      </c>
      <c r="U21" s="584">
        <f>'F10'!Q27</f>
        <v>39.807030481122453</v>
      </c>
      <c r="V21" s="584">
        <f>'F10'!R27</f>
        <v>39.807030481122453</v>
      </c>
      <c r="W21" s="584">
        <f>'F10'!S27</f>
        <v>39.807030481122453</v>
      </c>
      <c r="X21" s="318"/>
    </row>
    <row r="22" spans="2:24" s="314" customFormat="1">
      <c r="B22" s="241">
        <f t="shared" si="3"/>
        <v>12</v>
      </c>
      <c r="C22" s="119" t="s">
        <v>89</v>
      </c>
      <c r="D22" s="128" t="s">
        <v>324</v>
      </c>
      <c r="E22" s="661"/>
      <c r="F22" s="527">
        <f>E22</f>
        <v>0</v>
      </c>
      <c r="G22" s="748">
        <f>'F12'!E10</f>
        <v>0</v>
      </c>
      <c r="H22" s="748">
        <f t="shared" si="0"/>
        <v>0</v>
      </c>
      <c r="I22" s="661"/>
      <c r="J22" s="1088">
        <f>I22</f>
        <v>0</v>
      </c>
      <c r="K22" s="1088">
        <f>'F12'!F10</f>
        <v>0</v>
      </c>
      <c r="L22" s="1088">
        <f t="shared" si="1"/>
        <v>0</v>
      </c>
      <c r="M22" s="661"/>
      <c r="N22" s="1088">
        <f>M22</f>
        <v>0</v>
      </c>
      <c r="O22" s="318">
        <f>'F12'!$G$10/2</f>
        <v>0</v>
      </c>
      <c r="P22" s="318">
        <f>O22</f>
        <v>0</v>
      </c>
      <c r="Q22" s="748">
        <f>SUM(O22:P22)</f>
        <v>0</v>
      </c>
      <c r="R22" s="748">
        <f t="shared" si="8"/>
        <v>0</v>
      </c>
      <c r="S22" s="584">
        <f>'F12'!H10</f>
        <v>0</v>
      </c>
      <c r="T22" s="584">
        <f>'F12'!I10</f>
        <v>0</v>
      </c>
      <c r="U22" s="584">
        <f>'F12'!J10</f>
        <v>0</v>
      </c>
      <c r="V22" s="584">
        <f>'F12'!K10</f>
        <v>0</v>
      </c>
      <c r="W22" s="584">
        <f>'F12'!L10</f>
        <v>0</v>
      </c>
      <c r="X22" s="318"/>
    </row>
    <row r="23" spans="2:24" s="314" customFormat="1">
      <c r="B23" s="241">
        <f t="shared" si="3"/>
        <v>13</v>
      </c>
      <c r="C23" s="244" t="s">
        <v>90</v>
      </c>
      <c r="D23" s="524"/>
      <c r="E23" s="454">
        <f>SUM(E11:E22)</f>
        <v>3165.9156535791935</v>
      </c>
      <c r="F23" s="454">
        <f t="shared" ref="F23:P23" si="9">SUM(F11:F22)</f>
        <v>3125.6992483122608</v>
      </c>
      <c r="G23" s="454">
        <f>SUM(G11:G22)</f>
        <v>3879.0398592640013</v>
      </c>
      <c r="H23" s="454">
        <f t="shared" si="9"/>
        <v>753.34061095174047</v>
      </c>
      <c r="I23" s="454">
        <f t="shared" ref="I23" si="10">SUM(I11:I22)</f>
        <v>3460.1547668425869</v>
      </c>
      <c r="J23" s="454">
        <f t="shared" si="9"/>
        <v>3283.2853117434952</v>
      </c>
      <c r="K23" s="454">
        <f>SUM(K11:K22)</f>
        <v>3680.9421120061074</v>
      </c>
      <c r="L23" s="454">
        <f t="shared" si="9"/>
        <v>397.65680026261248</v>
      </c>
      <c r="M23" s="454">
        <f t="shared" ref="M23" si="11">SUM(M11:M22)</f>
        <v>3481.3001086408299</v>
      </c>
      <c r="N23" s="454">
        <f t="shared" ca="1" si="9"/>
        <v>3384.7371025468033</v>
      </c>
      <c r="O23" s="454">
        <f t="shared" ca="1" si="9"/>
        <v>1696.7024056547928</v>
      </c>
      <c r="P23" s="454">
        <f t="shared" ca="1" si="9"/>
        <v>1836.3489777520078</v>
      </c>
      <c r="Q23" s="454">
        <f ca="1">SUM(Q11:Q22)</f>
        <v>3533.0513834068001</v>
      </c>
      <c r="R23" s="454">
        <f ca="1">SUM(R11:R22)</f>
        <v>148.31428085999721</v>
      </c>
      <c r="S23" s="1060">
        <f t="shared" ref="S23:W23" ca="1" si="12">SUM(S11:S22)</f>
        <v>3978.7164616867785</v>
      </c>
      <c r="T23" s="1060">
        <f t="shared" ca="1" si="12"/>
        <v>3957.5462501955485</v>
      </c>
      <c r="U23" s="1060">
        <f t="shared" ca="1" si="12"/>
        <v>4562.7788009920905</v>
      </c>
      <c r="V23" s="1060">
        <f ca="1">SUM(V11:V22)</f>
        <v>4770.5934226106365</v>
      </c>
      <c r="W23" s="1060">
        <f t="shared" ca="1" si="12"/>
        <v>4983.9102419374003</v>
      </c>
      <c r="X23" s="318"/>
    </row>
    <row r="24" spans="2:24" s="314" customFormat="1">
      <c r="B24" s="241">
        <f t="shared" si="3"/>
        <v>14</v>
      </c>
      <c r="C24" s="119" t="s">
        <v>91</v>
      </c>
      <c r="D24" s="128" t="s">
        <v>73</v>
      </c>
      <c r="E24" s="661">
        <f>'F7'!D21</f>
        <v>183.23340069277211</v>
      </c>
      <c r="F24" s="527">
        <f>G24</f>
        <v>183.51665311496924</v>
      </c>
      <c r="G24" s="527">
        <f>'F7'!E21+'F7'!E42</f>
        <v>183.51665311496924</v>
      </c>
      <c r="H24" s="682">
        <f>G24-F24</f>
        <v>0</v>
      </c>
      <c r="I24" s="661">
        <f>'F7'!G21</f>
        <v>183.79536069277214</v>
      </c>
      <c r="J24" s="1088">
        <f>K24</f>
        <v>184.680423781613</v>
      </c>
      <c r="K24" s="1088">
        <f>'F7'!H21+'F7'!F42</f>
        <v>184.680423781613</v>
      </c>
      <c r="L24" s="1088">
        <f>K24-J24</f>
        <v>0</v>
      </c>
      <c r="M24" s="661">
        <f>'F7'!$J$21</f>
        <v>194.07213069277211</v>
      </c>
      <c r="N24" s="1088">
        <f>Q24</f>
        <v>186.06868495436603</v>
      </c>
      <c r="O24" s="682">
        <f>'F7'!K21/2</f>
        <v>93.034342477183017</v>
      </c>
      <c r="P24" s="682">
        <f>O24</f>
        <v>93.034342477183017</v>
      </c>
      <c r="Q24" s="682">
        <f t="shared" ref="Q24:Q26" si="13">O24+P24</f>
        <v>186.06868495436603</v>
      </c>
      <c r="R24" s="682">
        <f t="shared" si="8"/>
        <v>0</v>
      </c>
      <c r="S24" s="584">
        <f>'F7'!D65</f>
        <v>207.94191710844098</v>
      </c>
      <c r="T24" s="584">
        <f>'F7'!E65</f>
        <v>215.75723023344096</v>
      </c>
      <c r="U24" s="584">
        <f>'F7'!F65</f>
        <v>225.03840935844099</v>
      </c>
      <c r="V24" s="584">
        <f>'F7'!G65</f>
        <v>231.85743285844094</v>
      </c>
      <c r="W24" s="584">
        <f>'F7'!H65</f>
        <v>239.212182858441</v>
      </c>
      <c r="X24" s="318"/>
    </row>
    <row r="25" spans="2:24" s="314" customFormat="1">
      <c r="B25" s="241">
        <f t="shared" si="3"/>
        <v>15</v>
      </c>
      <c r="C25" s="24" t="s">
        <v>1481</v>
      </c>
      <c r="D25" s="128"/>
      <c r="E25" s="661"/>
      <c r="F25" s="649">
        <f>G25</f>
        <v>3.3887223517520229E-2</v>
      </c>
      <c r="G25" s="649">
        <v>3.3887223517520229E-2</v>
      </c>
      <c r="H25" s="1156"/>
      <c r="I25" s="661"/>
      <c r="J25" s="649">
        <f>K25</f>
        <v>3.8900255042365627E-2</v>
      </c>
      <c r="K25" s="649">
        <v>3.8900255042365627E-2</v>
      </c>
      <c r="L25" s="1410"/>
      <c r="M25" s="661"/>
      <c r="N25" s="1410">
        <f>Q25</f>
        <v>4.3200051188866551E-2</v>
      </c>
      <c r="O25" s="649">
        <v>2.1600025594433275E-2</v>
      </c>
      <c r="P25" s="649">
        <v>2.1600025594433275E-2</v>
      </c>
      <c r="Q25" s="649">
        <v>4.3200051188866551E-2</v>
      </c>
      <c r="R25" s="1156"/>
      <c r="S25" s="649">
        <v>4.0956508819361713E-2</v>
      </c>
      <c r="T25" s="649">
        <v>3.9798130504106209E-2</v>
      </c>
      <c r="U25" s="649">
        <v>3.9399815223997096E-2</v>
      </c>
      <c r="V25" s="649">
        <v>3.9046382916028723E-2</v>
      </c>
      <c r="W25" s="649">
        <v>3.9036433407083633E-2</v>
      </c>
      <c r="X25" s="318"/>
    </row>
    <row r="26" spans="2:24" s="314" customFormat="1">
      <c r="B26" s="241">
        <f t="shared" si="3"/>
        <v>16</v>
      </c>
      <c r="C26" s="119" t="s">
        <v>92</v>
      </c>
      <c r="D26" s="128" t="s">
        <v>77</v>
      </c>
      <c r="E26" s="661">
        <f>'F11'!D26</f>
        <v>18.996218114380166</v>
      </c>
      <c r="F26" s="527">
        <f>G26</f>
        <v>6.4695835036040004</v>
      </c>
      <c r="G26" s="682">
        <f>'F11'!E26</f>
        <v>6.4695835036040004</v>
      </c>
      <c r="H26" s="682">
        <f>G26-F26</f>
        <v>0</v>
      </c>
      <c r="I26" s="661">
        <f>'F11'!G26</f>
        <v>7.7821512877304109</v>
      </c>
      <c r="J26" s="1088">
        <f>K26</f>
        <v>3.9354826376086258</v>
      </c>
      <c r="K26" s="1088">
        <f>'F11'!H26</f>
        <v>3.9354826376086258</v>
      </c>
      <c r="L26" s="1088">
        <f>K26-J26</f>
        <v>0</v>
      </c>
      <c r="M26" s="661">
        <f>'F11'!J26</f>
        <v>7.7821512877304109</v>
      </c>
      <c r="N26" s="1088">
        <f>Q26</f>
        <v>3.9354826376086258</v>
      </c>
      <c r="O26" s="682">
        <f>'F11'!K26</f>
        <v>1.9677413188043129</v>
      </c>
      <c r="P26" s="682">
        <f>'F11'!L26</f>
        <v>1.9677413188043129</v>
      </c>
      <c r="Q26" s="682">
        <f t="shared" si="13"/>
        <v>3.9354826376086258</v>
      </c>
      <c r="R26" s="682">
        <f t="shared" si="8"/>
        <v>0</v>
      </c>
      <c r="S26" s="584">
        <f>'F11'!O26</f>
        <v>3.9354826376086258</v>
      </c>
      <c r="T26" s="584">
        <f>'F11'!P26</f>
        <v>3.9354826376086258</v>
      </c>
      <c r="U26" s="584">
        <f>'F11'!Q26</f>
        <v>3.9354826376086258</v>
      </c>
      <c r="V26" s="584">
        <f>'F11'!R26</f>
        <v>3.9354826376086258</v>
      </c>
      <c r="W26" s="584">
        <f>'F11'!S26</f>
        <v>3.9354826376086258</v>
      </c>
      <c r="X26" s="318"/>
    </row>
    <row r="27" spans="2:24" s="314" customFormat="1">
      <c r="B27" s="241">
        <f t="shared" si="3"/>
        <v>17</v>
      </c>
      <c r="C27" s="244" t="s">
        <v>93</v>
      </c>
      <c r="D27" s="128"/>
      <c r="E27" s="454">
        <f>E23+E24-E26+E25</f>
        <v>3330.1528361575856</v>
      </c>
      <c r="F27" s="454">
        <f t="shared" ref="F27:W27" si="14">F23+F24-F26+F25</f>
        <v>3302.7802051471435</v>
      </c>
      <c r="G27" s="454">
        <f t="shared" si="14"/>
        <v>4056.120816098884</v>
      </c>
      <c r="H27" s="454">
        <f t="shared" si="14"/>
        <v>753.34061095174047</v>
      </c>
      <c r="I27" s="454">
        <f t="shared" si="14"/>
        <v>3636.1679762476288</v>
      </c>
      <c r="J27" s="454">
        <f t="shared" si="14"/>
        <v>3464.0691531425423</v>
      </c>
      <c r="K27" s="454">
        <f t="shared" si="14"/>
        <v>3861.7259534051545</v>
      </c>
      <c r="L27" s="454">
        <f t="shared" si="14"/>
        <v>397.65680026261248</v>
      </c>
      <c r="M27" s="454">
        <f t="shared" si="14"/>
        <v>3667.5900880458717</v>
      </c>
      <c r="N27" s="454">
        <f t="shared" ca="1" si="14"/>
        <v>3566.9135049147494</v>
      </c>
      <c r="O27" s="454">
        <f t="shared" ca="1" si="14"/>
        <v>1787.7906068387658</v>
      </c>
      <c r="P27" s="454">
        <f t="shared" ca="1" si="14"/>
        <v>1927.4371789359809</v>
      </c>
      <c r="Q27" s="454">
        <f t="shared" ca="1" si="14"/>
        <v>3715.2277857747463</v>
      </c>
      <c r="R27" s="454">
        <f t="shared" ca="1" si="14"/>
        <v>148.31428085999721</v>
      </c>
      <c r="S27" s="454">
        <f t="shared" ca="1" si="14"/>
        <v>4182.7638526664305</v>
      </c>
      <c r="T27" s="454">
        <f t="shared" ca="1" si="14"/>
        <v>4169.4077959218848</v>
      </c>
      <c r="U27" s="454">
        <f t="shared" ca="1" si="14"/>
        <v>4783.9211275281468</v>
      </c>
      <c r="V27" s="454">
        <f t="shared" ca="1" si="14"/>
        <v>4998.5544192143852</v>
      </c>
      <c r="W27" s="454">
        <f t="shared" ca="1" si="14"/>
        <v>5219.2259785916403</v>
      </c>
      <c r="X27" s="318"/>
    </row>
    <row r="28" spans="2:24" s="662" customFormat="1">
      <c r="B28" s="688"/>
      <c r="E28" s="663"/>
      <c r="F28" s="664"/>
      <c r="G28" s="1421"/>
      <c r="H28" s="503"/>
      <c r="I28" s="1387"/>
      <c r="J28" s="361"/>
      <c r="K28" s="1421"/>
      <c r="L28" s="586"/>
      <c r="M28" s="663"/>
      <c r="N28" s="664"/>
      <c r="O28" s="663"/>
      <c r="P28" s="663"/>
      <c r="Q28" s="663"/>
      <c r="S28" s="663"/>
      <c r="T28" s="663"/>
      <c r="U28" s="663"/>
      <c r="V28" s="663"/>
      <c r="W28" s="663"/>
    </row>
    <row r="29" spans="2:24">
      <c r="F29" s="361"/>
      <c r="J29" s="614"/>
      <c r="K29" s="314"/>
      <c r="L29" s="314"/>
      <c r="M29" s="314"/>
      <c r="N29" s="614"/>
      <c r="S29" s="503"/>
      <c r="T29" s="503"/>
      <c r="U29" s="503"/>
      <c r="V29" s="503"/>
      <c r="W29" s="503"/>
    </row>
    <row r="30" spans="2:24">
      <c r="J30" s="314"/>
      <c r="K30" s="314"/>
      <c r="L30" s="314"/>
      <c r="M30" s="314"/>
      <c r="N30" s="314"/>
    </row>
    <row r="31" spans="2:24">
      <c r="B31" s="14" t="s">
        <v>1493</v>
      </c>
      <c r="J31" s="314"/>
      <c r="K31" s="314"/>
      <c r="L31" s="314"/>
      <c r="M31" s="314"/>
      <c r="N31" s="314"/>
    </row>
    <row r="32" spans="2:24">
      <c r="J32" s="314"/>
      <c r="K32" s="314"/>
      <c r="L32" s="314"/>
      <c r="M32" s="314"/>
      <c r="N32" s="314"/>
    </row>
    <row r="33" spans="7:16">
      <c r="J33" s="314"/>
      <c r="K33" s="314"/>
      <c r="L33" s="314"/>
      <c r="M33" s="314"/>
      <c r="N33" s="314"/>
    </row>
    <row r="34" spans="7:16">
      <c r="G34" s="1387">
        <v>0</v>
      </c>
      <c r="H34" s="1388"/>
      <c r="I34" s="1388"/>
      <c r="J34" s="662"/>
      <c r="K34" s="663">
        <v>0</v>
      </c>
      <c r="L34" s="662"/>
      <c r="M34" s="662"/>
      <c r="N34" s="662"/>
      <c r="O34" s="1387"/>
      <c r="P34" s="1387"/>
    </row>
    <row r="35" spans="7:16">
      <c r="J35" s="314"/>
      <c r="K35" s="314"/>
      <c r="L35" s="314"/>
      <c r="M35" s="314"/>
      <c r="N35" s="314"/>
    </row>
    <row r="36" spans="7:16">
      <c r="J36" s="314"/>
      <c r="K36" s="314"/>
      <c r="L36" s="314"/>
      <c r="M36" s="314"/>
      <c r="N36" s="314"/>
    </row>
    <row r="37" spans="7:16">
      <c r="J37" s="314"/>
      <c r="K37" s="314"/>
      <c r="L37" s="314"/>
      <c r="M37" s="314"/>
      <c r="N37" s="314"/>
    </row>
    <row r="38" spans="7:16">
      <c r="J38" s="314"/>
      <c r="K38" s="314"/>
      <c r="L38" s="314"/>
      <c r="M38" s="314"/>
      <c r="N38" s="314"/>
    </row>
    <row r="39" spans="7:16">
      <c r="J39" s="314"/>
      <c r="K39" s="314"/>
      <c r="L39" s="314"/>
      <c r="M39" s="314"/>
      <c r="N39" s="314"/>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20"/>
  <sheetViews>
    <sheetView view="pageBreakPreview" zoomScale="70" zoomScaleNormal="75" zoomScaleSheetLayoutView="70" workbookViewId="0">
      <selection activeCell="J20" sqref="J20"/>
    </sheetView>
  </sheetViews>
  <sheetFormatPr defaultColWidth="9.36328125" defaultRowHeight="14"/>
  <cols>
    <col min="1" max="1" width="8.36328125" style="171" customWidth="1"/>
    <col min="2" max="2" width="33.81640625" style="171" customWidth="1"/>
    <col min="3" max="3" width="11.08984375" style="171" customWidth="1"/>
    <col min="4" max="4" width="14.453125" style="171" customWidth="1"/>
    <col min="5" max="5" width="10.08984375" style="171" customWidth="1"/>
    <col min="6" max="6" width="11.08984375" style="171" customWidth="1"/>
    <col min="7" max="7" width="14.1796875" style="171" customWidth="1"/>
    <col min="8" max="8" width="7.90625" style="171" customWidth="1"/>
    <col min="9" max="9" width="11.08984375" style="171" customWidth="1"/>
    <col min="10" max="10" width="14.1796875" style="171" customWidth="1"/>
    <col min="11" max="11" width="15.81640625" style="171" customWidth="1"/>
    <col min="12" max="12" width="12.453125" style="171" customWidth="1"/>
    <col min="13" max="14" width="12.90625" style="171" customWidth="1"/>
    <col min="15" max="15" width="13.1796875" style="171" customWidth="1"/>
    <col min="16" max="16" width="13.81640625" style="171" customWidth="1"/>
    <col min="17" max="17" width="12.54296875" style="171" customWidth="1"/>
    <col min="18" max="16384" width="9.36328125" style="171"/>
  </cols>
  <sheetData>
    <row r="1" spans="1:18">
      <c r="A1" s="168"/>
      <c r="B1" s="169"/>
      <c r="C1" s="170"/>
      <c r="D1" s="170"/>
      <c r="E1" s="170"/>
      <c r="F1" s="170"/>
    </row>
    <row r="2" spans="1:18">
      <c r="A2" s="1706" t="str">
        <f>Index!B2</f>
        <v xml:space="preserve">      Maharashtra State Power Generation Company Ltd.</v>
      </c>
      <c r="B2" s="1706"/>
      <c r="C2" s="1706"/>
      <c r="D2" s="1706"/>
      <c r="E2" s="1706"/>
      <c r="F2" s="1706"/>
      <c r="G2" s="1706"/>
      <c r="H2" s="1706"/>
      <c r="I2" s="633"/>
      <c r="J2" s="1706" t="s">
        <v>745</v>
      </c>
      <c r="K2" s="1706"/>
      <c r="L2" s="1706"/>
      <c r="M2" s="1706"/>
      <c r="N2" s="1706"/>
      <c r="O2" s="1706"/>
      <c r="P2" s="1706"/>
      <c r="Q2" s="1706"/>
      <c r="R2" s="528"/>
    </row>
    <row r="3" spans="1:18">
      <c r="A3" s="1706" t="str">
        <f>Index!B3</f>
        <v>MYT Petition Formats for Bhusawal Units 4&amp;5</v>
      </c>
      <c r="B3" s="1706"/>
      <c r="C3" s="1706"/>
      <c r="D3" s="1706"/>
      <c r="E3" s="1706"/>
      <c r="F3" s="1706"/>
      <c r="G3" s="1706"/>
      <c r="H3" s="1706"/>
      <c r="I3" s="633"/>
      <c r="J3" s="1706" t="str">
        <f>A3</f>
        <v>MYT Petition Formats for Bhusawal Units 4&amp;5</v>
      </c>
      <c r="K3" s="1706"/>
      <c r="L3" s="1706"/>
      <c r="M3" s="1706"/>
      <c r="N3" s="1706"/>
      <c r="O3" s="1706"/>
      <c r="P3" s="1706"/>
      <c r="Q3" s="1706"/>
      <c r="R3" s="528"/>
    </row>
    <row r="4" spans="1:18">
      <c r="A4" s="1707" t="s">
        <v>370</v>
      </c>
      <c r="B4" s="1707"/>
      <c r="C4" s="1707"/>
      <c r="D4" s="1707"/>
      <c r="E4" s="1707"/>
      <c r="F4" s="1707"/>
      <c r="G4" s="1707"/>
      <c r="H4" s="1707"/>
      <c r="I4" s="634"/>
      <c r="J4" s="1707" t="s">
        <v>370</v>
      </c>
      <c r="K4" s="1707"/>
      <c r="L4" s="1707"/>
      <c r="M4" s="1707"/>
      <c r="N4" s="1707"/>
      <c r="O4" s="1707"/>
      <c r="P4" s="1707"/>
      <c r="Q4" s="1707"/>
      <c r="R4" s="529"/>
    </row>
    <row r="5" spans="1:18" s="227" customFormat="1" ht="36" customHeight="1">
      <c r="A5" s="172"/>
      <c r="B5" s="170"/>
      <c r="C5" s="170"/>
      <c r="D5" s="170"/>
      <c r="E5" s="170"/>
      <c r="F5" s="170"/>
      <c r="H5" s="292"/>
      <c r="I5" s="171"/>
      <c r="J5" s="171"/>
      <c r="K5" s="171"/>
      <c r="L5" s="171"/>
      <c r="M5" s="171"/>
      <c r="N5" s="171"/>
      <c r="O5" s="171"/>
      <c r="P5" s="171"/>
      <c r="Q5" s="171"/>
    </row>
    <row r="6" spans="1:18" s="227" customFormat="1" ht="15.65" customHeight="1">
      <c r="A6" s="1697" t="s">
        <v>341</v>
      </c>
      <c r="B6" s="1693" t="s">
        <v>37</v>
      </c>
      <c r="C6" s="1699" t="s">
        <v>509</v>
      </c>
      <c r="D6" s="1700"/>
      <c r="E6" s="1701"/>
      <c r="F6" s="1699" t="s">
        <v>510</v>
      </c>
      <c r="G6" s="1700"/>
      <c r="H6" s="1701"/>
      <c r="I6" s="1699" t="s">
        <v>511</v>
      </c>
      <c r="J6" s="1700"/>
      <c r="K6" s="1701"/>
      <c r="L6" s="1681" t="s">
        <v>946</v>
      </c>
      <c r="M6" s="1681"/>
      <c r="N6" s="1681"/>
      <c r="O6" s="1681"/>
      <c r="P6" s="1681"/>
      <c r="Q6" s="1691" t="s">
        <v>27</v>
      </c>
    </row>
    <row r="7" spans="1:18" s="227" customFormat="1" ht="28">
      <c r="A7" s="1698"/>
      <c r="B7" s="1694"/>
      <c r="C7" s="295" t="s">
        <v>945</v>
      </c>
      <c r="D7" s="619" t="s">
        <v>882</v>
      </c>
      <c r="E7" s="295" t="s">
        <v>7</v>
      </c>
      <c r="F7" s="295" t="s">
        <v>945</v>
      </c>
      <c r="G7" s="619" t="s">
        <v>882</v>
      </c>
      <c r="H7" s="293" t="s">
        <v>7</v>
      </c>
      <c r="I7" s="295" t="s">
        <v>451</v>
      </c>
      <c r="J7" s="619" t="s">
        <v>882</v>
      </c>
      <c r="K7" s="293" t="s">
        <v>649</v>
      </c>
      <c r="L7" s="702" t="s">
        <v>947</v>
      </c>
      <c r="M7" s="702" t="s">
        <v>948</v>
      </c>
      <c r="N7" s="702" t="s">
        <v>949</v>
      </c>
      <c r="O7" s="702" t="s">
        <v>950</v>
      </c>
      <c r="P7" s="702" t="s">
        <v>951</v>
      </c>
      <c r="Q7" s="1692"/>
    </row>
    <row r="8" spans="1:18" s="526" customFormat="1" ht="15">
      <c r="A8" s="696"/>
      <c r="B8" s="695"/>
      <c r="C8" s="295"/>
      <c r="D8" s="619"/>
      <c r="E8" s="295"/>
      <c r="F8" s="295"/>
      <c r="G8" s="619"/>
      <c r="H8" s="693"/>
      <c r="I8" s="295"/>
      <c r="J8" s="619"/>
      <c r="K8" s="693"/>
      <c r="L8" s="702" t="s">
        <v>21</v>
      </c>
      <c r="M8" s="702" t="s">
        <v>21</v>
      </c>
      <c r="N8" s="702" t="s">
        <v>21</v>
      </c>
      <c r="O8" s="702" t="s">
        <v>21</v>
      </c>
      <c r="P8" s="702" t="s">
        <v>21</v>
      </c>
      <c r="Q8" s="694"/>
    </row>
    <row r="9" spans="1:18" s="671" customFormat="1">
      <c r="A9" s="665">
        <v>1</v>
      </c>
      <c r="B9" s="666" t="s">
        <v>602</v>
      </c>
      <c r="C9" s="667">
        <f>'F1'!E27-'F1'!E11</f>
        <v>1038.6789413315014</v>
      </c>
      <c r="D9" s="668">
        <f>SUM('F1'!F13:F22,'F1'!F24)-'F1'!F26</f>
        <v>1058.3687353001999</v>
      </c>
      <c r="E9" s="668">
        <f>SUM('F1'!G13:G22,'F1'!G24)-'F1'!G26</f>
        <v>1194.6492202209047</v>
      </c>
      <c r="F9" s="668">
        <f>'F1'!$I$27-'F1'!$I$11</f>
        <v>1032.5853096577871</v>
      </c>
      <c r="G9" s="668">
        <f>SUM('F1'!J13:J22,'F1'!J24)-'F1'!J26</f>
        <v>1110.8243183074198</v>
      </c>
      <c r="H9" s="668">
        <f>SUM('F1'!K13:K22,'F1'!K24)-'F1'!K26</f>
        <v>1281.3521668769249</v>
      </c>
      <c r="I9" s="669">
        <f>'F1'!$M$27-'F1'!$M$11</f>
        <v>1045.595028173741</v>
      </c>
      <c r="J9" s="669">
        <f ca="1">SUM('F1'!N13:N22,'F1'!N24)-'F1'!N26</f>
        <v>1092.9340850098704</v>
      </c>
      <c r="K9" s="669">
        <f ca="1">SUM('F1'!Q13:Q22,'F1'!Q24)-'F1'!Q26</f>
        <v>1119.296380132515</v>
      </c>
      <c r="L9" s="669">
        <f ca="1">SUM('F1'!S13:S22,'F1'!S24)-'F1'!S26</f>
        <v>1111.8896737928924</v>
      </c>
      <c r="M9" s="669">
        <f ca="1">SUM('F1'!T13:T22,'F1'!T24)-'F1'!T26</f>
        <v>944.93402410701503</v>
      </c>
      <c r="N9" s="669">
        <f ca="1">SUM('F1'!U13:U22,'F1'!U24)-'F1'!U26</f>
        <v>1359.7456971245649</v>
      </c>
      <c r="O9" s="669">
        <f ca="1">SUM('F1'!V13:V22,'F1'!V24)-'F1'!V26</f>
        <v>1399.5565306204467</v>
      </c>
      <c r="P9" s="669">
        <f ca="1">SUM('F1'!W13:W22,'F1'!W24)-'F1'!W26</f>
        <v>1442.4782159229933</v>
      </c>
      <c r="Q9" s="670"/>
    </row>
    <row r="10" spans="1:18" s="671" customFormat="1">
      <c r="A10" s="672"/>
      <c r="B10" s="119"/>
      <c r="C10" s="119"/>
      <c r="D10" s="673"/>
      <c r="E10" s="673"/>
      <c r="F10" s="673"/>
      <c r="G10" s="616"/>
      <c r="H10" s="616"/>
      <c r="I10" s="616"/>
      <c r="J10" s="616"/>
      <c r="K10" s="616"/>
      <c r="L10" s="616"/>
      <c r="M10" s="616"/>
      <c r="N10" s="616"/>
      <c r="O10" s="616"/>
      <c r="P10" s="616"/>
      <c r="Q10" s="670"/>
    </row>
    <row r="11" spans="1:18" s="678" customFormat="1">
      <c r="A11" s="617">
        <v>2</v>
      </c>
      <c r="B11" s="674" t="s">
        <v>418</v>
      </c>
      <c r="C11" s="675">
        <f>'F2.2'!$E$157</f>
        <v>3.854003813632823</v>
      </c>
      <c r="D11" s="676">
        <f>'F2.2'!F157</f>
        <v>3.9016907065705357</v>
      </c>
      <c r="E11" s="676">
        <f>'F2.2'!G157</f>
        <v>4.9935617486605102</v>
      </c>
      <c r="F11" s="677">
        <f>'F2.2'!$I$157</f>
        <v>3.7096442653012334</v>
      </c>
      <c r="G11" s="676">
        <f>'F2.2'!J157</f>
        <v>3.8166430007069647</v>
      </c>
      <c r="H11" s="676">
        <f>'F2.2'!K157</f>
        <v>4.2215085828269796</v>
      </c>
      <c r="I11" s="677">
        <f>'F2.2'!$M$157</f>
        <v>3.746113949331829</v>
      </c>
      <c r="J11" s="676">
        <f>'F2.2'!N157</f>
        <v>4.0043710622915354</v>
      </c>
      <c r="K11" s="676">
        <f>'F2.2'!Q157</f>
        <v>4.229933934674083</v>
      </c>
      <c r="L11" s="676">
        <f>'F2.2'!S157</f>
        <v>4.3876318399505845</v>
      </c>
      <c r="M11" s="676">
        <f>'F2.2'!T157</f>
        <v>4.6070095423016246</v>
      </c>
      <c r="N11" s="676">
        <f>'F2.2'!U157</f>
        <v>4.8999120886333039</v>
      </c>
      <c r="O11" s="676">
        <f>'F2.2'!V157</f>
        <v>5.1449037443114278</v>
      </c>
      <c r="P11" s="676">
        <f>'F2.2'!W157</f>
        <v>5.402148931526999</v>
      </c>
      <c r="Q11" s="618"/>
    </row>
    <row r="12" spans="1:18" s="671" customFormat="1">
      <c r="A12" s="672"/>
      <c r="B12" s="119"/>
      <c r="C12" s="119"/>
      <c r="D12" s="673"/>
      <c r="E12" s="673"/>
      <c r="F12" s="673"/>
      <c r="G12" s="616"/>
      <c r="H12" s="616"/>
      <c r="I12" s="616"/>
      <c r="J12" s="616"/>
      <c r="K12" s="616"/>
      <c r="L12" s="616"/>
      <c r="M12" s="616"/>
      <c r="N12" s="616"/>
      <c r="O12" s="616"/>
      <c r="P12" s="616"/>
      <c r="Q12" s="670"/>
    </row>
    <row r="13" spans="1:18" s="679" customFormat="1" ht="17.25" customHeight="1">
      <c r="A13" s="617">
        <v>3</v>
      </c>
      <c r="B13" s="674" t="s">
        <v>419</v>
      </c>
      <c r="C13" s="674"/>
      <c r="D13" s="616"/>
      <c r="E13" s="617"/>
      <c r="F13" s="617"/>
      <c r="G13" s="617"/>
      <c r="H13" s="616"/>
      <c r="I13" s="616"/>
      <c r="J13" s="616"/>
      <c r="K13" s="616"/>
      <c r="L13" s="616"/>
      <c r="M13" s="616"/>
      <c r="N13" s="616"/>
      <c r="O13" s="616"/>
      <c r="P13" s="616"/>
      <c r="Q13" s="618"/>
    </row>
    <row r="14" spans="1:18" s="227" customFormat="1" ht="17.75" customHeight="1">
      <c r="A14" s="1695"/>
      <c r="B14" s="1696"/>
      <c r="C14" s="1696"/>
      <c r="D14" s="1696"/>
      <c r="E14" s="1696"/>
      <c r="F14" s="1696"/>
      <c r="G14" s="1696"/>
      <c r="H14" s="294"/>
      <c r="I14" s="526"/>
      <c r="K14" s="292"/>
      <c r="L14" s="526"/>
      <c r="M14" s="526"/>
      <c r="N14" s="526"/>
      <c r="O14" s="526"/>
      <c r="P14" s="526"/>
    </row>
    <row r="15" spans="1:18" s="227" customFormat="1" ht="17.75" customHeight="1">
      <c r="A15" s="1702" t="s">
        <v>144</v>
      </c>
      <c r="B15" s="1703"/>
      <c r="C15" s="1703"/>
      <c r="D15" s="1703"/>
      <c r="E15" s="526"/>
      <c r="F15" s="526"/>
      <c r="G15" s="526"/>
      <c r="H15" s="526"/>
      <c r="I15" s="526"/>
      <c r="K15" s="292"/>
      <c r="L15" s="526"/>
      <c r="M15" s="526"/>
      <c r="N15" s="526"/>
      <c r="O15" s="526"/>
      <c r="P15" s="526"/>
    </row>
    <row r="16" spans="1:18" s="227" customFormat="1" ht="17.25" customHeight="1">
      <c r="A16" s="1689" t="s">
        <v>1494</v>
      </c>
      <c r="B16" s="1704"/>
      <c r="C16" s="1704"/>
      <c r="D16" s="1704"/>
      <c r="E16" s="526"/>
      <c r="F16" s="526"/>
      <c r="G16" s="526"/>
      <c r="H16" s="526"/>
      <c r="I16" s="526"/>
      <c r="K16" s="292"/>
      <c r="L16" s="526"/>
      <c r="M16" s="526"/>
      <c r="N16" s="526"/>
      <c r="O16" s="526"/>
      <c r="P16" s="526"/>
    </row>
    <row r="17" spans="1:16" s="227" customFormat="1" ht="17.75" customHeight="1">
      <c r="A17" s="1689" t="s">
        <v>1495</v>
      </c>
      <c r="B17" s="1705"/>
      <c r="C17" s="1705"/>
      <c r="D17" s="1705"/>
      <c r="E17" s="526"/>
      <c r="F17" s="526"/>
      <c r="G17" s="526"/>
      <c r="H17" s="526"/>
      <c r="I17" s="526"/>
      <c r="K17" s="292"/>
      <c r="L17" s="526"/>
      <c r="M17" s="526"/>
      <c r="N17" s="526"/>
      <c r="O17" s="526"/>
      <c r="P17" s="526"/>
    </row>
    <row r="18" spans="1:16" s="227" customFormat="1" ht="17.75" customHeight="1">
      <c r="A18" s="1689"/>
      <c r="B18" s="1690"/>
      <c r="C18" s="1690"/>
      <c r="D18" s="1690"/>
      <c r="E18" s="1690"/>
      <c r="F18" s="1690"/>
      <c r="G18" s="1690"/>
      <c r="H18" s="291"/>
      <c r="I18" s="526"/>
      <c r="K18" s="292"/>
      <c r="L18" s="526"/>
      <c r="M18" s="526"/>
      <c r="N18" s="526"/>
      <c r="O18" s="526"/>
      <c r="P18" s="526"/>
    </row>
    <row r="19" spans="1:16">
      <c r="A19" s="172"/>
      <c r="B19" s="170"/>
      <c r="C19" s="170"/>
      <c r="D19" s="170"/>
      <c r="E19" s="170"/>
      <c r="F19" s="170"/>
      <c r="G19" s="173" t="s">
        <v>369</v>
      </c>
      <c r="H19" s="173"/>
    </row>
    <row r="20" spans="1:16">
      <c r="A20" s="170"/>
      <c r="B20" s="170"/>
      <c r="C20" s="170"/>
      <c r="D20" s="170"/>
      <c r="E20" s="170"/>
      <c r="F20" s="170"/>
      <c r="G20" s="170"/>
      <c r="H20" s="170"/>
    </row>
  </sheetData>
  <mergeCells count="18">
    <mergeCell ref="A2:H2"/>
    <mergeCell ref="A3:H3"/>
    <mergeCell ref="A4:H4"/>
    <mergeCell ref="J2:Q2"/>
    <mergeCell ref="J3:Q3"/>
    <mergeCell ref="J4:Q4"/>
    <mergeCell ref="A18:G18"/>
    <mergeCell ref="Q6:Q7"/>
    <mergeCell ref="B6:B7"/>
    <mergeCell ref="A14:G14"/>
    <mergeCell ref="A6:A7"/>
    <mergeCell ref="C6:E6"/>
    <mergeCell ref="I6:K6"/>
    <mergeCell ref="F6:H6"/>
    <mergeCell ref="L6:P6"/>
    <mergeCell ref="A15:D15"/>
    <mergeCell ref="A16:D16"/>
    <mergeCell ref="A17:D17"/>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60" zoomScaleNormal="75" zoomScaleSheetLayoutView="75" workbookViewId="0">
      <pane xSplit="4" ySplit="9" topLeftCell="E10" activePane="bottomRight" state="frozen"/>
      <selection activeCell="B28" sqref="B28"/>
      <selection pane="topRight" activeCell="B28" sqref="B28"/>
      <selection pane="bottomLeft" activeCell="B28" sqref="B28"/>
      <selection pane="bottomRight" activeCell="O26" sqref="O26"/>
    </sheetView>
  </sheetViews>
  <sheetFormatPr defaultColWidth="9.36328125" defaultRowHeight="15.5"/>
  <cols>
    <col min="1" max="1" width="8.1796875" style="1234" bestFit="1" customWidth="1"/>
    <col min="2" max="2" width="7.90625" style="1234" customWidth="1"/>
    <col min="3" max="3" width="55.90625" style="1234" customWidth="1"/>
    <col min="4" max="4" width="9.54296875" style="1261" bestFit="1" customWidth="1"/>
    <col min="5" max="5" width="9.54296875" style="1261" customWidth="1"/>
    <col min="6" max="6" width="11.08984375" style="1261" bestFit="1" customWidth="1"/>
    <col min="7" max="7" width="12.54296875" style="1261" bestFit="1" customWidth="1"/>
    <col min="8" max="8" width="12.90625" style="1261" bestFit="1" customWidth="1"/>
    <col min="9" max="9" width="10" style="1261" customWidth="1"/>
    <col min="10" max="10" width="12.54296875" style="1261" bestFit="1" customWidth="1"/>
    <col min="11" max="11" width="12.36328125" style="1261" bestFit="1" customWidth="1"/>
    <col min="12" max="12" width="12.90625" style="1261" bestFit="1" customWidth="1"/>
    <col min="13" max="13" width="10.1796875" style="1234" customWidth="1"/>
    <col min="14" max="14" width="11.453125" style="1234" bestFit="1" customWidth="1"/>
    <col min="15" max="15" width="17" style="1234" bestFit="1" customWidth="1"/>
    <col min="16" max="16" width="23.81640625" style="1234" bestFit="1" customWidth="1"/>
    <col min="17" max="17" width="13.54296875" style="1234" bestFit="1" customWidth="1"/>
    <col min="18" max="18" width="19.54296875" style="1234" bestFit="1" customWidth="1"/>
    <col min="19" max="23" width="19.54296875" style="1234" customWidth="1"/>
    <col min="24" max="24" width="14.08984375" style="1234" customWidth="1"/>
    <col min="25" max="16384" width="9.36328125" style="1234"/>
  </cols>
  <sheetData>
    <row r="2" spans="1:24">
      <c r="B2" s="1711" t="str">
        <f>Index!B2</f>
        <v xml:space="preserve">      Maharashtra State Power Generation Company Ltd.</v>
      </c>
      <c r="C2" s="1711"/>
      <c r="D2" s="1711"/>
      <c r="E2" s="1711"/>
      <c r="F2" s="1711"/>
      <c r="G2" s="1711"/>
      <c r="H2" s="1711"/>
      <c r="I2" s="1711"/>
      <c r="J2" s="1711"/>
      <c r="K2" s="1711"/>
      <c r="L2" s="1711"/>
      <c r="M2" s="1235"/>
      <c r="N2" s="1708" t="str">
        <f>B2</f>
        <v xml:space="preserve">      Maharashtra State Power Generation Company Ltd.</v>
      </c>
      <c r="O2" s="1708"/>
      <c r="P2" s="1708"/>
      <c r="Q2" s="1708"/>
      <c r="R2" s="1708"/>
      <c r="S2" s="1708"/>
      <c r="T2" s="1708"/>
      <c r="U2" s="1708"/>
      <c r="V2" s="1708"/>
      <c r="W2" s="1708"/>
      <c r="X2" s="1708"/>
    </row>
    <row r="3" spans="1:24">
      <c r="B3" s="1711" t="str">
        <f>Index!B3</f>
        <v>MYT Petition Formats for Bhusawal Units 4&amp;5</v>
      </c>
      <c r="C3" s="1711"/>
      <c r="D3" s="1711"/>
      <c r="E3" s="1711"/>
      <c r="F3" s="1711"/>
      <c r="G3" s="1711"/>
      <c r="H3" s="1711"/>
      <c r="I3" s="1711"/>
      <c r="J3" s="1711"/>
      <c r="K3" s="1711"/>
      <c r="L3" s="1711"/>
      <c r="M3" s="1235"/>
      <c r="N3" s="1708" t="str">
        <f>B3</f>
        <v>MYT Petition Formats for Bhusawal Units 4&amp;5</v>
      </c>
      <c r="O3" s="1708"/>
      <c r="P3" s="1708"/>
      <c r="Q3" s="1708"/>
      <c r="R3" s="1708"/>
      <c r="S3" s="1708"/>
      <c r="T3" s="1708"/>
      <c r="U3" s="1708"/>
      <c r="V3" s="1708"/>
      <c r="W3" s="1708"/>
      <c r="X3" s="1708"/>
    </row>
    <row r="4" spans="1:24">
      <c r="B4" s="1711" t="s">
        <v>373</v>
      </c>
      <c r="C4" s="1711"/>
      <c r="D4" s="1711"/>
      <c r="E4" s="1711"/>
      <c r="F4" s="1711"/>
      <c r="G4" s="1711"/>
      <c r="H4" s="1711"/>
      <c r="I4" s="1711"/>
      <c r="J4" s="1711"/>
      <c r="K4" s="1711"/>
      <c r="L4" s="1711"/>
      <c r="M4" s="1235"/>
      <c r="N4" s="1708" t="str">
        <f>B4</f>
        <v>Form 2.1: Operational Parameters for Thermal Generation</v>
      </c>
      <c r="O4" s="1708"/>
      <c r="P4" s="1708"/>
      <c r="Q4" s="1708"/>
      <c r="R4" s="1708"/>
      <c r="S4" s="1708"/>
      <c r="T4" s="1708"/>
      <c r="U4" s="1708"/>
      <c r="V4" s="1708"/>
      <c r="W4" s="1708"/>
      <c r="X4" s="1708"/>
    </row>
    <row r="5" spans="1:24" s="31" customFormat="1">
      <c r="B5" s="1236"/>
      <c r="C5" s="1236"/>
      <c r="D5" s="1236"/>
      <c r="E5" s="1236"/>
      <c r="F5" s="1236"/>
      <c r="G5" s="1236"/>
      <c r="H5" s="1236"/>
      <c r="I5" s="1236"/>
      <c r="J5" s="1236"/>
      <c r="K5" s="1236"/>
      <c r="L5" s="1236"/>
      <c r="M5" s="1236"/>
      <c r="N5" s="1236"/>
      <c r="O5" s="1236"/>
      <c r="P5" s="1236"/>
      <c r="Q5" s="1236"/>
      <c r="R5" s="1236"/>
      <c r="S5" s="1236"/>
      <c r="T5" s="1236"/>
      <c r="U5" s="1236"/>
      <c r="V5" s="1236"/>
      <c r="W5" s="1236"/>
      <c r="X5" s="1236"/>
    </row>
    <row r="6" spans="1:24" s="31" customFormat="1">
      <c r="B6" s="1237"/>
      <c r="C6" s="1238"/>
      <c r="D6" s="1239"/>
      <c r="E6" s="1239"/>
      <c r="F6" s="1239"/>
      <c r="G6" s="1239"/>
      <c r="H6" s="1239"/>
      <c r="I6" s="1239"/>
      <c r="J6" s="1239"/>
      <c r="K6" s="1239"/>
      <c r="L6" s="1239"/>
      <c r="M6" s="1240"/>
      <c r="N6" s="1240"/>
      <c r="O6" s="1240"/>
      <c r="P6" s="1240"/>
      <c r="Q6" s="1237"/>
      <c r="R6" s="1237"/>
      <c r="S6" s="1237"/>
      <c r="T6" s="1237"/>
      <c r="U6" s="1237"/>
      <c r="V6" s="1237"/>
      <c r="W6" s="1237"/>
    </row>
    <row r="7" spans="1:24" s="1241" customFormat="1" ht="14" customHeight="1">
      <c r="B7" s="1681" t="s">
        <v>341</v>
      </c>
      <c r="C7" s="1709" t="s">
        <v>37</v>
      </c>
      <c r="D7" s="1709" t="s">
        <v>94</v>
      </c>
      <c r="E7" s="1681" t="s">
        <v>509</v>
      </c>
      <c r="F7" s="1681"/>
      <c r="G7" s="1681"/>
      <c r="H7" s="1681"/>
      <c r="I7" s="1681" t="s">
        <v>510</v>
      </c>
      <c r="J7" s="1681"/>
      <c r="K7" s="1681"/>
      <c r="L7" s="1681"/>
      <c r="M7" s="1681" t="s">
        <v>511</v>
      </c>
      <c r="N7" s="1681"/>
      <c r="O7" s="1681"/>
      <c r="P7" s="1681"/>
      <c r="Q7" s="1681"/>
      <c r="R7" s="1681"/>
      <c r="S7" s="1681" t="s">
        <v>946</v>
      </c>
      <c r="T7" s="1681"/>
      <c r="U7" s="1681"/>
      <c r="V7" s="1681"/>
      <c r="W7" s="1681"/>
      <c r="X7" s="1681" t="s">
        <v>27</v>
      </c>
    </row>
    <row r="8" spans="1:24" s="1242" customFormat="1" ht="45">
      <c r="B8" s="1709"/>
      <c r="C8" s="1709"/>
      <c r="D8" s="1709"/>
      <c r="E8" s="1232" t="s">
        <v>1489</v>
      </c>
      <c r="F8" s="1232" t="s">
        <v>882</v>
      </c>
      <c r="G8" s="1232" t="s">
        <v>79</v>
      </c>
      <c r="H8" s="1232" t="s">
        <v>452</v>
      </c>
      <c r="I8" s="1232" t="s">
        <v>1489</v>
      </c>
      <c r="J8" s="1232" t="s">
        <v>882</v>
      </c>
      <c r="K8" s="1232" t="s">
        <v>79</v>
      </c>
      <c r="L8" s="1232" t="s">
        <v>452</v>
      </c>
      <c r="M8" s="1232" t="s">
        <v>1489</v>
      </c>
      <c r="N8" s="1232" t="s">
        <v>882</v>
      </c>
      <c r="O8" s="1232" t="s">
        <v>445</v>
      </c>
      <c r="P8" s="1232" t="s">
        <v>449</v>
      </c>
      <c r="Q8" s="1232" t="s">
        <v>80</v>
      </c>
      <c r="R8" s="1232" t="s">
        <v>453</v>
      </c>
      <c r="S8" s="1232" t="s">
        <v>947</v>
      </c>
      <c r="T8" s="1232" t="s">
        <v>948</v>
      </c>
      <c r="U8" s="1232" t="s">
        <v>949</v>
      </c>
      <c r="V8" s="1232" t="s">
        <v>950</v>
      </c>
      <c r="W8" s="1232" t="s">
        <v>951</v>
      </c>
      <c r="X8" s="1681"/>
    </row>
    <row r="9" spans="1:24" s="1242" customFormat="1">
      <c r="B9" s="1709"/>
      <c r="C9" s="1709"/>
      <c r="D9" s="1709"/>
      <c r="E9" s="1232" t="s">
        <v>81</v>
      </c>
      <c r="F9" s="1232" t="s">
        <v>82</v>
      </c>
      <c r="G9" s="1232" t="s">
        <v>1490</v>
      </c>
      <c r="H9" s="1232" t="s">
        <v>1491</v>
      </c>
      <c r="I9" s="1232" t="s">
        <v>1449</v>
      </c>
      <c r="J9" s="1232" t="s">
        <v>512</v>
      </c>
      <c r="K9" s="1232" t="s">
        <v>411</v>
      </c>
      <c r="L9" s="1232" t="s">
        <v>1492</v>
      </c>
      <c r="M9" s="1232" t="s">
        <v>557</v>
      </c>
      <c r="N9" s="1232" t="s">
        <v>622</v>
      </c>
      <c r="O9" s="1232" t="s">
        <v>558</v>
      </c>
      <c r="P9" s="1232" t="s">
        <v>559</v>
      </c>
      <c r="Q9" s="1232" t="s">
        <v>646</v>
      </c>
      <c r="R9" s="1232" t="s">
        <v>647</v>
      </c>
      <c r="S9" s="1232" t="s">
        <v>21</v>
      </c>
      <c r="T9" s="1232" t="s">
        <v>21</v>
      </c>
      <c r="U9" s="1232" t="s">
        <v>21</v>
      </c>
      <c r="V9" s="1232" t="s">
        <v>21</v>
      </c>
      <c r="W9" s="1232" t="s">
        <v>21</v>
      </c>
      <c r="X9" s="1710"/>
    </row>
    <row r="10" spans="1:24" s="1242" customFormat="1">
      <c r="B10" s="385"/>
      <c r="C10" s="369"/>
      <c r="D10" s="370"/>
      <c r="E10" s="370"/>
      <c r="F10" s="370"/>
      <c r="G10" s="370"/>
      <c r="H10" s="370"/>
      <c r="I10" s="370"/>
      <c r="J10" s="370"/>
      <c r="K10" s="370"/>
      <c r="L10" s="370"/>
      <c r="M10" s="383"/>
      <c r="N10" s="383"/>
      <c r="O10" s="383"/>
      <c r="P10" s="383"/>
      <c r="Q10" s="383"/>
      <c r="R10" s="383"/>
      <c r="S10" s="383"/>
      <c r="T10" s="383"/>
      <c r="U10" s="383"/>
      <c r="V10" s="383"/>
      <c r="W10" s="383"/>
      <c r="X10" s="383"/>
    </row>
    <row r="11" spans="1:24" s="1242" customFormat="1">
      <c r="B11" s="357">
        <v>1</v>
      </c>
      <c r="C11" s="372" t="s">
        <v>96</v>
      </c>
      <c r="D11" s="357" t="s">
        <v>97</v>
      </c>
      <c r="E11" s="357"/>
      <c r="F11" s="452">
        <f>'F2.2'!F11</f>
        <v>1000</v>
      </c>
      <c r="G11" s="452">
        <f>'F2.2'!G11</f>
        <v>1000</v>
      </c>
      <c r="H11" s="452">
        <f>G11-F11</f>
        <v>0</v>
      </c>
      <c r="I11" s="452"/>
      <c r="J11" s="452">
        <f>'F2.2'!J11</f>
        <v>1000</v>
      </c>
      <c r="K11" s="452">
        <f>'F2.2'!K11</f>
        <v>1000</v>
      </c>
      <c r="L11" s="452">
        <f>K11-J11</f>
        <v>0</v>
      </c>
      <c r="M11" s="1243"/>
      <c r="N11" s="452">
        <f>'F2.2'!$N$11</f>
        <v>1000</v>
      </c>
      <c r="O11" s="452">
        <f>'F2.2'!O11</f>
        <v>1000</v>
      </c>
      <c r="P11" s="452">
        <f>'F2.2'!P11</f>
        <v>1000</v>
      </c>
      <c r="Q11" s="452">
        <f>'F2.2'!Q11</f>
        <v>1000</v>
      </c>
      <c r="R11" s="1243">
        <f>Q11-N11</f>
        <v>0</v>
      </c>
      <c r="S11" s="1243"/>
      <c r="T11" s="1243"/>
      <c r="U11" s="1243"/>
      <c r="V11" s="1243"/>
      <c r="W11" s="1243"/>
      <c r="X11" s="383"/>
    </row>
    <row r="12" spans="1:24" s="1242" customFormat="1" ht="31">
      <c r="B12" s="357">
        <v>2</v>
      </c>
      <c r="C12" s="372" t="s">
        <v>514</v>
      </c>
      <c r="D12" s="357"/>
      <c r="E12" s="357"/>
      <c r="F12" s="452" t="s">
        <v>769</v>
      </c>
      <c r="G12" s="452" t="s">
        <v>769</v>
      </c>
      <c r="H12" s="452" t="s">
        <v>769</v>
      </c>
      <c r="I12" s="452"/>
      <c r="J12" s="452" t="s">
        <v>769</v>
      </c>
      <c r="K12" s="452" t="s">
        <v>769</v>
      </c>
      <c r="L12" s="452" t="s">
        <v>769</v>
      </c>
      <c r="M12" s="452"/>
      <c r="N12" s="452" t="s">
        <v>769</v>
      </c>
      <c r="O12" s="452" t="s">
        <v>769</v>
      </c>
      <c r="P12" s="452" t="s">
        <v>769</v>
      </c>
      <c r="Q12" s="452" t="s">
        <v>769</v>
      </c>
      <c r="R12" s="452" t="s">
        <v>769</v>
      </c>
      <c r="S12" s="452" t="s">
        <v>769</v>
      </c>
      <c r="T12" s="452" t="s">
        <v>769</v>
      </c>
      <c r="U12" s="452" t="s">
        <v>769</v>
      </c>
      <c r="V12" s="452" t="s">
        <v>769</v>
      </c>
      <c r="W12" s="452" t="s">
        <v>769</v>
      </c>
      <c r="X12" s="383"/>
    </row>
    <row r="13" spans="1:24" s="1242" customFormat="1">
      <c r="B13" s="357"/>
      <c r="C13" s="372"/>
      <c r="D13" s="357"/>
      <c r="E13" s="357"/>
      <c r="F13" s="452"/>
      <c r="G13" s="452"/>
      <c r="H13" s="452"/>
      <c r="I13" s="452"/>
      <c r="J13" s="452"/>
      <c r="K13" s="452"/>
      <c r="L13" s="452"/>
      <c r="M13" s="452"/>
      <c r="N13" s="452"/>
      <c r="O13" s="452"/>
      <c r="P13" s="452"/>
      <c r="Q13" s="452"/>
      <c r="R13" s="452"/>
      <c r="S13" s="452"/>
      <c r="T13" s="452"/>
      <c r="U13" s="452"/>
      <c r="V13" s="452"/>
      <c r="W13" s="452"/>
      <c r="X13" s="383"/>
    </row>
    <row r="14" spans="1:24" s="1242" customFormat="1">
      <c r="B14" s="385">
        <v>2</v>
      </c>
      <c r="C14" s="391" t="s">
        <v>374</v>
      </c>
      <c r="D14" s="357"/>
      <c r="E14" s="357"/>
      <c r="F14" s="357"/>
      <c r="G14" s="357"/>
      <c r="H14" s="357"/>
      <c r="I14" s="357"/>
      <c r="J14" s="357"/>
      <c r="K14" s="452"/>
      <c r="L14" s="357"/>
      <c r="M14" s="357"/>
      <c r="N14" s="357"/>
      <c r="O14" s="452"/>
      <c r="P14" s="452"/>
      <c r="Q14" s="357"/>
      <c r="R14" s="357"/>
      <c r="S14" s="357"/>
      <c r="T14" s="357"/>
      <c r="U14" s="357"/>
      <c r="V14" s="357"/>
      <c r="W14" s="357"/>
      <c r="X14" s="383"/>
    </row>
    <row r="15" spans="1:24" s="1245" customFormat="1">
      <c r="A15" s="1242"/>
      <c r="B15" s="357">
        <f>B14+0.1</f>
        <v>2.1</v>
      </c>
      <c r="C15" s="471" t="s">
        <v>98</v>
      </c>
      <c r="D15" s="472" t="s">
        <v>99</v>
      </c>
      <c r="E15" s="532">
        <v>0.85</v>
      </c>
      <c r="F15" s="532">
        <v>0.85</v>
      </c>
      <c r="G15" s="389">
        <f>F15</f>
        <v>0.85</v>
      </c>
      <c r="H15" s="389">
        <f t="shared" ref="H15:H16" si="0">G15-F15</f>
        <v>0</v>
      </c>
      <c r="I15" s="843">
        <v>0.85</v>
      </c>
      <c r="J15" s="532">
        <v>0.85</v>
      </c>
      <c r="K15" s="389">
        <f>J15</f>
        <v>0.85</v>
      </c>
      <c r="L15" s="389">
        <f t="shared" ref="L15:L16" si="1">K15-J15</f>
        <v>0</v>
      </c>
      <c r="M15" s="847">
        <v>0.85</v>
      </c>
      <c r="N15" s="532">
        <v>0.85</v>
      </c>
      <c r="O15" s="389">
        <f>N15</f>
        <v>0.85</v>
      </c>
      <c r="P15" s="389">
        <f>N15</f>
        <v>0.85</v>
      </c>
      <c r="Q15" s="532">
        <f>N15</f>
        <v>0.85</v>
      </c>
      <c r="R15" s="581">
        <f t="shared" ref="R15:R16" si="2">Q15-N15</f>
        <v>0</v>
      </c>
      <c r="S15" s="581">
        <f>'F2.2'!S12</f>
        <v>0.85</v>
      </c>
      <c r="T15" s="581">
        <f>'F2.2'!T12</f>
        <v>0.85</v>
      </c>
      <c r="U15" s="581">
        <f>'F2.2'!U12</f>
        <v>0.85</v>
      </c>
      <c r="V15" s="581">
        <f>'F2.2'!V12</f>
        <v>0.85</v>
      </c>
      <c r="W15" s="581">
        <f>'F2.2'!W12</f>
        <v>0.85</v>
      </c>
      <c r="X15" s="1244"/>
    </row>
    <row r="16" spans="1:24" s="1242" customFormat="1">
      <c r="B16" s="357">
        <v>2.2000000000000002</v>
      </c>
      <c r="C16" s="372" t="s">
        <v>654</v>
      </c>
      <c r="D16" s="357" t="s">
        <v>99</v>
      </c>
      <c r="E16" s="389"/>
      <c r="F16" s="532">
        <f>'F2.2'!F13</f>
        <v>0.76354999999999995</v>
      </c>
      <c r="G16" s="389">
        <f>'F2.2'!G13</f>
        <v>0.76354999999999995</v>
      </c>
      <c r="H16" s="389">
        <f t="shared" si="0"/>
        <v>0</v>
      </c>
      <c r="I16" s="843"/>
      <c r="J16" s="389">
        <f>'F2.2'!J13</f>
        <v>0.81130000000000002</v>
      </c>
      <c r="K16" s="532">
        <f>'F2.2'!K13</f>
        <v>0.81130000000000002</v>
      </c>
      <c r="L16" s="389">
        <f t="shared" si="1"/>
        <v>0</v>
      </c>
      <c r="M16" s="847"/>
      <c r="N16" s="389">
        <f>'F2.2'!N13</f>
        <v>0.75027802223481954</v>
      </c>
      <c r="O16" s="532">
        <f>'F2.2'!O13</f>
        <v>0.75714169848462842</v>
      </c>
      <c r="P16" s="532">
        <f>'F2.2'!P13</f>
        <v>0.83423052704394796</v>
      </c>
      <c r="Q16" s="532">
        <f>'F2.2'!Q13</f>
        <v>0.75027802223481954</v>
      </c>
      <c r="R16" s="581">
        <f t="shared" si="2"/>
        <v>0</v>
      </c>
      <c r="S16" s="581">
        <f>'F2.2'!S13</f>
        <v>0.84995139553414234</v>
      </c>
      <c r="T16" s="581">
        <f>'F2.2'!T13</f>
        <v>0.84996768944200274</v>
      </c>
      <c r="U16" s="581">
        <f>'F2.2'!U13</f>
        <v>0.84996768944200274</v>
      </c>
      <c r="V16" s="581">
        <f>'F2.2'!V13</f>
        <v>0.84998250208551196</v>
      </c>
      <c r="W16" s="581">
        <f>'F2.2'!W13</f>
        <v>0.84998250208551196</v>
      </c>
      <c r="X16" s="638"/>
    </row>
    <row r="17" spans="1:24" s="1242" customFormat="1">
      <c r="B17" s="357" t="s">
        <v>116</v>
      </c>
      <c r="C17" s="373" t="s">
        <v>612</v>
      </c>
      <c r="D17" s="357"/>
      <c r="E17" s="357"/>
      <c r="F17" s="449"/>
      <c r="G17" s="389"/>
      <c r="H17" s="449"/>
      <c r="I17" s="844"/>
      <c r="J17" s="449"/>
      <c r="K17" s="532"/>
      <c r="L17" s="449"/>
      <c r="M17" s="844"/>
      <c r="N17" s="449"/>
      <c r="O17" s="532"/>
      <c r="P17" s="532"/>
      <c r="Q17" s="582"/>
      <c r="R17" s="582"/>
      <c r="S17" s="582"/>
      <c r="T17" s="582"/>
      <c r="U17" s="582"/>
      <c r="V17" s="582"/>
      <c r="W17" s="582"/>
      <c r="X17" s="388"/>
    </row>
    <row r="18" spans="1:24" s="1242" customFormat="1">
      <c r="B18" s="357"/>
      <c r="C18" s="374" t="s">
        <v>613</v>
      </c>
      <c r="D18" s="357" t="s">
        <v>99</v>
      </c>
      <c r="E18" s="357"/>
      <c r="F18" s="449"/>
      <c r="G18" s="389">
        <f>'F2.2'!G15</f>
        <v>0.81354000000000004</v>
      </c>
      <c r="H18" s="449">
        <f t="shared" ref="H18:H22" si="3">G18-F18</f>
        <v>0.81354000000000004</v>
      </c>
      <c r="I18" s="844"/>
      <c r="J18" s="449"/>
      <c r="K18" s="532">
        <f>'F2.2'!K15</f>
        <v>0.79586999999999997</v>
      </c>
      <c r="L18" s="449">
        <f t="shared" ref="L18:L22" si="4">K18-J18</f>
        <v>0.79586999999999997</v>
      </c>
      <c r="M18" s="844"/>
      <c r="N18" s="449"/>
      <c r="O18" s="532">
        <f>'F2.2'!O15</f>
        <v>0</v>
      </c>
      <c r="P18" s="532">
        <f>'F2.2'!P15</f>
        <v>0</v>
      </c>
      <c r="Q18" s="582">
        <f t="shared" ref="Q18:Q22" si="5">O18+P18</f>
        <v>0</v>
      </c>
      <c r="R18" s="582"/>
      <c r="S18" s="582">
        <f>'F2.2'!S15</f>
        <v>0</v>
      </c>
      <c r="T18" s="582">
        <f>'F2.2'!T15</f>
        <v>0</v>
      </c>
      <c r="U18" s="582">
        <f>'F2.2'!U15</f>
        <v>0</v>
      </c>
      <c r="V18" s="582">
        <f>'F2.2'!V15</f>
        <v>0</v>
      </c>
      <c r="W18" s="582">
        <f>'F2.2'!W15</f>
        <v>0</v>
      </c>
      <c r="X18" s="388"/>
    </row>
    <row r="19" spans="1:24" s="1242" customFormat="1">
      <c r="B19" s="357"/>
      <c r="C19" s="374" t="s">
        <v>614</v>
      </c>
      <c r="D19" s="357" t="s">
        <v>99</v>
      </c>
      <c r="E19" s="357"/>
      <c r="F19" s="449"/>
      <c r="G19" s="389">
        <f>'F2.2'!G16</f>
        <v>0.81367</v>
      </c>
      <c r="H19" s="449">
        <f t="shared" si="3"/>
        <v>0.81367</v>
      </c>
      <c r="I19" s="844"/>
      <c r="J19" s="449"/>
      <c r="K19" s="532">
        <f>'F2.2'!K16</f>
        <v>0.77729999999999999</v>
      </c>
      <c r="L19" s="449">
        <f t="shared" si="4"/>
        <v>0.77729999999999999</v>
      </c>
      <c r="M19" s="844"/>
      <c r="N19" s="449"/>
      <c r="O19" s="532">
        <f>'F2.2'!O16</f>
        <v>0</v>
      </c>
      <c r="P19" s="532">
        <f>'F2.2'!P16</f>
        <v>0</v>
      </c>
      <c r="Q19" s="582">
        <f t="shared" si="5"/>
        <v>0</v>
      </c>
      <c r="R19" s="582"/>
      <c r="S19" s="582">
        <f>'F2.2'!S16</f>
        <v>0</v>
      </c>
      <c r="T19" s="582">
        <f>'F2.2'!T16</f>
        <v>0</v>
      </c>
      <c r="U19" s="582">
        <f>'F2.2'!U16</f>
        <v>0</v>
      </c>
      <c r="V19" s="582">
        <f>'F2.2'!V16</f>
        <v>0</v>
      </c>
      <c r="W19" s="582">
        <f>'F2.2'!W16</f>
        <v>0</v>
      </c>
      <c r="X19" s="388"/>
    </row>
    <row r="20" spans="1:24" s="1242" customFormat="1">
      <c r="B20" s="357" t="s">
        <v>118</v>
      </c>
      <c r="C20" s="373" t="s">
        <v>615</v>
      </c>
      <c r="D20" s="357"/>
      <c r="E20" s="357"/>
      <c r="F20" s="449"/>
      <c r="G20" s="389"/>
      <c r="H20" s="449"/>
      <c r="I20" s="844"/>
      <c r="J20" s="449"/>
      <c r="K20" s="532"/>
      <c r="L20" s="449"/>
      <c r="M20" s="844"/>
      <c r="N20" s="449"/>
      <c r="O20" s="532"/>
      <c r="P20" s="532"/>
      <c r="Q20" s="582"/>
      <c r="R20" s="582"/>
      <c r="S20" s="582"/>
      <c r="T20" s="582"/>
      <c r="U20" s="582"/>
      <c r="V20" s="582"/>
      <c r="W20" s="582"/>
      <c r="X20" s="388"/>
    </row>
    <row r="21" spans="1:24" s="1242" customFormat="1">
      <c r="B21" s="357"/>
      <c r="C21" s="374" t="s">
        <v>613</v>
      </c>
      <c r="D21" s="357" t="s">
        <v>99</v>
      </c>
      <c r="E21" s="357"/>
      <c r="F21" s="449"/>
      <c r="G21" s="389">
        <f>'F2.2'!G18</f>
        <v>0.75529000000000002</v>
      </c>
      <c r="H21" s="449">
        <f t="shared" si="3"/>
        <v>0.75529000000000002</v>
      </c>
      <c r="I21" s="844"/>
      <c r="J21" s="449"/>
      <c r="K21" s="532">
        <f>'F2.2'!K18</f>
        <v>0.82611000000000001</v>
      </c>
      <c r="L21" s="449">
        <f t="shared" si="4"/>
        <v>0.82611000000000001</v>
      </c>
      <c r="M21" s="844"/>
      <c r="N21" s="449"/>
      <c r="O21" s="532">
        <f>'F2.2'!O18</f>
        <v>0</v>
      </c>
      <c r="P21" s="532">
        <f>'F2.2'!P18</f>
        <v>0</v>
      </c>
      <c r="Q21" s="582">
        <f t="shared" si="5"/>
        <v>0</v>
      </c>
      <c r="R21" s="582"/>
      <c r="S21" s="582">
        <f>'F2.2'!S18</f>
        <v>0</v>
      </c>
      <c r="T21" s="582">
        <f>'F2.2'!T18</f>
        <v>0</v>
      </c>
      <c r="U21" s="582">
        <f>'F2.2'!U18</f>
        <v>0</v>
      </c>
      <c r="V21" s="582">
        <f>'F2.2'!V18</f>
        <v>0</v>
      </c>
      <c r="W21" s="582">
        <f>'F2.2'!W18</f>
        <v>0</v>
      </c>
      <c r="X21" s="388"/>
    </row>
    <row r="22" spans="1:24" s="1242" customFormat="1">
      <c r="B22" s="357"/>
      <c r="C22" s="374" t="s">
        <v>614</v>
      </c>
      <c r="D22" s="357" t="s">
        <v>99</v>
      </c>
      <c r="E22" s="357"/>
      <c r="F22" s="449"/>
      <c r="G22" s="389">
        <f>'F2.2'!G19</f>
        <v>0.74522999999999995</v>
      </c>
      <c r="H22" s="449">
        <f t="shared" si="3"/>
        <v>0.74522999999999995</v>
      </c>
      <c r="I22" s="844"/>
      <c r="J22" s="449"/>
      <c r="K22" s="532">
        <f>'F2.2'!K19</f>
        <v>0.82079000000000002</v>
      </c>
      <c r="L22" s="449">
        <f t="shared" si="4"/>
        <v>0.82079000000000002</v>
      </c>
      <c r="M22" s="844"/>
      <c r="N22" s="449"/>
      <c r="O22" s="532">
        <f>'F2.2'!O19</f>
        <v>0</v>
      </c>
      <c r="P22" s="532">
        <f>'F2.2'!P19</f>
        <v>0</v>
      </c>
      <c r="Q22" s="582">
        <f t="shared" si="5"/>
        <v>0</v>
      </c>
      <c r="R22" s="582"/>
      <c r="S22" s="582">
        <f>'F2.2'!S19</f>
        <v>0</v>
      </c>
      <c r="T22" s="582">
        <f>'F2.2'!T19</f>
        <v>0</v>
      </c>
      <c r="U22" s="582">
        <f>'F2.2'!U19</f>
        <v>0</v>
      </c>
      <c r="V22" s="582">
        <f>'F2.2'!V19</f>
        <v>0</v>
      </c>
      <c r="W22" s="582">
        <f>'F2.2'!W19</f>
        <v>0</v>
      </c>
      <c r="X22" s="388"/>
    </row>
    <row r="23" spans="1:24" s="1242" customFormat="1">
      <c r="B23" s="357"/>
      <c r="C23" s="372"/>
      <c r="D23" s="357"/>
      <c r="E23" s="357"/>
      <c r="F23" s="532"/>
      <c r="G23" s="532"/>
      <c r="H23" s="532"/>
      <c r="I23" s="845"/>
      <c r="J23" s="532"/>
      <c r="K23" s="532"/>
      <c r="L23" s="532"/>
      <c r="M23" s="848"/>
      <c r="N23" s="532"/>
      <c r="O23" s="532"/>
      <c r="P23" s="532"/>
      <c r="Q23" s="582"/>
      <c r="R23" s="582"/>
      <c r="S23" s="582"/>
      <c r="T23" s="582"/>
      <c r="U23" s="582"/>
      <c r="V23" s="582"/>
      <c r="W23" s="582"/>
      <c r="X23" s="388"/>
    </row>
    <row r="24" spans="1:24" s="1242" customFormat="1">
      <c r="B24" s="385">
        <v>3</v>
      </c>
      <c r="C24" s="391" t="s">
        <v>375</v>
      </c>
      <c r="D24" s="357"/>
      <c r="E24" s="357"/>
      <c r="F24" s="532"/>
      <c r="G24" s="532"/>
      <c r="H24" s="532"/>
      <c r="I24" s="845"/>
      <c r="J24" s="532"/>
      <c r="K24" s="532"/>
      <c r="L24" s="532"/>
      <c r="M24" s="848"/>
      <c r="N24" s="532"/>
      <c r="O24" s="532"/>
      <c r="P24" s="532"/>
      <c r="Q24" s="582"/>
      <c r="R24" s="582"/>
      <c r="S24" s="582"/>
      <c r="T24" s="582"/>
      <c r="U24" s="582"/>
      <c r="V24" s="582"/>
      <c r="W24" s="582"/>
      <c r="X24" s="388"/>
    </row>
    <row r="25" spans="1:24" s="1246" customFormat="1">
      <c r="A25" s="1242"/>
      <c r="B25" s="393">
        <f>B24+0.1</f>
        <v>3.1</v>
      </c>
      <c r="C25" s="392" t="s">
        <v>100</v>
      </c>
      <c r="D25" s="384" t="s">
        <v>99</v>
      </c>
      <c r="E25" s="389">
        <f>F25</f>
        <v>0.85</v>
      </c>
      <c r="F25" s="532">
        <v>0.85</v>
      </c>
      <c r="G25" s="532">
        <f>F25</f>
        <v>0.85</v>
      </c>
      <c r="H25" s="532">
        <f>G25-F25</f>
        <v>0</v>
      </c>
      <c r="I25" s="845">
        <f>J25</f>
        <v>0.85</v>
      </c>
      <c r="J25" s="532">
        <v>0.85</v>
      </c>
      <c r="K25" s="532">
        <f>J25</f>
        <v>0.85</v>
      </c>
      <c r="L25" s="532">
        <f>K25-J25</f>
        <v>0</v>
      </c>
      <c r="M25" s="848">
        <f>N25</f>
        <v>0.85</v>
      </c>
      <c r="N25" s="532">
        <v>0.85</v>
      </c>
      <c r="O25" s="532">
        <f>N25</f>
        <v>0.85</v>
      </c>
      <c r="P25" s="532">
        <f>N25</f>
        <v>0.85</v>
      </c>
      <c r="Q25" s="532">
        <f>N25</f>
        <v>0.85</v>
      </c>
      <c r="R25" s="582">
        <f>Q25-N25</f>
        <v>0</v>
      </c>
      <c r="S25" s="582">
        <f>'F2.2'!S20</f>
        <v>0.85</v>
      </c>
      <c r="T25" s="582">
        <f>'F2.2'!T20</f>
        <v>0.85</v>
      </c>
      <c r="U25" s="582">
        <f>'F2.2'!U20</f>
        <v>0.85</v>
      </c>
      <c r="V25" s="582">
        <f>'F2.2'!V20</f>
        <v>0.85</v>
      </c>
      <c r="W25" s="582">
        <f>'F2.2'!W20</f>
        <v>0.85</v>
      </c>
      <c r="X25" s="473"/>
    </row>
    <row r="26" spans="1:24" s="1247" customFormat="1">
      <c r="A26" s="1242"/>
      <c r="B26" s="470">
        <v>3.2</v>
      </c>
      <c r="C26" s="471" t="s">
        <v>657</v>
      </c>
      <c r="D26" s="472" t="s">
        <v>99</v>
      </c>
      <c r="E26" s="532"/>
      <c r="F26" s="532">
        <f>G26</f>
        <v>0.70396000000000003</v>
      </c>
      <c r="G26" s="532">
        <f>'F2.2'!G21</f>
        <v>0.70396000000000003</v>
      </c>
      <c r="H26" s="532">
        <f>G26-F26</f>
        <v>0</v>
      </c>
      <c r="I26" s="845"/>
      <c r="J26" s="532">
        <f>K26</f>
        <v>0.74312999999999996</v>
      </c>
      <c r="K26" s="532">
        <f>'F2.2'!$K$21</f>
        <v>0.74312999999999996</v>
      </c>
      <c r="L26" s="532">
        <f>K26-J26</f>
        <v>0</v>
      </c>
      <c r="M26" s="848"/>
      <c r="N26" s="532">
        <f>'F2.2'!N21</f>
        <v>0.75027802223481954</v>
      </c>
      <c r="O26" s="532">
        <f>'F2.2'!O21</f>
        <v>0.65024218250178689</v>
      </c>
      <c r="P26" s="532">
        <f>'F2.2'!P21</f>
        <v>0.83423052704394796</v>
      </c>
      <c r="Q26" s="532">
        <f>'F2.2'!Q21</f>
        <v>0.75027802223481954</v>
      </c>
      <c r="R26" s="582">
        <f>Q26-N26</f>
        <v>0</v>
      </c>
      <c r="S26" s="582">
        <f>'F2.2'!S21</f>
        <v>0.84995139553414234</v>
      </c>
      <c r="T26" s="582">
        <f>'F2.2'!T21</f>
        <v>0.84996768944200274</v>
      </c>
      <c r="U26" s="582">
        <f>'F2.2'!U21</f>
        <v>0.84996768944200274</v>
      </c>
      <c r="V26" s="582">
        <f>'F2.2'!V21</f>
        <v>0.84998250208551196</v>
      </c>
      <c r="W26" s="582">
        <f>'F2.2'!W21</f>
        <v>0.84998250208551196</v>
      </c>
      <c r="X26" s="473"/>
    </row>
    <row r="27" spans="1:24" s="1242" customFormat="1">
      <c r="B27" s="357">
        <v>3.3</v>
      </c>
      <c r="C27" s="375" t="s">
        <v>650</v>
      </c>
      <c r="D27" s="357" t="s">
        <v>99</v>
      </c>
      <c r="E27" s="357"/>
      <c r="F27" s="449"/>
      <c r="G27" s="449"/>
      <c r="H27" s="449">
        <f>G27-F27</f>
        <v>0</v>
      </c>
      <c r="I27" s="844"/>
      <c r="J27" s="532"/>
      <c r="K27" s="449"/>
      <c r="L27" s="532">
        <f>K27-J27</f>
        <v>0</v>
      </c>
      <c r="M27" s="845"/>
      <c r="N27" s="532"/>
      <c r="O27" s="449"/>
      <c r="P27" s="449"/>
      <c r="Q27" s="449">
        <f>O27+P27</f>
        <v>0</v>
      </c>
      <c r="R27" s="449"/>
      <c r="S27" s="449"/>
      <c r="T27" s="449"/>
      <c r="U27" s="449"/>
      <c r="V27" s="449"/>
      <c r="W27" s="449"/>
      <c r="X27" s="388"/>
    </row>
    <row r="28" spans="1:24" s="1242" customFormat="1">
      <c r="B28" s="357"/>
      <c r="C28" s="372"/>
      <c r="D28" s="357"/>
      <c r="E28" s="357"/>
      <c r="F28" s="386"/>
      <c r="G28" s="386"/>
      <c r="H28" s="386"/>
      <c r="I28" s="386"/>
      <c r="J28" s="386"/>
      <c r="K28" s="846"/>
      <c r="L28" s="386"/>
      <c r="M28" s="387"/>
      <c r="N28" s="386"/>
      <c r="O28" s="846"/>
      <c r="P28" s="846"/>
      <c r="Q28" s="387"/>
      <c r="R28" s="387"/>
      <c r="S28" s="387"/>
      <c r="T28" s="387"/>
      <c r="U28" s="387"/>
      <c r="V28" s="387"/>
      <c r="W28" s="387"/>
      <c r="X28" s="388"/>
    </row>
    <row r="29" spans="1:24" s="1242" customFormat="1">
      <c r="B29" s="385">
        <v>4</v>
      </c>
      <c r="C29" s="391" t="s">
        <v>158</v>
      </c>
      <c r="D29" s="357"/>
      <c r="E29" s="357"/>
      <c r="F29" s="386"/>
      <c r="G29" s="386"/>
      <c r="H29" s="386"/>
      <c r="I29" s="386"/>
      <c r="J29" s="386"/>
      <c r="K29" s="846"/>
      <c r="L29" s="386"/>
      <c r="M29" s="387"/>
      <c r="N29" s="386"/>
      <c r="O29" s="846"/>
      <c r="P29" s="846"/>
      <c r="Q29" s="387"/>
      <c r="R29" s="387"/>
      <c r="S29" s="387"/>
      <c r="T29" s="387"/>
      <c r="U29" s="387"/>
      <c r="V29" s="387"/>
      <c r="W29" s="387"/>
      <c r="X29" s="388"/>
    </row>
    <row r="30" spans="1:24" s="1242" customFormat="1">
      <c r="B30" s="357">
        <f>B29+0.1</f>
        <v>4.0999999999999996</v>
      </c>
      <c r="C30" s="372" t="s">
        <v>658</v>
      </c>
      <c r="D30" s="357" t="s">
        <v>101</v>
      </c>
      <c r="E30" s="378">
        <v>6325.2095842825838</v>
      </c>
      <c r="F30" s="505">
        <f>G30</f>
        <v>6119.4900000000016</v>
      </c>
      <c r="G30" s="505">
        <f>'F2.2'!G23</f>
        <v>6119.4900000000016</v>
      </c>
      <c r="H30" s="505">
        <f>G30-F30</f>
        <v>0</v>
      </c>
      <c r="I30" s="846">
        <v>7466.4</v>
      </c>
      <c r="J30" s="505">
        <f>K30</f>
        <v>6559.1950000000006</v>
      </c>
      <c r="K30" s="505">
        <f>'F2.2'!$K$23</f>
        <v>6559.1950000000006</v>
      </c>
      <c r="L30" s="505">
        <f>K30-J30</f>
        <v>0</v>
      </c>
      <c r="M30" s="849">
        <v>7446</v>
      </c>
      <c r="N30" s="505">
        <f>'F2.2'!N23</f>
        <v>6572.4354747770194</v>
      </c>
      <c r="O30" s="505">
        <f>'F2.2'!O23</f>
        <v>2908.4949999999999</v>
      </c>
      <c r="P30" s="505">
        <f>'F2.2'!P23</f>
        <v>3663.9404747770195</v>
      </c>
      <c r="Q30" s="533">
        <f>O30+P30</f>
        <v>6572.4354747770194</v>
      </c>
      <c r="R30" s="417">
        <f>Q30-N30</f>
        <v>0</v>
      </c>
      <c r="S30" s="417">
        <f>'F2.2'!S23</f>
        <v>7445.5742248790875</v>
      </c>
      <c r="T30" s="417">
        <f>'F2.2'!T23</f>
        <v>7445.716959511944</v>
      </c>
      <c r="U30" s="417">
        <f>'F2.2'!U23</f>
        <v>7445.716959511944</v>
      </c>
      <c r="V30" s="417">
        <f>'F2.2'!V23</f>
        <v>7445.8467182690847</v>
      </c>
      <c r="W30" s="417">
        <f>'F2.2'!W23</f>
        <v>7445.8467182690847</v>
      </c>
      <c r="X30" s="388"/>
    </row>
    <row r="31" spans="1:24" s="1242" customFormat="1">
      <c r="B31" s="357">
        <v>4.2</v>
      </c>
      <c r="C31" s="372" t="s">
        <v>663</v>
      </c>
      <c r="D31" s="357" t="s">
        <v>101</v>
      </c>
      <c r="E31" s="537"/>
      <c r="F31" s="525">
        <f>'F2.2'!$G$24</f>
        <v>0</v>
      </c>
      <c r="G31" s="525"/>
      <c r="H31" s="525">
        <f>G31-F31</f>
        <v>0</v>
      </c>
      <c r="I31" s="659"/>
      <c r="J31" s="525">
        <f>'F2.2'!$K$24</f>
        <v>0</v>
      </c>
      <c r="K31" s="525"/>
      <c r="L31" s="505">
        <f>K31-J31</f>
        <v>0</v>
      </c>
      <c r="M31" s="849"/>
      <c r="N31" s="525">
        <f>'F2.2'!N24</f>
        <v>0</v>
      </c>
      <c r="O31" s="525">
        <f>'F2.2'!O24</f>
        <v>0</v>
      </c>
      <c r="P31" s="525">
        <f>'F2.2'!P24</f>
        <v>0</v>
      </c>
      <c r="Q31" s="525">
        <f>O31+P31</f>
        <v>0</v>
      </c>
      <c r="R31" s="525">
        <f>Q31-N31</f>
        <v>0</v>
      </c>
      <c r="S31" s="417">
        <f>'F2.2'!S24</f>
        <v>0</v>
      </c>
      <c r="T31" s="417">
        <f>'F2.2'!T24</f>
        <v>0</v>
      </c>
      <c r="U31" s="417">
        <f>'F2.2'!U24</f>
        <v>0</v>
      </c>
      <c r="V31" s="417">
        <f>'F2.2'!V24</f>
        <v>0</v>
      </c>
      <c r="W31" s="417">
        <f>'F2.2'!W24</f>
        <v>0</v>
      </c>
      <c r="X31" s="388"/>
    </row>
    <row r="32" spans="1:24" s="1242" customFormat="1">
      <c r="B32" s="357"/>
      <c r="C32" s="376"/>
      <c r="D32" s="357"/>
      <c r="E32" s="357"/>
      <c r="F32" s="386"/>
      <c r="G32" s="846"/>
      <c r="H32" s="386"/>
      <c r="I32" s="386"/>
      <c r="J32" s="386"/>
      <c r="K32" s="846"/>
      <c r="L32" s="386"/>
      <c r="M32" s="387"/>
      <c r="N32" s="387"/>
      <c r="O32" s="846"/>
      <c r="P32" s="846"/>
      <c r="Q32" s="387"/>
      <c r="R32" s="387"/>
      <c r="S32" s="387"/>
      <c r="T32" s="387"/>
      <c r="U32" s="387"/>
      <c r="V32" s="387"/>
      <c r="W32" s="387"/>
      <c r="X32" s="388"/>
    </row>
    <row r="33" spans="1:24" s="1242" customFormat="1">
      <c r="B33" s="385">
        <v>5</v>
      </c>
      <c r="C33" s="394" t="s">
        <v>359</v>
      </c>
      <c r="D33" s="357"/>
      <c r="E33" s="357"/>
      <c r="F33" s="386"/>
      <c r="G33" s="846"/>
      <c r="H33" s="386"/>
      <c r="I33" s="386"/>
      <c r="J33" s="386"/>
      <c r="K33" s="846"/>
      <c r="L33" s="386"/>
      <c r="M33" s="387"/>
      <c r="N33" s="387"/>
      <c r="O33" s="846"/>
      <c r="P33" s="846"/>
      <c r="Q33" s="387"/>
      <c r="R33" s="387"/>
      <c r="S33" s="387"/>
      <c r="T33" s="387"/>
      <c r="U33" s="387"/>
      <c r="V33" s="387"/>
      <c r="W33" s="387"/>
      <c r="X33" s="388"/>
    </row>
    <row r="34" spans="1:24" s="1249" customFormat="1">
      <c r="A34" s="1248"/>
      <c r="B34" s="534">
        <f>B33+0.1</f>
        <v>5.0999999999999996</v>
      </c>
      <c r="C34" s="535" t="s">
        <v>977</v>
      </c>
      <c r="D34" s="532" t="s">
        <v>99</v>
      </c>
      <c r="E34" s="532">
        <v>0.06</v>
      </c>
      <c r="F34" s="532">
        <v>0.06</v>
      </c>
      <c r="G34" s="532">
        <f>F34</f>
        <v>0.06</v>
      </c>
      <c r="H34" s="532"/>
      <c r="I34" s="845">
        <v>0.06</v>
      </c>
      <c r="J34" s="532">
        <v>0.06</v>
      </c>
      <c r="K34" s="532">
        <f>J34</f>
        <v>0.06</v>
      </c>
      <c r="L34" s="532">
        <f t="shared" ref="L34:L40" si="6">K34-J34</f>
        <v>0</v>
      </c>
      <c r="M34" s="845">
        <v>0.06</v>
      </c>
      <c r="N34" s="532">
        <v>0.06</v>
      </c>
      <c r="O34" s="532">
        <f>N34</f>
        <v>0.06</v>
      </c>
      <c r="P34" s="532">
        <f>N34</f>
        <v>0.06</v>
      </c>
      <c r="Q34" s="532">
        <f>N34</f>
        <v>0.06</v>
      </c>
      <c r="R34" s="532">
        <f>Q34-N34</f>
        <v>0</v>
      </c>
      <c r="S34" s="532">
        <f>'F2.2'!S25</f>
        <v>0.06</v>
      </c>
      <c r="T34" s="532">
        <f>'F2.2'!T25</f>
        <v>0.06</v>
      </c>
      <c r="U34" s="532">
        <f>'F2.2'!U25</f>
        <v>0.06</v>
      </c>
      <c r="V34" s="532">
        <f>'F2.2'!V25</f>
        <v>0.06</v>
      </c>
      <c r="W34" s="532">
        <f>'F2.2'!W25</f>
        <v>0.06</v>
      </c>
      <c r="X34" s="536"/>
    </row>
    <row r="35" spans="1:24" s="1242" customFormat="1">
      <c r="B35" s="357">
        <v>5.2</v>
      </c>
      <c r="C35" s="376" t="s">
        <v>659</v>
      </c>
      <c r="D35" s="357" t="s">
        <v>99</v>
      </c>
      <c r="E35" s="532"/>
      <c r="F35" s="532">
        <v>0</v>
      </c>
      <c r="G35" s="532"/>
      <c r="H35" s="449"/>
      <c r="I35" s="844"/>
      <c r="J35" s="532">
        <v>0</v>
      </c>
      <c r="K35" s="532">
        <f t="shared" ref="K35:K36" si="7">J35</f>
        <v>0</v>
      </c>
      <c r="L35" s="532">
        <f t="shared" si="6"/>
        <v>0</v>
      </c>
      <c r="M35" s="845"/>
      <c r="N35" s="532">
        <v>0</v>
      </c>
      <c r="O35" s="449"/>
      <c r="P35" s="449"/>
      <c r="Q35" s="582"/>
      <c r="R35" s="532"/>
      <c r="S35" s="532">
        <f>'F2.2'!S26</f>
        <v>0</v>
      </c>
      <c r="T35" s="532">
        <f>'F2.2'!T26</f>
        <v>0</v>
      </c>
      <c r="U35" s="532">
        <f>'F2.2'!U26</f>
        <v>0.01</v>
      </c>
      <c r="V35" s="532">
        <f>'F2.2'!V26</f>
        <v>0.01</v>
      </c>
      <c r="W35" s="532">
        <f>'F2.2'!W26</f>
        <v>0.01</v>
      </c>
      <c r="X35" s="388"/>
    </row>
    <row r="36" spans="1:24" s="1242" customFormat="1" ht="31">
      <c r="B36" s="357"/>
      <c r="C36" s="376" t="s">
        <v>968</v>
      </c>
      <c r="D36" s="357" t="s">
        <v>99</v>
      </c>
      <c r="E36" s="532"/>
      <c r="F36" s="532">
        <v>0</v>
      </c>
      <c r="G36" s="532"/>
      <c r="H36" s="449"/>
      <c r="I36" s="844"/>
      <c r="J36" s="532">
        <v>0</v>
      </c>
      <c r="K36" s="532">
        <f t="shared" si="7"/>
        <v>0</v>
      </c>
      <c r="L36" s="532"/>
      <c r="M36" s="845"/>
      <c r="N36" s="532">
        <v>0</v>
      </c>
      <c r="O36" s="449"/>
      <c r="P36" s="449"/>
      <c r="Q36" s="582"/>
      <c r="R36" s="532"/>
      <c r="S36" s="532"/>
      <c r="T36" s="532"/>
      <c r="U36" s="532"/>
      <c r="V36" s="532"/>
      <c r="W36" s="532"/>
      <c r="X36" s="388"/>
    </row>
    <row r="37" spans="1:24" s="1242" customFormat="1">
      <c r="B37" s="357"/>
      <c r="C37" s="376" t="s">
        <v>969</v>
      </c>
      <c r="D37" s="357" t="s">
        <v>99</v>
      </c>
      <c r="E37" s="804">
        <f>SUM(E34:E36)</f>
        <v>0.06</v>
      </c>
      <c r="F37" s="1250">
        <f>SUM(F34:F36)</f>
        <v>0.06</v>
      </c>
      <c r="G37" s="1250">
        <f>SUM(G34:G36)</f>
        <v>0.06</v>
      </c>
      <c r="H37" s="449"/>
      <c r="I37" s="655">
        <f>SUM(I34:I36)</f>
        <v>0.06</v>
      </c>
      <c r="J37" s="1250">
        <f>SUM(J34:J36)</f>
        <v>0.06</v>
      </c>
      <c r="K37" s="1250">
        <f>SUM(K34:K36)</f>
        <v>0.06</v>
      </c>
      <c r="L37" s="532"/>
      <c r="M37" s="655">
        <f>SUM(M34:M36)</f>
        <v>0.06</v>
      </c>
      <c r="N37" s="1250">
        <f>SUM(N34:N36)</f>
        <v>0.06</v>
      </c>
      <c r="O37" s="1250">
        <f>SUM(O34:O36)</f>
        <v>0.06</v>
      </c>
      <c r="P37" s="1250">
        <f t="shared" ref="P37:Q37" si="8">SUM(P34:P36)</f>
        <v>0.06</v>
      </c>
      <c r="Q37" s="1250">
        <f t="shared" si="8"/>
        <v>0.06</v>
      </c>
      <c r="R37" s="532"/>
      <c r="S37" s="532"/>
      <c r="T37" s="532"/>
      <c r="U37" s="532"/>
      <c r="V37" s="532"/>
      <c r="W37" s="532"/>
      <c r="X37" s="388"/>
    </row>
    <row r="38" spans="1:24" s="1242" customFormat="1" ht="31">
      <c r="B38" s="357">
        <v>5.3</v>
      </c>
      <c r="C38" s="376" t="s">
        <v>978</v>
      </c>
      <c r="D38" s="357" t="s">
        <v>99</v>
      </c>
      <c r="E38" s="804"/>
      <c r="F38" s="532">
        <f>F34</f>
        <v>0.06</v>
      </c>
      <c r="G38" s="532">
        <v>6.360595729678728E-2</v>
      </c>
      <c r="H38" s="532">
        <f>G38-F38</f>
        <v>3.6059572967872822E-3</v>
      </c>
      <c r="I38" s="845"/>
      <c r="J38" s="532">
        <f>J34</f>
        <v>0.06</v>
      </c>
      <c r="K38" s="532">
        <v>6.8124582902915218E-2</v>
      </c>
      <c r="L38" s="532">
        <f>K38-J38</f>
        <v>8.12458290291522E-3</v>
      </c>
      <c r="M38" s="845">
        <f>M34</f>
        <v>0.06</v>
      </c>
      <c r="N38" s="532">
        <f>N34</f>
        <v>0.06</v>
      </c>
      <c r="O38" s="532">
        <f>'F2.2'!O29</f>
        <v>7.4145442183934665E-2</v>
      </c>
      <c r="P38" s="532">
        <f>'F2.2'!P29</f>
        <v>0.06</v>
      </c>
      <c r="Q38" s="532">
        <f>'F2.2'!Q29</f>
        <v>6.6259772046854348E-2</v>
      </c>
      <c r="R38" s="532">
        <f t="shared" ref="R38:R45" si="9">Q38-N38</f>
        <v>6.2597720468543505E-3</v>
      </c>
      <c r="S38" s="532">
        <f>'F2.2'!S29</f>
        <v>0.06</v>
      </c>
      <c r="T38" s="532">
        <f>'F2.2'!T29</f>
        <v>0.06</v>
      </c>
      <c r="U38" s="532">
        <f>'F2.2'!U29</f>
        <v>0.06</v>
      </c>
      <c r="V38" s="532">
        <f>'F2.2'!V29</f>
        <v>0.06</v>
      </c>
      <c r="W38" s="532">
        <f>'F2.2'!W29</f>
        <v>0.06</v>
      </c>
      <c r="X38" s="388"/>
    </row>
    <row r="39" spans="1:24" s="1242" customFormat="1">
      <c r="B39" s="357">
        <v>5.4</v>
      </c>
      <c r="C39" s="376" t="s">
        <v>979</v>
      </c>
      <c r="D39" s="357" t="s">
        <v>99</v>
      </c>
      <c r="E39" s="357"/>
      <c r="F39" s="532">
        <f t="shared" ref="F39:F40" si="10">F35</f>
        <v>0</v>
      </c>
      <c r="G39" s="532">
        <v>0</v>
      </c>
      <c r="H39" s="532">
        <f t="shared" ref="H39:H41" si="11">G39-F39</f>
        <v>0</v>
      </c>
      <c r="I39" s="844"/>
      <c r="J39" s="532">
        <f t="shared" ref="J39:J40" si="12">J35</f>
        <v>0</v>
      </c>
      <c r="K39" s="532">
        <v>0</v>
      </c>
      <c r="L39" s="532">
        <f t="shared" si="6"/>
        <v>0</v>
      </c>
      <c r="M39" s="845"/>
      <c r="N39" s="532"/>
      <c r="O39" s="449"/>
      <c r="P39" s="449"/>
      <c r="Q39" s="582"/>
      <c r="R39" s="532"/>
      <c r="S39" s="532">
        <f>'F2.2'!S30</f>
        <v>0</v>
      </c>
      <c r="T39" s="532">
        <f>'F2.2'!T30</f>
        <v>0</v>
      </c>
      <c r="U39" s="532">
        <f>'F2.2'!U30</f>
        <v>0.01</v>
      </c>
      <c r="V39" s="532">
        <f>'F2.2'!V30</f>
        <v>0.01</v>
      </c>
      <c r="W39" s="532">
        <f>'F2.2'!W30</f>
        <v>0.01</v>
      </c>
      <c r="X39" s="388"/>
    </row>
    <row r="40" spans="1:24" s="1242" customFormat="1" ht="31">
      <c r="B40" s="357"/>
      <c r="C40" s="376" t="s">
        <v>980</v>
      </c>
      <c r="D40" s="357" t="s">
        <v>99</v>
      </c>
      <c r="E40" s="357"/>
      <c r="F40" s="532">
        <f t="shared" si="10"/>
        <v>0</v>
      </c>
      <c r="G40" s="532">
        <v>0</v>
      </c>
      <c r="H40" s="532">
        <f t="shared" si="11"/>
        <v>0</v>
      </c>
      <c r="I40" s="844"/>
      <c r="J40" s="532">
        <f t="shared" si="12"/>
        <v>0</v>
      </c>
      <c r="K40" s="532">
        <v>0</v>
      </c>
      <c r="L40" s="532">
        <f t="shared" si="6"/>
        <v>0</v>
      </c>
      <c r="M40" s="845"/>
      <c r="N40" s="532"/>
      <c r="O40" s="449"/>
      <c r="P40" s="449"/>
      <c r="Q40" s="582"/>
      <c r="R40" s="532"/>
      <c r="S40" s="532"/>
      <c r="T40" s="532"/>
      <c r="U40" s="532"/>
      <c r="V40" s="532"/>
      <c r="W40" s="532"/>
      <c r="X40" s="388"/>
    </row>
    <row r="41" spans="1:24" s="1242" customFormat="1">
      <c r="B41" s="357"/>
      <c r="C41" s="376" t="s">
        <v>981</v>
      </c>
      <c r="D41" s="357"/>
      <c r="E41" s="804"/>
      <c r="F41" s="449">
        <f>SUM(F38:F40)</f>
        <v>0.06</v>
      </c>
      <c r="G41" s="449">
        <f>SUM(G38:G40)</f>
        <v>6.360595729678728E-2</v>
      </c>
      <c r="H41" s="532">
        <f t="shared" si="11"/>
        <v>3.6059572967872822E-3</v>
      </c>
      <c r="I41" s="844"/>
      <c r="J41" s="449">
        <f>SUM(J38:J40)</f>
        <v>0.06</v>
      </c>
      <c r="K41" s="449">
        <f>SUM(K38:K40)</f>
        <v>6.8124582902915218E-2</v>
      </c>
      <c r="L41" s="449">
        <f>SUM(L38:L40)</f>
        <v>8.12458290291522E-3</v>
      </c>
      <c r="M41" s="845"/>
      <c r="N41" s="532"/>
      <c r="O41" s="449"/>
      <c r="P41" s="449"/>
      <c r="Q41" s="582"/>
      <c r="R41" s="532"/>
      <c r="S41" s="532"/>
      <c r="T41" s="532"/>
      <c r="U41" s="532"/>
      <c r="V41" s="532"/>
      <c r="W41" s="532"/>
      <c r="X41" s="388"/>
    </row>
    <row r="42" spans="1:24" s="1248" customFormat="1" ht="31">
      <c r="A42" s="1242"/>
      <c r="B42" s="386">
        <v>5.5</v>
      </c>
      <c r="C42" s="414" t="s">
        <v>982</v>
      </c>
      <c r="D42" s="386" t="s">
        <v>101</v>
      </c>
      <c r="E42" s="505">
        <f>E$30*E37</f>
        <v>379.51257505695503</v>
      </c>
      <c r="F42" s="505">
        <f>F$30*F38</f>
        <v>367.16940000000011</v>
      </c>
      <c r="G42" s="505">
        <f>G$30*G38</f>
        <v>389.23601961811687</v>
      </c>
      <c r="H42" s="505">
        <f t="shared" ref="H42:H45" si="13">G42-F42</f>
        <v>22.066619618116761</v>
      </c>
      <c r="I42" s="505">
        <f>I$30*I37</f>
        <v>447.98399999999998</v>
      </c>
      <c r="J42" s="505">
        <f>J$30*J38</f>
        <v>393.55170000000004</v>
      </c>
      <c r="K42" s="505">
        <f>K$30*K38</f>
        <v>446.84242355388704</v>
      </c>
      <c r="L42" s="505">
        <f t="shared" ref="L42:L45" si="14">K42-J42</f>
        <v>53.290723553887005</v>
      </c>
      <c r="M42" s="505">
        <f>M$30*M37</f>
        <v>446.76</v>
      </c>
      <c r="N42" s="505">
        <f>N$30*N38</f>
        <v>394.34612848662113</v>
      </c>
      <c r="O42" s="505">
        <f>O$30*O38</f>
        <v>215.65164786476305</v>
      </c>
      <c r="P42" s="505">
        <f>P$30*P38</f>
        <v>219.83642848662117</v>
      </c>
      <c r="Q42" s="583">
        <f t="shared" ref="Q42:Q45" si="15">O42+P42</f>
        <v>435.48807635138422</v>
      </c>
      <c r="R42" s="505">
        <f t="shared" si="9"/>
        <v>41.141947864763097</v>
      </c>
      <c r="S42" s="505">
        <f t="shared" ref="S42:W42" si="16">S$30*S38</f>
        <v>446.73445349274522</v>
      </c>
      <c r="T42" s="505">
        <f t="shared" si="16"/>
        <v>446.74301757071663</v>
      </c>
      <c r="U42" s="505">
        <f t="shared" si="16"/>
        <v>446.74301757071663</v>
      </c>
      <c r="V42" s="505">
        <f t="shared" si="16"/>
        <v>446.75080309614509</v>
      </c>
      <c r="W42" s="505">
        <f t="shared" si="16"/>
        <v>446.75080309614509</v>
      </c>
      <c r="X42" s="388"/>
    </row>
    <row r="43" spans="1:24" s="1248" customFormat="1" ht="31">
      <c r="A43" s="1242"/>
      <c r="B43" s="386"/>
      <c r="C43" s="376" t="s">
        <v>983</v>
      </c>
      <c r="D43" s="386" t="s">
        <v>101</v>
      </c>
      <c r="E43" s="386"/>
      <c r="F43" s="505">
        <f t="shared" ref="F43:G44" si="17">F$30*F39</f>
        <v>0</v>
      </c>
      <c r="G43" s="505">
        <f t="shared" si="17"/>
        <v>0</v>
      </c>
      <c r="H43" s="505">
        <f t="shared" si="13"/>
        <v>0</v>
      </c>
      <c r="I43" s="846"/>
      <c r="J43" s="505">
        <f t="shared" ref="J43:K43" si="18">J$30*J39</f>
        <v>0</v>
      </c>
      <c r="K43" s="505">
        <f t="shared" si="18"/>
        <v>0</v>
      </c>
      <c r="L43" s="505">
        <f t="shared" si="14"/>
        <v>0</v>
      </c>
      <c r="M43" s="846"/>
      <c r="N43" s="505">
        <f t="shared" ref="N43:P43" si="19">N$30*N39</f>
        <v>0</v>
      </c>
      <c r="O43" s="505">
        <f t="shared" si="19"/>
        <v>0</v>
      </c>
      <c r="P43" s="505">
        <f t="shared" si="19"/>
        <v>0</v>
      </c>
      <c r="Q43" s="583">
        <f t="shared" si="15"/>
        <v>0</v>
      </c>
      <c r="R43" s="505">
        <f t="shared" si="9"/>
        <v>0</v>
      </c>
      <c r="S43" s="505">
        <f t="shared" ref="S43:W43" si="20">S$30*S39</f>
        <v>0</v>
      </c>
      <c r="T43" s="505">
        <f t="shared" si="20"/>
        <v>0</v>
      </c>
      <c r="U43" s="505">
        <f t="shared" si="20"/>
        <v>74.457169595119439</v>
      </c>
      <c r="V43" s="505">
        <f t="shared" si="20"/>
        <v>74.458467182690853</v>
      </c>
      <c r="W43" s="505">
        <f t="shared" si="20"/>
        <v>74.458467182690853</v>
      </c>
      <c r="X43" s="388"/>
    </row>
    <row r="44" spans="1:24" s="1248" customFormat="1" ht="31">
      <c r="A44" s="1242"/>
      <c r="B44" s="386"/>
      <c r="C44" s="376" t="s">
        <v>984</v>
      </c>
      <c r="D44" s="386" t="s">
        <v>101</v>
      </c>
      <c r="E44" s="386"/>
      <c r="F44" s="505">
        <f t="shared" si="17"/>
        <v>0</v>
      </c>
      <c r="G44" s="505">
        <f t="shared" si="17"/>
        <v>0</v>
      </c>
      <c r="H44" s="505">
        <f t="shared" si="13"/>
        <v>0</v>
      </c>
      <c r="I44" s="846"/>
      <c r="J44" s="505">
        <f t="shared" ref="J44:K44" si="21">J$30*J40</f>
        <v>0</v>
      </c>
      <c r="K44" s="505">
        <f t="shared" si="21"/>
        <v>0</v>
      </c>
      <c r="L44" s="505">
        <f t="shared" si="14"/>
        <v>0</v>
      </c>
      <c r="M44" s="846"/>
      <c r="N44" s="505">
        <f t="shared" ref="N44:P44" si="22">N$30*N40</f>
        <v>0</v>
      </c>
      <c r="O44" s="505">
        <f t="shared" si="22"/>
        <v>0</v>
      </c>
      <c r="P44" s="505">
        <f t="shared" si="22"/>
        <v>0</v>
      </c>
      <c r="Q44" s="583">
        <f t="shared" si="15"/>
        <v>0</v>
      </c>
      <c r="R44" s="505">
        <f t="shared" si="9"/>
        <v>0</v>
      </c>
      <c r="S44" s="505">
        <f t="shared" ref="S44:W44" si="23">S$30*S40</f>
        <v>0</v>
      </c>
      <c r="T44" s="505">
        <f t="shared" si="23"/>
        <v>0</v>
      </c>
      <c r="U44" s="505">
        <f t="shared" si="23"/>
        <v>0</v>
      </c>
      <c r="V44" s="505">
        <f t="shared" si="23"/>
        <v>0</v>
      </c>
      <c r="W44" s="505">
        <f t="shared" si="23"/>
        <v>0</v>
      </c>
      <c r="X44" s="388"/>
    </row>
    <row r="45" spans="1:24" s="1242" customFormat="1">
      <c r="B45" s="357">
        <v>5.6</v>
      </c>
      <c r="C45" s="376" t="s">
        <v>985</v>
      </c>
      <c r="D45" s="357" t="s">
        <v>101</v>
      </c>
      <c r="E45" s="525">
        <f>SUM(E42:E44)</f>
        <v>379.51257505695503</v>
      </c>
      <c r="F45" s="525">
        <f>SUM(F42:F44)</f>
        <v>367.16940000000011</v>
      </c>
      <c r="G45" s="525">
        <f>SUM(G42:G44)</f>
        <v>389.23601961811687</v>
      </c>
      <c r="H45" s="505">
        <f t="shared" si="13"/>
        <v>22.066619618116761</v>
      </c>
      <c r="I45" s="525">
        <f>SUM(I42:I44)</f>
        <v>447.98399999999998</v>
      </c>
      <c r="J45" s="525">
        <f>SUM(J42:J44)</f>
        <v>393.55170000000004</v>
      </c>
      <c r="K45" s="525">
        <f>SUM(K42:K44)</f>
        <v>446.84242355388704</v>
      </c>
      <c r="L45" s="505">
        <f t="shared" si="14"/>
        <v>53.290723553887005</v>
      </c>
      <c r="M45" s="525">
        <f>SUM(M42:M44)</f>
        <v>446.76</v>
      </c>
      <c r="N45" s="525">
        <f>SUM(N42:N44)</f>
        <v>394.34612848662113</v>
      </c>
      <c r="O45" s="525">
        <f>SUM(O42:O44)</f>
        <v>215.65164786476305</v>
      </c>
      <c r="P45" s="525">
        <f>SUM(P42:P44)</f>
        <v>219.83642848662117</v>
      </c>
      <c r="Q45" s="583">
        <f t="shared" si="15"/>
        <v>435.48807635138422</v>
      </c>
      <c r="R45" s="505">
        <f t="shared" si="9"/>
        <v>41.141947864763097</v>
      </c>
      <c r="S45" s="525">
        <f t="shared" ref="S45:W45" si="24">SUM(S42:S44)</f>
        <v>446.73445349274522</v>
      </c>
      <c r="T45" s="525">
        <f t="shared" si="24"/>
        <v>446.74301757071663</v>
      </c>
      <c r="U45" s="525">
        <f t="shared" si="24"/>
        <v>521.20018716583604</v>
      </c>
      <c r="V45" s="525">
        <f t="shared" si="24"/>
        <v>521.2092702788359</v>
      </c>
      <c r="W45" s="525">
        <f t="shared" si="24"/>
        <v>521.2092702788359</v>
      </c>
      <c r="X45" s="388"/>
    </row>
    <row r="46" spans="1:24" s="1242" customFormat="1">
      <c r="B46" s="357"/>
      <c r="C46" s="376"/>
      <c r="D46" s="357"/>
      <c r="E46" s="357"/>
      <c r="F46" s="505"/>
      <c r="G46" s="505"/>
      <c r="H46" s="505"/>
      <c r="I46" s="846"/>
      <c r="J46" s="505"/>
      <c r="K46" s="505"/>
      <c r="L46" s="505"/>
      <c r="M46" s="846"/>
      <c r="N46" s="505"/>
      <c r="O46" s="505"/>
      <c r="P46" s="505"/>
      <c r="Q46" s="505"/>
      <c r="R46" s="505"/>
      <c r="S46" s="505"/>
      <c r="T46" s="505"/>
      <c r="U46" s="505"/>
      <c r="V46" s="505"/>
      <c r="W46" s="505"/>
      <c r="X46" s="388"/>
    </row>
    <row r="47" spans="1:24" s="1242" customFormat="1">
      <c r="B47" s="385">
        <v>6</v>
      </c>
      <c r="C47" s="394" t="s">
        <v>102</v>
      </c>
      <c r="D47" s="357"/>
      <c r="E47" s="357"/>
      <c r="F47" s="505"/>
      <c r="G47" s="505"/>
      <c r="H47" s="505"/>
      <c r="I47" s="846"/>
      <c r="J47" s="505"/>
      <c r="K47" s="505"/>
      <c r="L47" s="505"/>
      <c r="M47" s="846"/>
      <c r="N47" s="505"/>
      <c r="O47" s="505"/>
      <c r="P47" s="505"/>
      <c r="Q47" s="505"/>
      <c r="R47" s="505"/>
      <c r="S47" s="505"/>
      <c r="T47" s="505"/>
      <c r="U47" s="505"/>
      <c r="V47" s="505"/>
      <c r="W47" s="505"/>
      <c r="X47" s="388"/>
    </row>
    <row r="48" spans="1:24" s="1248" customFormat="1">
      <c r="A48" s="1242"/>
      <c r="B48" s="386">
        <v>6.1</v>
      </c>
      <c r="C48" s="375" t="s">
        <v>661</v>
      </c>
      <c r="D48" s="386" t="s">
        <v>101</v>
      </c>
      <c r="E48" s="537">
        <v>5945.6970092256288</v>
      </c>
      <c r="F48" s="505">
        <f>F30-F45</f>
        <v>5752.3206000000018</v>
      </c>
      <c r="G48" s="505">
        <f t="shared" ref="G48" si="25">G30-G45</f>
        <v>5730.2539803818845</v>
      </c>
      <c r="H48" s="505">
        <f>G48-F48</f>
        <v>-22.066619618117329</v>
      </c>
      <c r="I48" s="846">
        <f>I30*(1-I37)</f>
        <v>7018.4159999999993</v>
      </c>
      <c r="J48" s="505">
        <f>J30-J45</f>
        <v>6165.6433000000006</v>
      </c>
      <c r="K48" s="505">
        <f t="shared" ref="K48" si="26">K30-K45</f>
        <v>6112.3525764461137</v>
      </c>
      <c r="L48" s="505">
        <f>K48-J48</f>
        <v>-53.290723553886892</v>
      </c>
      <c r="M48" s="846">
        <f>M30*(1-M37)</f>
        <v>6999.24</v>
      </c>
      <c r="N48" s="505">
        <f>N30-N45</f>
        <v>6178.0893462903987</v>
      </c>
      <c r="O48" s="505">
        <f t="shared" ref="O48:P48" si="27">O30-O45</f>
        <v>2692.8433521352367</v>
      </c>
      <c r="P48" s="505">
        <f t="shared" si="27"/>
        <v>3444.1040462903984</v>
      </c>
      <c r="Q48" s="583">
        <f>O48+P48</f>
        <v>6136.9473984256347</v>
      </c>
      <c r="R48" s="505">
        <f>Q48-N48</f>
        <v>-41.141947864764006</v>
      </c>
      <c r="S48" s="505">
        <f t="shared" ref="S48:W48" si="28">S30-S45</f>
        <v>6998.8397713863424</v>
      </c>
      <c r="T48" s="505">
        <f t="shared" si="28"/>
        <v>6998.9739419412272</v>
      </c>
      <c r="U48" s="505">
        <f t="shared" si="28"/>
        <v>6924.5167723461082</v>
      </c>
      <c r="V48" s="505">
        <f t="shared" si="28"/>
        <v>6924.6374479902488</v>
      </c>
      <c r="W48" s="505">
        <f t="shared" si="28"/>
        <v>6924.6374479902488</v>
      </c>
      <c r="X48" s="388"/>
    </row>
    <row r="49" spans="2:24" s="1242" customFormat="1">
      <c r="B49" s="357">
        <v>6.2</v>
      </c>
      <c r="C49" s="372" t="s">
        <v>662</v>
      </c>
      <c r="D49" s="357" t="s">
        <v>101</v>
      </c>
      <c r="E49" s="378"/>
      <c r="F49" s="505">
        <v>7446</v>
      </c>
      <c r="G49" s="525"/>
      <c r="H49" s="525"/>
      <c r="I49" s="659"/>
      <c r="J49" s="505">
        <v>7466.4</v>
      </c>
      <c r="K49" s="525"/>
      <c r="L49" s="505"/>
      <c r="M49" s="846"/>
      <c r="N49" s="505"/>
      <c r="O49" s="525"/>
      <c r="P49" s="525"/>
      <c r="Q49" s="525">
        <f>O49+P49</f>
        <v>0</v>
      </c>
      <c r="R49" s="525">
        <f>Q49-N49</f>
        <v>0</v>
      </c>
      <c r="S49" s="525"/>
      <c r="T49" s="525"/>
      <c r="U49" s="525"/>
      <c r="V49" s="525"/>
      <c r="W49" s="525"/>
      <c r="X49" s="388"/>
    </row>
    <row r="50" spans="2:24" s="1242" customFormat="1">
      <c r="B50" s="357"/>
      <c r="C50" s="376"/>
      <c r="D50" s="357"/>
      <c r="E50" s="357"/>
      <c r="F50" s="505"/>
      <c r="G50" s="505"/>
      <c r="H50" s="505"/>
      <c r="I50" s="846"/>
      <c r="J50" s="505"/>
      <c r="K50" s="505"/>
      <c r="L50" s="505"/>
      <c r="M50" s="846"/>
      <c r="N50" s="505"/>
      <c r="O50" s="505"/>
      <c r="P50" s="505"/>
      <c r="Q50" s="505"/>
      <c r="R50" s="505"/>
      <c r="S50" s="505"/>
      <c r="T50" s="505"/>
      <c r="U50" s="505"/>
      <c r="V50" s="505"/>
      <c r="W50" s="505"/>
      <c r="X50" s="388"/>
    </row>
    <row r="51" spans="2:24" s="1242" customFormat="1">
      <c r="B51" s="385">
        <v>7</v>
      </c>
      <c r="C51" s="394" t="s">
        <v>448</v>
      </c>
      <c r="D51" s="357"/>
      <c r="E51" s="357"/>
      <c r="F51" s="505"/>
      <c r="G51" s="505"/>
      <c r="H51" s="505"/>
      <c r="I51" s="846"/>
      <c r="J51" s="505"/>
      <c r="K51" s="505"/>
      <c r="L51" s="505"/>
      <c r="M51" s="846"/>
      <c r="N51" s="505"/>
      <c r="O51" s="505"/>
      <c r="P51" s="505"/>
      <c r="Q51" s="505"/>
      <c r="R51" s="505"/>
      <c r="S51" s="505"/>
      <c r="T51" s="505"/>
      <c r="U51" s="505"/>
      <c r="V51" s="505"/>
      <c r="W51" s="505"/>
      <c r="X51" s="388"/>
    </row>
    <row r="52" spans="2:24" s="1242" customFormat="1">
      <c r="B52" s="357">
        <f>B51+0.1</f>
        <v>7.1</v>
      </c>
      <c r="C52" s="376" t="s">
        <v>103</v>
      </c>
      <c r="D52" s="357" t="s">
        <v>104</v>
      </c>
      <c r="E52" s="378">
        <v>2375</v>
      </c>
      <c r="F52" s="505">
        <f>'F2.2'!F39</f>
        <v>2375</v>
      </c>
      <c r="G52" s="1251"/>
      <c r="H52" s="1251"/>
      <c r="I52" s="846">
        <v>2375</v>
      </c>
      <c r="J52" s="505">
        <f>'F2.2'!J39</f>
        <v>2375</v>
      </c>
      <c r="K52" s="1251"/>
      <c r="L52" s="1251"/>
      <c r="M52" s="846">
        <v>2375</v>
      </c>
      <c r="N52" s="505">
        <f>'F2.2'!$N$39</f>
        <v>2375</v>
      </c>
      <c r="O52" s="1252"/>
      <c r="P52" s="1252"/>
      <c r="Q52" s="505">
        <f>'F2.2'!Q39</f>
        <v>0</v>
      </c>
      <c r="R52" s="505">
        <f>Q52-N52</f>
        <v>-2375</v>
      </c>
      <c r="S52" s="505">
        <f>'F2.2'!S39</f>
        <v>0</v>
      </c>
      <c r="T52" s="505">
        <f>'F2.2'!T39</f>
        <v>0</v>
      </c>
      <c r="U52" s="505">
        <f>'F2.2'!U39</f>
        <v>0</v>
      </c>
      <c r="V52" s="505">
        <f>'F2.2'!V39</f>
        <v>0</v>
      </c>
      <c r="W52" s="505">
        <f>'F2.2'!W39</f>
        <v>0</v>
      </c>
      <c r="X52" s="388"/>
    </row>
    <row r="53" spans="2:24" s="1242" customFormat="1">
      <c r="B53" s="357">
        <f>B52+0.1</f>
        <v>7.1999999999999993</v>
      </c>
      <c r="C53" s="372" t="s">
        <v>318</v>
      </c>
      <c r="D53" s="357" t="s">
        <v>104</v>
      </c>
      <c r="E53" s="378"/>
      <c r="F53" s="1251"/>
      <c r="G53" s="505">
        <f>'F2.2'!G40</f>
        <v>2417.1042127908709</v>
      </c>
      <c r="H53" s="505">
        <f>G53-F52</f>
        <v>42.104212790870861</v>
      </c>
      <c r="I53" s="846"/>
      <c r="J53" s="1251"/>
      <c r="K53" s="505">
        <f>'F2.2'!$K$40</f>
        <v>2464.4901521848601</v>
      </c>
      <c r="L53" s="1253">
        <f>K53-J52</f>
        <v>89.490152184860108</v>
      </c>
      <c r="M53" s="846"/>
      <c r="N53" s="1252"/>
      <c r="O53" s="505">
        <f>'F2.2'!O40</f>
        <v>2510.0835643639512</v>
      </c>
      <c r="P53" s="505">
        <f>'F2.2'!P40</f>
        <v>2419.8445545352452</v>
      </c>
      <c r="Q53" s="505">
        <f>'F2.2'!Q40</f>
        <v>2459.7779566810677</v>
      </c>
      <c r="R53" s="505">
        <f>Q53-N53</f>
        <v>2459.7779566810677</v>
      </c>
      <c r="S53" s="505">
        <f>'F2.2'!S40</f>
        <v>2375</v>
      </c>
      <c r="T53" s="505">
        <f>'F2.2'!T40</f>
        <v>2375</v>
      </c>
      <c r="U53" s="505">
        <f>'F2.2'!U40</f>
        <v>2375</v>
      </c>
      <c r="V53" s="505">
        <f>'F2.2'!V40</f>
        <v>2375</v>
      </c>
      <c r="W53" s="505">
        <f>'F2.2'!W40</f>
        <v>2375</v>
      </c>
      <c r="X53" s="388"/>
    </row>
    <row r="54" spans="2:24" s="1242" customFormat="1">
      <c r="B54" s="357"/>
      <c r="C54" s="372"/>
      <c r="D54" s="357"/>
      <c r="E54" s="357"/>
      <c r="F54" s="505"/>
      <c r="G54" s="505"/>
      <c r="H54" s="505"/>
      <c r="I54" s="846"/>
      <c r="J54" s="505"/>
      <c r="K54" s="505"/>
      <c r="L54" s="505"/>
      <c r="M54" s="846"/>
      <c r="N54" s="505"/>
      <c r="O54" s="505"/>
      <c r="P54" s="505"/>
      <c r="Q54" s="505"/>
      <c r="R54" s="505"/>
      <c r="S54" s="505"/>
      <c r="T54" s="505"/>
      <c r="U54" s="505"/>
      <c r="V54" s="505"/>
      <c r="W54" s="505"/>
      <c r="X54" s="388"/>
    </row>
    <row r="55" spans="2:24" s="1242" customFormat="1">
      <c r="B55" s="385">
        <v>8</v>
      </c>
      <c r="C55" s="391" t="s">
        <v>376</v>
      </c>
      <c r="D55" s="357"/>
      <c r="E55" s="357"/>
      <c r="F55" s="505"/>
      <c r="G55" s="505"/>
      <c r="H55" s="505"/>
      <c r="I55" s="846"/>
      <c r="J55" s="505"/>
      <c r="K55" s="505"/>
      <c r="L55" s="505"/>
      <c r="M55" s="846"/>
      <c r="N55" s="505"/>
      <c r="O55" s="505"/>
      <c r="P55" s="505"/>
      <c r="Q55" s="505"/>
      <c r="R55" s="505"/>
      <c r="S55" s="505"/>
      <c r="T55" s="505"/>
      <c r="U55" s="505"/>
      <c r="V55" s="505"/>
      <c r="W55" s="505"/>
      <c r="X55" s="388"/>
    </row>
    <row r="56" spans="2:24" s="1242" customFormat="1">
      <c r="B56" s="357">
        <f>B55+0.1</f>
        <v>8.1</v>
      </c>
      <c r="C56" s="372" t="s">
        <v>105</v>
      </c>
      <c r="D56" s="357" t="s">
        <v>106</v>
      </c>
      <c r="E56" s="378">
        <v>0.5</v>
      </c>
      <c r="F56" s="505">
        <f>'F2.2'!$F$41</f>
        <v>0.5</v>
      </c>
      <c r="G56" s="505"/>
      <c r="H56" s="505"/>
      <c r="I56" s="846">
        <v>0.5</v>
      </c>
      <c r="J56" s="505">
        <f>I56</f>
        <v>0.5</v>
      </c>
      <c r="K56" s="505">
        <f>'F2.2'!$K$41</f>
        <v>0</v>
      </c>
      <c r="L56" s="505">
        <f>K56-J56</f>
        <v>-0.5</v>
      </c>
      <c r="M56" s="846">
        <v>0.5</v>
      </c>
      <c r="N56" s="505">
        <f>'F2.2'!$N$41</f>
        <v>0.5</v>
      </c>
      <c r="O56" s="505">
        <f>'F2.2'!O41</f>
        <v>0</v>
      </c>
      <c r="P56" s="505">
        <f>'F2.2'!P41</f>
        <v>0</v>
      </c>
      <c r="Q56" s="505">
        <f>'F2.2'!Q41</f>
        <v>0</v>
      </c>
      <c r="R56" s="505">
        <f>Q56-N56</f>
        <v>-0.5</v>
      </c>
      <c r="S56" s="505">
        <f>'F2.2'!S41</f>
        <v>0</v>
      </c>
      <c r="T56" s="505">
        <f>'F2.2'!T41</f>
        <v>0</v>
      </c>
      <c r="U56" s="505">
        <f>'F2.2'!U41</f>
        <v>0</v>
      </c>
      <c r="V56" s="505">
        <f>'F2.2'!V41</f>
        <v>0</v>
      </c>
      <c r="W56" s="505">
        <f>'F2.2'!W41</f>
        <v>0</v>
      </c>
      <c r="X56" s="388"/>
    </row>
    <row r="57" spans="2:24" s="1242" customFormat="1">
      <c r="B57" s="357">
        <f>B56+0.1</f>
        <v>8.1999999999999993</v>
      </c>
      <c r="C57" s="372" t="s">
        <v>319</v>
      </c>
      <c r="D57" s="357" t="s">
        <v>106</v>
      </c>
      <c r="E57" s="378"/>
      <c r="F57" s="505"/>
      <c r="G57" s="505">
        <f>'F2.2'!$G$42</f>
        <v>2.0273748302554617</v>
      </c>
      <c r="H57" s="505">
        <f>G57-F56</f>
        <v>1.5273748302554617</v>
      </c>
      <c r="I57" s="505"/>
      <c r="J57" s="505">
        <f>J56</f>
        <v>0.5</v>
      </c>
      <c r="K57" s="505">
        <f>'F2.2'!$K$42</f>
        <v>0.98064884486587145</v>
      </c>
      <c r="L57" s="505">
        <f>K57-J57</f>
        <v>0.48064884486587145</v>
      </c>
      <c r="M57" s="505"/>
      <c r="N57" s="505">
        <f>N56</f>
        <v>0.5</v>
      </c>
      <c r="O57" s="505">
        <f>'F2.2'!O42</f>
        <v>0.75313865074548869</v>
      </c>
      <c r="P57" s="505">
        <f>'F2.2'!P42</f>
        <v>0.5</v>
      </c>
      <c r="Q57" s="505">
        <f>'F2.2'!Q42</f>
        <v>0.62656932537274435</v>
      </c>
      <c r="R57" s="505">
        <f>Q57-N57</f>
        <v>0.12656932537274435</v>
      </c>
      <c r="S57" s="505">
        <f>'F2.2'!S42</f>
        <v>0.5</v>
      </c>
      <c r="T57" s="505">
        <f>'F2.2'!T42</f>
        <v>0.5</v>
      </c>
      <c r="U57" s="505">
        <f>'F2.2'!U42</f>
        <v>0.5</v>
      </c>
      <c r="V57" s="505">
        <f>'F2.2'!V42</f>
        <v>0.5</v>
      </c>
      <c r="W57" s="505">
        <f>'F2.2'!W42</f>
        <v>0.5</v>
      </c>
      <c r="X57" s="388"/>
    </row>
    <row r="58" spans="2:24" s="1242" customFormat="1">
      <c r="B58" s="357"/>
      <c r="C58" s="372"/>
      <c r="D58" s="357"/>
      <c r="E58" s="357"/>
      <c r="F58" s="386"/>
      <c r="G58" s="386"/>
      <c r="H58" s="386"/>
      <c r="I58" s="386"/>
      <c r="J58" s="386"/>
      <c r="K58" s="386"/>
      <c r="L58" s="386"/>
      <c r="M58" s="387"/>
      <c r="N58" s="386"/>
      <c r="O58" s="386"/>
      <c r="P58" s="386"/>
      <c r="Q58" s="387"/>
      <c r="R58" s="387"/>
      <c r="S58" s="387"/>
      <c r="T58" s="387"/>
      <c r="U58" s="387"/>
      <c r="V58" s="387"/>
      <c r="W58" s="387"/>
      <c r="X58" s="388"/>
    </row>
    <row r="59" spans="2:24" s="1242" customFormat="1">
      <c r="B59" s="385">
        <v>9</v>
      </c>
      <c r="C59" s="391" t="s">
        <v>143</v>
      </c>
      <c r="D59" s="357"/>
      <c r="E59" s="357"/>
      <c r="F59" s="386"/>
      <c r="G59" s="386"/>
      <c r="H59" s="386"/>
      <c r="I59" s="386"/>
      <c r="J59" s="386"/>
      <c r="K59" s="386"/>
      <c r="L59" s="386"/>
      <c r="M59" s="387"/>
      <c r="N59" s="386"/>
      <c r="O59" s="386"/>
      <c r="P59" s="386"/>
      <c r="Q59" s="387"/>
      <c r="R59" s="387"/>
      <c r="S59" s="387"/>
      <c r="T59" s="387"/>
      <c r="U59" s="387"/>
      <c r="V59" s="387"/>
      <c r="W59" s="387"/>
      <c r="X59" s="388"/>
    </row>
    <row r="60" spans="2:24" s="1242" customFormat="1">
      <c r="B60" s="357">
        <f>B59+0.1</f>
        <v>9.1</v>
      </c>
      <c r="C60" s="372" t="s">
        <v>107</v>
      </c>
      <c r="D60" s="357" t="s">
        <v>99</v>
      </c>
      <c r="E60" s="389">
        <v>8.0000000000000002E-3</v>
      </c>
      <c r="F60" s="389">
        <f>'F2.2'!F43</f>
        <v>8.0000000000000002E-3</v>
      </c>
      <c r="G60" s="1251"/>
      <c r="H60" s="1254"/>
      <c r="I60" s="389">
        <v>8.0000000000000002E-3</v>
      </c>
      <c r="J60" s="389">
        <f>'F2.2'!J43</f>
        <v>8.0000000000000002E-3</v>
      </c>
      <c r="K60" s="1251"/>
      <c r="L60" s="1254"/>
      <c r="M60" s="389"/>
      <c r="N60" s="389">
        <f>'F2.2'!N43</f>
        <v>8.0000000000000002E-3</v>
      </c>
      <c r="O60" s="1251"/>
      <c r="P60" s="1254"/>
      <c r="Q60" s="1254"/>
      <c r="R60" s="581"/>
      <c r="S60" s="581">
        <f>'F2.2'!S43</f>
        <v>0</v>
      </c>
      <c r="T60" s="581">
        <f>'F2.2'!T43</f>
        <v>0</v>
      </c>
      <c r="U60" s="581">
        <f>'F2.2'!U43</f>
        <v>0</v>
      </c>
      <c r="V60" s="581">
        <f>'F2.2'!V43</f>
        <v>0</v>
      </c>
      <c r="W60" s="581">
        <f>'F2.2'!W43</f>
        <v>0</v>
      </c>
      <c r="X60" s="638"/>
    </row>
    <row r="61" spans="2:24" s="1242" customFormat="1">
      <c r="B61" s="357">
        <f>B60+0.1</f>
        <v>9.1999999999999993</v>
      </c>
      <c r="C61" s="372" t="s">
        <v>320</v>
      </c>
      <c r="D61" s="357" t="s">
        <v>99</v>
      </c>
      <c r="E61" s="389"/>
      <c r="F61" s="1254"/>
      <c r="G61" s="532">
        <f>'F2.2'!G44</f>
        <v>8.0000000000000002E-3</v>
      </c>
      <c r="H61" s="389">
        <f>G61-F60</f>
        <v>0</v>
      </c>
      <c r="I61" s="389"/>
      <c r="J61" s="1254"/>
      <c r="K61" s="532">
        <f>'F2.2'!$K$44</f>
        <v>9.92E-3</v>
      </c>
      <c r="L61" s="389">
        <f>K61-J60</f>
        <v>1.9199999999999998E-3</v>
      </c>
      <c r="M61" s="389"/>
      <c r="N61" s="1254"/>
      <c r="O61" s="532">
        <f>'F2.2'!O44</f>
        <v>1.0156399890765262E-2</v>
      </c>
      <c r="P61" s="532">
        <f>'F2.2'!P44</f>
        <v>8.0000000000000002E-3</v>
      </c>
      <c r="Q61" s="532">
        <f>'F2.2'!Q44</f>
        <v>9.0781999453826319E-3</v>
      </c>
      <c r="R61" s="581">
        <f>Q61-N60</f>
        <v>1.0781999453826317E-3</v>
      </c>
      <c r="S61" s="581">
        <f>'F2.2'!S44</f>
        <v>8.0000000000000002E-3</v>
      </c>
      <c r="T61" s="581">
        <f>'F2.2'!T44</f>
        <v>8.0000000000000002E-3</v>
      </c>
      <c r="U61" s="581">
        <f>'F2.2'!U44</f>
        <v>8.0000000000000002E-3</v>
      </c>
      <c r="V61" s="581">
        <f>'F2.2'!V44</f>
        <v>8.0000000000000002E-3</v>
      </c>
      <c r="W61" s="581">
        <f>'F2.2'!W44</f>
        <v>8.0000000000000002E-3</v>
      </c>
      <c r="X61" s="638"/>
    </row>
    <row r="62" spans="2:24" s="1242" customFormat="1">
      <c r="B62" s="1255"/>
      <c r="C62" s="1256"/>
      <c r="D62" s="1257"/>
      <c r="E62" s="1257"/>
      <c r="F62" s="1257"/>
      <c r="G62" s="1257"/>
      <c r="H62" s="1257"/>
      <c r="I62" s="1257"/>
      <c r="J62" s="1257"/>
      <c r="K62" s="1257"/>
      <c r="L62" s="1257"/>
      <c r="M62" s="1255"/>
      <c r="N62" s="1255"/>
      <c r="O62" s="1255"/>
      <c r="P62" s="1255"/>
      <c r="Q62" s="1255"/>
      <c r="R62" s="1255"/>
      <c r="S62" s="1255"/>
      <c r="T62" s="1255"/>
      <c r="U62" s="1255"/>
      <c r="V62" s="1255"/>
      <c r="W62" s="1255"/>
    </row>
    <row r="63" spans="2:24" s="1258" customFormat="1" ht="18.5">
      <c r="D63" s="1259"/>
      <c r="E63" s="1259"/>
      <c r="F63" s="1259"/>
      <c r="G63" s="1259"/>
      <c r="H63" s="1259"/>
      <c r="I63" s="1259"/>
      <c r="J63" s="1259"/>
      <c r="K63" s="1259"/>
      <c r="L63" s="1259"/>
      <c r="M63" s="1260"/>
      <c r="N63" s="1260"/>
      <c r="O63" s="1260"/>
      <c r="P63" s="1260"/>
      <c r="Q63" s="1260"/>
      <c r="R63" s="1260"/>
      <c r="S63" s="1260"/>
      <c r="T63" s="1260"/>
      <c r="U63" s="1260"/>
      <c r="V63" s="1260"/>
      <c r="W63" s="1260"/>
    </row>
    <row r="64" spans="2:24" ht="18.5">
      <c r="B64" s="31"/>
      <c r="M64" s="1260"/>
      <c r="N64" s="1260"/>
      <c r="O64" s="1260"/>
      <c r="P64" s="1260"/>
      <c r="Q64" s="1260"/>
      <c r="R64" s="1260"/>
      <c r="S64" s="1260"/>
      <c r="T64" s="1260"/>
      <c r="U64" s="1260"/>
      <c r="V64" s="1260"/>
      <c r="W64" s="1260"/>
    </row>
    <row r="65" spans="3:23" ht="18.5">
      <c r="C65" s="1262"/>
      <c r="M65" s="1260"/>
      <c r="N65" s="1260"/>
      <c r="O65" s="1260"/>
      <c r="P65" s="1260"/>
      <c r="Q65" s="1260"/>
      <c r="R65" s="1260"/>
      <c r="S65" s="1260"/>
      <c r="T65" s="1260"/>
      <c r="U65" s="1260"/>
      <c r="V65" s="1260"/>
      <c r="W65" s="1260"/>
    </row>
    <row r="66" spans="3:23">
      <c r="M66" s="1263"/>
      <c r="N66" s="1263"/>
      <c r="O66" s="1263"/>
      <c r="P66" s="1263"/>
      <c r="Q66" s="1263"/>
      <c r="R66" s="1263"/>
      <c r="S66" s="1263"/>
      <c r="T66" s="1263"/>
      <c r="U66" s="1263"/>
      <c r="V66" s="1263"/>
      <c r="W66" s="1263"/>
    </row>
    <row r="67" spans="3:23">
      <c r="P67" s="1264"/>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A199"/>
  <sheetViews>
    <sheetView showGridLines="0" view="pageBreakPreview" zoomScale="63" zoomScaleNormal="80" zoomScaleSheetLayoutView="80" workbookViewId="0">
      <pane xSplit="4" ySplit="8" topLeftCell="G54" activePane="bottomRight" state="frozen"/>
      <selection activeCell="B28" sqref="B28"/>
      <selection pane="topRight" activeCell="B28" sqref="B28"/>
      <selection pane="bottomLeft" activeCell="B28" sqref="B28"/>
      <selection pane="bottomRight" activeCell="N58" sqref="N58"/>
    </sheetView>
  </sheetViews>
  <sheetFormatPr defaultColWidth="9.36328125" defaultRowHeight="14"/>
  <cols>
    <col min="1" max="1" width="10.36328125" style="5" bestFit="1" customWidth="1"/>
    <col min="2" max="2" width="10.453125" style="35" bestFit="1" customWidth="1"/>
    <col min="3" max="3" width="27.54296875" style="5" customWidth="1"/>
    <col min="4" max="4" width="13.1796875" style="50" bestFit="1" customWidth="1"/>
    <col min="5" max="5" width="10.36328125" style="50" bestFit="1" customWidth="1"/>
    <col min="6" max="6" width="11.81640625" style="50" bestFit="1" customWidth="1"/>
    <col min="7" max="7" width="9.54296875" style="50" bestFit="1" customWidth="1"/>
    <col min="8" max="8" width="10.36328125" style="50" bestFit="1" customWidth="1"/>
    <col min="9" max="9" width="11.81640625" style="50" bestFit="1" customWidth="1"/>
    <col min="10" max="10" width="29.1796875" style="50" customWidth="1"/>
    <col min="11" max="11" width="18.1796875" style="50" bestFit="1" customWidth="1"/>
    <col min="12" max="12" width="13.1796875" style="50" bestFit="1" customWidth="1"/>
    <col min="13" max="13" width="16.453125" style="5" customWidth="1"/>
    <col min="14" max="14" width="15.08984375" style="6" bestFit="1" customWidth="1"/>
    <col min="15" max="15" width="12.54296875" style="5" customWidth="1"/>
    <col min="16" max="16" width="14.90625" style="5" bestFit="1" customWidth="1"/>
    <col min="17" max="17" width="15.6328125" style="5" customWidth="1"/>
    <col min="18" max="18" width="22.36328125" style="5" bestFit="1" customWidth="1"/>
    <col min="19" max="23" width="22.36328125" style="5" customWidth="1"/>
    <col min="24" max="24" width="11.453125" style="5" bestFit="1" customWidth="1"/>
    <col min="25" max="16384" width="9.36328125" style="5"/>
  </cols>
  <sheetData>
    <row r="2" spans="2:24">
      <c r="B2" s="1682" t="str">
        <f>Index!B2</f>
        <v xml:space="preserve">      Maharashtra State Power Generation Company Ltd.</v>
      </c>
      <c r="C2" s="1682"/>
      <c r="D2" s="1682"/>
      <c r="E2" s="1682"/>
      <c r="F2" s="1682"/>
      <c r="G2" s="1682"/>
      <c r="H2" s="1682"/>
      <c r="I2" s="1682"/>
      <c r="J2" s="1682"/>
      <c r="K2" s="1682"/>
      <c r="L2" s="1682"/>
      <c r="M2" s="630"/>
      <c r="N2" s="1712" t="str">
        <f>B2</f>
        <v xml:space="preserve">      Maharashtra State Power Generation Company Ltd.</v>
      </c>
      <c r="O2" s="1712"/>
      <c r="P2" s="1712"/>
      <c r="Q2" s="1712"/>
      <c r="R2" s="1712"/>
      <c r="S2" s="1712"/>
      <c r="T2" s="1712"/>
      <c r="U2" s="1712"/>
      <c r="V2" s="1712"/>
      <c r="W2" s="1712"/>
      <c r="X2" s="1712"/>
    </row>
    <row r="3" spans="2:24">
      <c r="B3" s="1682" t="str">
        <f>Index!B3</f>
        <v>MYT Petition Formats for Bhusawal Units 4&amp;5</v>
      </c>
      <c r="C3" s="1682"/>
      <c r="D3" s="1682"/>
      <c r="E3" s="1682"/>
      <c r="F3" s="1682"/>
      <c r="G3" s="1682"/>
      <c r="H3" s="1682"/>
      <c r="I3" s="1682"/>
      <c r="J3" s="1682"/>
      <c r="K3" s="1682"/>
      <c r="L3" s="1682"/>
      <c r="M3" s="630"/>
      <c r="N3" s="1712" t="str">
        <f>B3</f>
        <v>MYT Petition Formats for Bhusawal Units 4&amp;5</v>
      </c>
      <c r="O3" s="1712"/>
      <c r="P3" s="1712"/>
      <c r="Q3" s="1712"/>
      <c r="R3" s="1712"/>
      <c r="S3" s="1712"/>
      <c r="T3" s="1712"/>
      <c r="U3" s="1712"/>
      <c r="V3" s="1712"/>
      <c r="W3" s="1712"/>
      <c r="X3" s="1712"/>
    </row>
    <row r="4" spans="2:24">
      <c r="B4" s="1682" t="s">
        <v>383</v>
      </c>
      <c r="C4" s="1682"/>
      <c r="D4" s="1682"/>
      <c r="E4" s="1682"/>
      <c r="F4" s="1682"/>
      <c r="G4" s="1682"/>
      <c r="H4" s="1682"/>
      <c r="I4" s="1682"/>
      <c r="J4" s="1682"/>
      <c r="K4" s="1682"/>
      <c r="L4" s="1682"/>
      <c r="M4" s="630"/>
      <c r="N4" s="1712" t="str">
        <f>B4</f>
        <v>Form 2.2: Energy Charges for Thermal Generation</v>
      </c>
      <c r="O4" s="1712"/>
      <c r="P4" s="1712"/>
      <c r="Q4" s="1712"/>
      <c r="R4" s="1712"/>
      <c r="S4" s="1712"/>
      <c r="T4" s="1712"/>
      <c r="U4" s="1712"/>
      <c r="V4" s="1712"/>
      <c r="W4" s="1712"/>
      <c r="X4" s="1712"/>
    </row>
    <row r="5" spans="2:24" s="14" customFormat="1">
      <c r="B5" s="174"/>
      <c r="C5" s="8"/>
      <c r="D5" s="34"/>
      <c r="E5" s="34"/>
      <c r="F5" s="34"/>
      <c r="G5" s="34"/>
      <c r="H5" s="34"/>
      <c r="I5" s="34"/>
      <c r="J5" s="34"/>
      <c r="K5" s="34"/>
      <c r="L5" s="34"/>
      <c r="M5" s="16"/>
      <c r="N5" s="15"/>
      <c r="O5" s="16"/>
      <c r="P5" s="16"/>
      <c r="Q5" s="33"/>
      <c r="R5" s="33"/>
      <c r="S5" s="33"/>
      <c r="T5" s="33"/>
      <c r="U5" s="33"/>
      <c r="V5" s="33"/>
      <c r="W5" s="33"/>
    </row>
    <row r="6" spans="2:24" s="90" customFormat="1" ht="21" customHeight="1">
      <c r="B6" s="1676" t="s">
        <v>341</v>
      </c>
      <c r="C6" s="1713" t="s">
        <v>37</v>
      </c>
      <c r="D6" s="1713" t="s">
        <v>94</v>
      </c>
      <c r="E6" s="1678" t="s">
        <v>509</v>
      </c>
      <c r="F6" s="1679"/>
      <c r="G6" s="1679"/>
      <c r="H6" s="1680"/>
      <c r="I6" s="1678" t="s">
        <v>510</v>
      </c>
      <c r="J6" s="1679"/>
      <c r="K6" s="1679"/>
      <c r="L6" s="1680"/>
      <c r="M6" s="1678" t="s">
        <v>511</v>
      </c>
      <c r="N6" s="1679"/>
      <c r="O6" s="1679"/>
      <c r="P6" s="1679"/>
      <c r="Q6" s="1679"/>
      <c r="R6" s="1680"/>
      <c r="S6" s="1681" t="s">
        <v>946</v>
      </c>
      <c r="T6" s="1681"/>
      <c r="U6" s="1681"/>
      <c r="V6" s="1681"/>
      <c r="W6" s="1681"/>
      <c r="X6" s="1676" t="s">
        <v>27</v>
      </c>
    </row>
    <row r="7" spans="2:24" s="90" customFormat="1" ht="43.5" customHeight="1">
      <c r="B7" s="1713"/>
      <c r="C7" s="1713"/>
      <c r="D7" s="1713"/>
      <c r="E7" s="1231" t="s">
        <v>1489</v>
      </c>
      <c r="F7" s="1231" t="s">
        <v>882</v>
      </c>
      <c r="G7" s="1231" t="s">
        <v>79</v>
      </c>
      <c r="H7" s="1231" t="s">
        <v>452</v>
      </c>
      <c r="I7" s="1231" t="s">
        <v>1489</v>
      </c>
      <c r="J7" s="1231" t="s">
        <v>882</v>
      </c>
      <c r="K7" s="1231" t="s">
        <v>79</v>
      </c>
      <c r="L7" s="1231" t="s">
        <v>452</v>
      </c>
      <c r="M7" s="1231" t="s">
        <v>1489</v>
      </c>
      <c r="N7" s="1231" t="s">
        <v>882</v>
      </c>
      <c r="O7" s="1231" t="s">
        <v>445</v>
      </c>
      <c r="P7" s="1231" t="s">
        <v>449</v>
      </c>
      <c r="Q7" s="1231" t="s">
        <v>80</v>
      </c>
      <c r="R7" s="1231" t="s">
        <v>453</v>
      </c>
      <c r="S7" s="702" t="s">
        <v>947</v>
      </c>
      <c r="T7" s="702" t="s">
        <v>948</v>
      </c>
      <c r="U7" s="702" t="s">
        <v>949</v>
      </c>
      <c r="V7" s="702" t="s">
        <v>950</v>
      </c>
      <c r="W7" s="702" t="s">
        <v>951</v>
      </c>
      <c r="X7" s="1676"/>
    </row>
    <row r="8" spans="2:24" s="90" customFormat="1" ht="24" customHeight="1">
      <c r="B8" s="1713"/>
      <c r="C8" s="1713"/>
      <c r="D8" s="1713"/>
      <c r="E8" s="1231" t="s">
        <v>81</v>
      </c>
      <c r="F8" s="1231" t="s">
        <v>82</v>
      </c>
      <c r="G8" s="1231" t="s">
        <v>1490</v>
      </c>
      <c r="H8" s="1231" t="s">
        <v>1491</v>
      </c>
      <c r="I8" s="1231" t="s">
        <v>1449</v>
      </c>
      <c r="J8" s="1231" t="s">
        <v>512</v>
      </c>
      <c r="K8" s="1231" t="s">
        <v>411</v>
      </c>
      <c r="L8" s="1231" t="s">
        <v>1492</v>
      </c>
      <c r="M8" s="1231" t="s">
        <v>557</v>
      </c>
      <c r="N8" s="1231" t="s">
        <v>622</v>
      </c>
      <c r="O8" s="1231" t="s">
        <v>558</v>
      </c>
      <c r="P8" s="1231" t="s">
        <v>559</v>
      </c>
      <c r="Q8" s="1231" t="s">
        <v>646</v>
      </c>
      <c r="R8" s="1231" t="s">
        <v>647</v>
      </c>
      <c r="S8" s="702" t="s">
        <v>21</v>
      </c>
      <c r="T8" s="702" t="s">
        <v>21</v>
      </c>
      <c r="U8" s="702" t="s">
        <v>21</v>
      </c>
      <c r="V8" s="702" t="s">
        <v>21</v>
      </c>
      <c r="W8" s="702" t="s">
        <v>21</v>
      </c>
      <c r="X8" s="1677"/>
    </row>
    <row r="9" spans="2:24" s="36" customFormat="1">
      <c r="B9" s="175"/>
      <c r="C9" s="142"/>
      <c r="D9" s="142"/>
      <c r="E9" s="142"/>
      <c r="F9" s="142"/>
      <c r="G9" s="142"/>
      <c r="H9" s="142"/>
      <c r="I9" s="142"/>
      <c r="J9" s="142"/>
      <c r="K9" s="142"/>
      <c r="L9" s="142"/>
      <c r="M9" s="39"/>
      <c r="N9" s="39"/>
      <c r="O9" s="39"/>
      <c r="P9" s="39"/>
      <c r="Q9" s="39"/>
      <c r="R9" s="39"/>
      <c r="S9" s="39"/>
      <c r="T9" s="39"/>
      <c r="U9" s="39"/>
      <c r="V9" s="39"/>
      <c r="W9" s="39"/>
      <c r="X9" s="37"/>
    </row>
    <row r="10" spans="2:24" s="36" customFormat="1" ht="15.5">
      <c r="B10" s="368">
        <v>1</v>
      </c>
      <c r="C10" s="369" t="s">
        <v>95</v>
      </c>
      <c r="D10" s="370"/>
      <c r="E10" s="370"/>
      <c r="F10" s="144"/>
      <c r="G10" s="144"/>
      <c r="H10" s="144"/>
      <c r="I10" s="144"/>
      <c r="J10" s="144"/>
      <c r="K10" s="144"/>
      <c r="L10" s="144"/>
      <c r="M10" s="37"/>
      <c r="N10" s="73"/>
      <c r="O10" s="37"/>
      <c r="P10" s="37"/>
      <c r="Q10" s="37"/>
      <c r="R10" s="37"/>
      <c r="S10" s="37"/>
      <c r="T10" s="37"/>
      <c r="U10" s="37"/>
      <c r="V10" s="37"/>
      <c r="W10" s="37"/>
      <c r="X10" s="37"/>
    </row>
    <row r="11" spans="2:24" s="36" customFormat="1" ht="15.5">
      <c r="B11" s="371">
        <f>B10+0.1</f>
        <v>1.1000000000000001</v>
      </c>
      <c r="C11" s="372" t="s">
        <v>96</v>
      </c>
      <c r="D11" s="357" t="s">
        <v>97</v>
      </c>
      <c r="E11" s="584">
        <f>F11</f>
        <v>1000</v>
      </c>
      <c r="F11" s="506">
        <f>G11</f>
        <v>1000</v>
      </c>
      <c r="G11" s="506">
        <v>1000</v>
      </c>
      <c r="H11" s="505">
        <f>G11-F11</f>
        <v>0</v>
      </c>
      <c r="I11" s="584">
        <v>210</v>
      </c>
      <c r="J11" s="506">
        <f>K11</f>
        <v>1000</v>
      </c>
      <c r="K11" s="506">
        <v>1000</v>
      </c>
      <c r="L11" s="505">
        <f>K11-J11</f>
        <v>0</v>
      </c>
      <c r="M11" s="584">
        <v>210</v>
      </c>
      <c r="N11" s="506">
        <f>O11</f>
        <v>1000</v>
      </c>
      <c r="O11" s="525">
        <v>1000</v>
      </c>
      <c r="P11" s="525">
        <v>1000</v>
      </c>
      <c r="Q11" s="525">
        <v>1000</v>
      </c>
      <c r="R11" s="738">
        <f t="shared" ref="R11:R41" si="0">Q11-N11</f>
        <v>0</v>
      </c>
      <c r="S11" s="580">
        <v>1000</v>
      </c>
      <c r="T11" s="580">
        <v>1000</v>
      </c>
      <c r="U11" s="580">
        <v>1000</v>
      </c>
      <c r="V11" s="580">
        <v>1000</v>
      </c>
      <c r="W11" s="580">
        <v>1000</v>
      </c>
      <c r="X11" s="383"/>
    </row>
    <row r="12" spans="2:24" s="415" customFormat="1" ht="31">
      <c r="B12" s="474">
        <f>B11+0.1</f>
        <v>1.2000000000000002</v>
      </c>
      <c r="C12" s="375" t="s">
        <v>98</v>
      </c>
      <c r="D12" s="386" t="s">
        <v>99</v>
      </c>
      <c r="E12" s="646">
        <f>'F2.1'!E15</f>
        <v>0.85</v>
      </c>
      <c r="F12" s="539">
        <f>'F2.1'!F15</f>
        <v>0.85</v>
      </c>
      <c r="G12" s="539">
        <f>'F2.1'!G15</f>
        <v>0.85</v>
      </c>
      <c r="H12" s="540">
        <f t="shared" ref="H12:H38" si="1">G12-F12</f>
        <v>0</v>
      </c>
      <c r="I12" s="453">
        <f>'F2.1'!I15</f>
        <v>0.85</v>
      </c>
      <c r="J12" s="539">
        <f>'F2.1'!J15</f>
        <v>0.85</v>
      </c>
      <c r="K12" s="539">
        <f>'F2.1'!K15</f>
        <v>0.85</v>
      </c>
      <c r="L12" s="540">
        <f t="shared" ref="L12:L38" si="2">K12-J12</f>
        <v>0</v>
      </c>
      <c r="M12" s="453">
        <f>'F2.1'!M15</f>
        <v>0.85</v>
      </c>
      <c r="N12" s="539">
        <f>'F2.1'!N15</f>
        <v>0.85</v>
      </c>
      <c r="O12" s="540">
        <f>'F2.1'!O15</f>
        <v>0.85</v>
      </c>
      <c r="P12" s="540">
        <f>'F2.1'!P15</f>
        <v>0.85</v>
      </c>
      <c r="Q12" s="538">
        <f>'F2.1'!Q15</f>
        <v>0.85</v>
      </c>
      <c r="R12" s="541">
        <f t="shared" si="0"/>
        <v>0</v>
      </c>
      <c r="S12" s="1065">
        <v>0.85</v>
      </c>
      <c r="T12" s="1065">
        <v>0.85</v>
      </c>
      <c r="U12" s="1065">
        <v>0.85</v>
      </c>
      <c r="V12" s="1065">
        <v>0.85</v>
      </c>
      <c r="W12" s="1065">
        <v>0.85</v>
      </c>
      <c r="X12" s="536"/>
    </row>
    <row r="13" spans="2:24" s="415" customFormat="1" ht="31">
      <c r="B13" s="474">
        <v>1.3</v>
      </c>
      <c r="C13" s="375" t="s">
        <v>654</v>
      </c>
      <c r="D13" s="386" t="s">
        <v>99</v>
      </c>
      <c r="E13" s="643"/>
      <c r="F13" s="540">
        <f>G13</f>
        <v>0.76354999999999995</v>
      </c>
      <c r="G13" s="540">
        <v>0.76354999999999995</v>
      </c>
      <c r="H13" s="540">
        <f t="shared" si="1"/>
        <v>0</v>
      </c>
      <c r="I13" s="643"/>
      <c r="J13" s="540">
        <f>K13</f>
        <v>0.81130000000000002</v>
      </c>
      <c r="K13" s="540">
        <v>0.81130000000000002</v>
      </c>
      <c r="L13" s="540">
        <f t="shared" si="2"/>
        <v>0</v>
      </c>
      <c r="M13" s="643"/>
      <c r="N13" s="540">
        <f>Q13</f>
        <v>0.75027802223481954</v>
      </c>
      <c r="O13" s="540">
        <v>0.75714169848462842</v>
      </c>
      <c r="P13" s="540">
        <v>0.83423052704394796</v>
      </c>
      <c r="Q13" s="538">
        <f>Q23/(Q11*8.76)</f>
        <v>0.75027802223481954</v>
      </c>
      <c r="R13" s="541">
        <f>'F2.1'!R16</f>
        <v>0</v>
      </c>
      <c r="S13" s="1066">
        <v>0.84995139553414234</v>
      </c>
      <c r="T13" s="1066">
        <v>0.84996768944200274</v>
      </c>
      <c r="U13" s="1066">
        <v>0.84996768944200274</v>
      </c>
      <c r="V13" s="1066">
        <v>0.84998250208551196</v>
      </c>
      <c r="W13" s="1066">
        <v>0.84998250208551196</v>
      </c>
      <c r="X13" s="536"/>
    </row>
    <row r="14" spans="2:24" s="36" customFormat="1" ht="15.5">
      <c r="B14" s="371" t="s">
        <v>655</v>
      </c>
      <c r="C14" s="373" t="s">
        <v>612</v>
      </c>
      <c r="D14" s="357"/>
      <c r="E14" s="643"/>
      <c r="F14" s="538"/>
      <c r="G14" s="538"/>
      <c r="H14" s="540"/>
      <c r="I14" s="643"/>
      <c r="J14" s="538"/>
      <c r="K14" s="538"/>
      <c r="L14" s="538"/>
      <c r="M14" s="643"/>
      <c r="N14" s="538"/>
      <c r="O14" s="538"/>
      <c r="P14" s="538"/>
      <c r="Q14" s="538"/>
      <c r="R14" s="541"/>
      <c r="S14" s="643"/>
      <c r="T14" s="643"/>
      <c r="U14" s="643"/>
      <c r="V14" s="643"/>
      <c r="W14" s="643"/>
      <c r="X14" s="383"/>
    </row>
    <row r="15" spans="2:24" s="36" customFormat="1" ht="15.5">
      <c r="B15" s="371"/>
      <c r="C15" s="374" t="s">
        <v>613</v>
      </c>
      <c r="D15" s="357" t="s">
        <v>99</v>
      </c>
      <c r="E15" s="643"/>
      <c r="F15" s="538">
        <f>G15</f>
        <v>0.81354000000000004</v>
      </c>
      <c r="G15" s="538">
        <v>0.81354000000000004</v>
      </c>
      <c r="H15" s="540">
        <f t="shared" si="1"/>
        <v>0</v>
      </c>
      <c r="I15" s="643"/>
      <c r="J15" s="538"/>
      <c r="K15" s="538">
        <v>0.79586999999999997</v>
      </c>
      <c r="L15" s="538">
        <f t="shared" si="2"/>
        <v>0.79586999999999997</v>
      </c>
      <c r="M15" s="643"/>
      <c r="N15" s="538"/>
      <c r="O15" s="538"/>
      <c r="P15" s="538"/>
      <c r="Q15" s="538">
        <f>O15+P15</f>
        <v>0</v>
      </c>
      <c r="R15" s="541"/>
      <c r="S15" s="643"/>
      <c r="T15" s="643"/>
      <c r="U15" s="643"/>
      <c r="V15" s="643"/>
      <c r="W15" s="643"/>
      <c r="X15" s="383"/>
    </row>
    <row r="16" spans="2:24" s="36" customFormat="1" ht="15.5">
      <c r="B16" s="371"/>
      <c r="C16" s="374" t="s">
        <v>614</v>
      </c>
      <c r="D16" s="357" t="s">
        <v>99</v>
      </c>
      <c r="E16" s="643"/>
      <c r="F16" s="538">
        <f t="shared" ref="F16:F19" si="3">G16</f>
        <v>0.81367</v>
      </c>
      <c r="G16" s="538">
        <v>0.81367</v>
      </c>
      <c r="H16" s="540">
        <f t="shared" si="1"/>
        <v>0</v>
      </c>
      <c r="I16" s="643"/>
      <c r="J16" s="538"/>
      <c r="K16" s="538">
        <v>0.77729999999999999</v>
      </c>
      <c r="L16" s="538">
        <f t="shared" si="2"/>
        <v>0.77729999999999999</v>
      </c>
      <c r="M16" s="643"/>
      <c r="N16" s="538"/>
      <c r="O16" s="538"/>
      <c r="P16" s="538"/>
      <c r="Q16" s="538">
        <f t="shared" ref="Q16:Q31" si="4">O16+P16</f>
        <v>0</v>
      </c>
      <c r="R16" s="541"/>
      <c r="S16" s="643"/>
      <c r="T16" s="643"/>
      <c r="U16" s="643"/>
      <c r="V16" s="643"/>
      <c r="W16" s="643"/>
      <c r="X16" s="383"/>
    </row>
    <row r="17" spans="2:24" s="36" customFormat="1" ht="15.5">
      <c r="B17" s="371" t="s">
        <v>656</v>
      </c>
      <c r="C17" s="373" t="s">
        <v>615</v>
      </c>
      <c r="D17" s="357"/>
      <c r="E17" s="643"/>
      <c r="F17" s="538"/>
      <c r="G17" s="538"/>
      <c r="H17" s="540"/>
      <c r="I17" s="643"/>
      <c r="J17" s="538"/>
      <c r="K17" s="538"/>
      <c r="L17" s="538"/>
      <c r="M17" s="643"/>
      <c r="N17" s="538"/>
      <c r="O17" s="538"/>
      <c r="P17" s="538"/>
      <c r="Q17" s="538"/>
      <c r="R17" s="541"/>
      <c r="S17" s="643"/>
      <c r="T17" s="643"/>
      <c r="U17" s="643"/>
      <c r="V17" s="643"/>
      <c r="W17" s="643"/>
      <c r="X17" s="383"/>
    </row>
    <row r="18" spans="2:24" s="36" customFormat="1" ht="15.5">
      <c r="B18" s="371"/>
      <c r="C18" s="374" t="s">
        <v>613</v>
      </c>
      <c r="D18" s="357" t="s">
        <v>99</v>
      </c>
      <c r="E18" s="643"/>
      <c r="F18" s="538">
        <f t="shared" si="3"/>
        <v>0.75529000000000002</v>
      </c>
      <c r="G18" s="538">
        <v>0.75529000000000002</v>
      </c>
      <c r="H18" s="540">
        <f t="shared" si="1"/>
        <v>0</v>
      </c>
      <c r="I18" s="643"/>
      <c r="J18" s="538"/>
      <c r="K18" s="538">
        <v>0.82611000000000001</v>
      </c>
      <c r="L18" s="538">
        <f t="shared" si="2"/>
        <v>0.82611000000000001</v>
      </c>
      <c r="M18" s="643"/>
      <c r="N18" s="538"/>
      <c r="O18" s="538"/>
      <c r="P18" s="538"/>
      <c r="Q18" s="538">
        <f t="shared" si="4"/>
        <v>0</v>
      </c>
      <c r="R18" s="541"/>
      <c r="S18" s="643"/>
      <c r="T18" s="643"/>
      <c r="U18" s="643"/>
      <c r="V18" s="643"/>
      <c r="W18" s="643"/>
      <c r="X18" s="383"/>
    </row>
    <row r="19" spans="2:24" s="36" customFormat="1" ht="15.5">
      <c r="B19" s="371"/>
      <c r="C19" s="374" t="s">
        <v>614</v>
      </c>
      <c r="D19" s="357" t="s">
        <v>99</v>
      </c>
      <c r="E19" s="643"/>
      <c r="F19" s="538">
        <f t="shared" si="3"/>
        <v>0.74522999999999995</v>
      </c>
      <c r="G19" s="538">
        <v>0.74522999999999995</v>
      </c>
      <c r="H19" s="540">
        <f t="shared" si="1"/>
        <v>0</v>
      </c>
      <c r="I19" s="643"/>
      <c r="J19" s="538"/>
      <c r="K19" s="538">
        <v>0.82079000000000002</v>
      </c>
      <c r="L19" s="538">
        <f t="shared" si="2"/>
        <v>0.82079000000000002</v>
      </c>
      <c r="M19" s="643"/>
      <c r="N19" s="538"/>
      <c r="O19" s="538"/>
      <c r="P19" s="538"/>
      <c r="Q19" s="538">
        <f t="shared" si="4"/>
        <v>0</v>
      </c>
      <c r="R19" s="541"/>
      <c r="S19" s="643"/>
      <c r="T19" s="643"/>
      <c r="U19" s="643"/>
      <c r="V19" s="643"/>
      <c r="W19" s="643"/>
      <c r="X19" s="383"/>
    </row>
    <row r="20" spans="2:24" s="415" customFormat="1" ht="15.5">
      <c r="B20" s="474">
        <v>1.4</v>
      </c>
      <c r="C20" s="375" t="s">
        <v>100</v>
      </c>
      <c r="D20" s="386" t="s">
        <v>99</v>
      </c>
      <c r="E20" s="805">
        <f>'F2.1'!E25</f>
        <v>0.85</v>
      </c>
      <c r="F20" s="538">
        <f>'F2.1'!F25</f>
        <v>0.85</v>
      </c>
      <c r="G20" s="640">
        <f>'F2.1'!G25</f>
        <v>0.85</v>
      </c>
      <c r="H20" s="640">
        <f t="shared" si="1"/>
        <v>0</v>
      </c>
      <c r="I20" s="644">
        <f>'F2.1'!I25</f>
        <v>0.85</v>
      </c>
      <c r="J20" s="640">
        <f>'F2.1'!J25</f>
        <v>0.85</v>
      </c>
      <c r="K20" s="639">
        <f>'F2.1'!K25</f>
        <v>0.85</v>
      </c>
      <c r="L20" s="640">
        <f t="shared" si="2"/>
        <v>0</v>
      </c>
      <c r="M20" s="643">
        <f>'F2.1'!M25</f>
        <v>0.85</v>
      </c>
      <c r="N20" s="640">
        <f>'F2.1'!N25</f>
        <v>0.85</v>
      </c>
      <c r="O20" s="639">
        <f>'F2.1'!O25</f>
        <v>0.85</v>
      </c>
      <c r="P20" s="639">
        <f>'F2.1'!P25</f>
        <v>0.85</v>
      </c>
      <c r="Q20" s="641">
        <f>'F2.1'!Q25</f>
        <v>0.85</v>
      </c>
      <c r="R20" s="641">
        <f t="shared" si="0"/>
        <v>0</v>
      </c>
      <c r="S20" s="1067">
        <v>0.85</v>
      </c>
      <c r="T20" s="1067">
        <v>0.85</v>
      </c>
      <c r="U20" s="1067">
        <v>0.85</v>
      </c>
      <c r="V20" s="1067">
        <v>0.85</v>
      </c>
      <c r="W20" s="1067">
        <v>0.85</v>
      </c>
      <c r="X20" s="642"/>
    </row>
    <row r="21" spans="2:24" s="415" customFormat="1" ht="31">
      <c r="B21" s="474">
        <v>1.5</v>
      </c>
      <c r="C21" s="375" t="s">
        <v>657</v>
      </c>
      <c r="D21" s="386" t="s">
        <v>99</v>
      </c>
      <c r="E21" s="821"/>
      <c r="F21" s="640">
        <f>G21</f>
        <v>0.70396000000000003</v>
      </c>
      <c r="G21" s="640">
        <v>0.70396000000000003</v>
      </c>
      <c r="H21" s="640">
        <f t="shared" si="1"/>
        <v>0</v>
      </c>
      <c r="I21" s="655"/>
      <c r="J21" s="640">
        <f>K21</f>
        <v>0.74312999999999996</v>
      </c>
      <c r="K21" s="640">
        <v>0.74312999999999996</v>
      </c>
      <c r="L21" s="640">
        <f t="shared" si="2"/>
        <v>0</v>
      </c>
      <c r="M21" s="655"/>
      <c r="N21" s="640">
        <f>Q21</f>
        <v>0.75027802223481954</v>
      </c>
      <c r="O21" s="640">
        <v>0.65024218250178689</v>
      </c>
      <c r="P21" s="640">
        <v>0.83423052704394796</v>
      </c>
      <c r="Q21" s="637">
        <f>Q13</f>
        <v>0.75027802223481954</v>
      </c>
      <c r="R21" s="641">
        <f t="shared" si="0"/>
        <v>0</v>
      </c>
      <c r="S21" s="1067">
        <v>0.84995139553414234</v>
      </c>
      <c r="T21" s="1067">
        <v>0.84996768944200274</v>
      </c>
      <c r="U21" s="1067">
        <v>0.84996768944200274</v>
      </c>
      <c r="V21" s="1067">
        <v>0.84998250208551196</v>
      </c>
      <c r="W21" s="1067">
        <v>0.84998250208551196</v>
      </c>
      <c r="X21" s="642"/>
    </row>
    <row r="22" spans="2:24" s="36" customFormat="1" ht="15.5">
      <c r="B22" s="371">
        <v>1.6</v>
      </c>
      <c r="C22" s="375" t="s">
        <v>650</v>
      </c>
      <c r="D22" s="357" t="s">
        <v>99</v>
      </c>
      <c r="E22" s="643"/>
      <c r="F22" s="538"/>
      <c r="G22" s="538"/>
      <c r="H22" s="540">
        <f t="shared" si="1"/>
        <v>0</v>
      </c>
      <c r="I22" s="643">
        <f>'F2.1'!I25</f>
        <v>0.85</v>
      </c>
      <c r="J22" s="540"/>
      <c r="K22" s="538"/>
      <c r="L22" s="540">
        <f t="shared" si="2"/>
        <v>0</v>
      </c>
      <c r="M22" s="643"/>
      <c r="N22" s="540"/>
      <c r="O22" s="540"/>
      <c r="P22" s="540"/>
      <c r="Q22" s="541"/>
      <c r="R22" s="540">
        <f t="shared" si="0"/>
        <v>0</v>
      </c>
      <c r="S22" s="1066"/>
      <c r="T22" s="1066"/>
      <c r="U22" s="1066"/>
      <c r="V22" s="1066"/>
      <c r="W22" s="1066"/>
      <c r="X22" s="383"/>
    </row>
    <row r="23" spans="2:24" s="36" customFormat="1" ht="31">
      <c r="B23" s="371">
        <v>1.7</v>
      </c>
      <c r="C23" s="376" t="s">
        <v>658</v>
      </c>
      <c r="D23" s="357" t="s">
        <v>101</v>
      </c>
      <c r="E23" s="645">
        <f>'F2.1'!$E$30</f>
        <v>6325.2095842825838</v>
      </c>
      <c r="F23" s="543">
        <f>G23</f>
        <v>6119.4900000000016</v>
      </c>
      <c r="G23" s="543">
        <v>6119.4900000000016</v>
      </c>
      <c r="H23" s="543">
        <f t="shared" si="1"/>
        <v>0</v>
      </c>
      <c r="I23" s="645">
        <f>'F2.1'!$I$30</f>
        <v>7466.4</v>
      </c>
      <c r="J23" s="543">
        <f>'F2.1'!$J$30</f>
        <v>6559.1950000000006</v>
      </c>
      <c r="K23" s="543">
        <v>6559.1950000000006</v>
      </c>
      <c r="L23" s="543">
        <f t="shared" si="2"/>
        <v>0</v>
      </c>
      <c r="M23" s="645">
        <f>'F2.1'!$M$30</f>
        <v>7446</v>
      </c>
      <c r="N23" s="543">
        <f>Q23</f>
        <v>6572.4354747770194</v>
      </c>
      <c r="O23" s="1068">
        <v>2908.4949999999999</v>
      </c>
      <c r="P23" s="1068">
        <v>3663.9404747770195</v>
      </c>
      <c r="Q23" s="548">
        <f>O23+P23</f>
        <v>6572.4354747770194</v>
      </c>
      <c r="R23" s="543">
        <f t="shared" si="0"/>
        <v>0</v>
      </c>
      <c r="S23" s="1068">
        <f>S113/S40</f>
        <v>7445.5742248790875</v>
      </c>
      <c r="T23" s="1068">
        <f>T113/T40</f>
        <v>7445.716959511944</v>
      </c>
      <c r="U23" s="1068">
        <f t="shared" ref="U23:W23" si="5">U113/U40</f>
        <v>7445.716959511944</v>
      </c>
      <c r="V23" s="1068">
        <f t="shared" si="5"/>
        <v>7445.8467182690847</v>
      </c>
      <c r="W23" s="1068">
        <f t="shared" si="5"/>
        <v>7445.8467182690847</v>
      </c>
      <c r="X23" s="388"/>
    </row>
    <row r="24" spans="2:24" s="36" customFormat="1" ht="15.5">
      <c r="B24" s="371">
        <v>1.8</v>
      </c>
      <c r="C24" s="372" t="s">
        <v>663</v>
      </c>
      <c r="D24" s="357" t="s">
        <v>101</v>
      </c>
      <c r="E24" s="645"/>
      <c r="F24" s="548">
        <v>7446</v>
      </c>
      <c r="G24" s="548"/>
      <c r="H24" s="548"/>
      <c r="I24" s="645"/>
      <c r="J24" s="548">
        <v>7466.4</v>
      </c>
      <c r="K24" s="548"/>
      <c r="L24" s="543"/>
      <c r="M24" s="645"/>
      <c r="N24" s="543">
        <f>N38/(1-N29)</f>
        <v>0</v>
      </c>
      <c r="O24" s="543">
        <f>O38/(1-O29)</f>
        <v>0</v>
      </c>
      <c r="P24" s="543">
        <f>P38/(1-P29)</f>
        <v>0</v>
      </c>
      <c r="Q24" s="548">
        <f t="shared" si="4"/>
        <v>0</v>
      </c>
      <c r="R24" s="543">
        <f t="shared" si="0"/>
        <v>0</v>
      </c>
      <c r="S24" s="820"/>
      <c r="T24" s="820"/>
      <c r="U24" s="820"/>
      <c r="V24" s="820"/>
      <c r="W24" s="820"/>
      <c r="X24" s="383"/>
    </row>
    <row r="25" spans="2:24" s="36" customFormat="1" ht="31">
      <c r="B25" s="377">
        <v>1.9</v>
      </c>
      <c r="C25" s="376" t="s">
        <v>967</v>
      </c>
      <c r="D25" s="357" t="s">
        <v>99</v>
      </c>
      <c r="E25" s="646">
        <f>'F2.1'!E34</f>
        <v>0.06</v>
      </c>
      <c r="F25" s="545">
        <f>'F2.1'!F34</f>
        <v>0.06</v>
      </c>
      <c r="G25" s="757"/>
      <c r="H25" s="757"/>
      <c r="I25" s="646">
        <f>'F2.1'!I34</f>
        <v>0.06</v>
      </c>
      <c r="J25" s="545">
        <f>'F2.1'!J34</f>
        <v>0.06</v>
      </c>
      <c r="K25" s="757"/>
      <c r="L25" s="757"/>
      <c r="M25" s="646">
        <f>'F2.1'!M34</f>
        <v>0.06</v>
      </c>
      <c r="N25" s="545">
        <f>'F2.1'!N34</f>
        <v>0.06</v>
      </c>
      <c r="O25" s="757"/>
      <c r="P25" s="757"/>
      <c r="Q25" s="757"/>
      <c r="R25" s="757"/>
      <c r="S25" s="1069">
        <v>0.06</v>
      </c>
      <c r="T25" s="1069">
        <v>0.06</v>
      </c>
      <c r="U25" s="1069">
        <v>0.06</v>
      </c>
      <c r="V25" s="1069">
        <v>0.06</v>
      </c>
      <c r="W25" s="1069">
        <v>0.06</v>
      </c>
      <c r="X25" s="383"/>
    </row>
    <row r="26" spans="2:24" s="36" customFormat="1" ht="31">
      <c r="B26" s="378">
        <v>1.1000000000000001</v>
      </c>
      <c r="C26" s="376" t="s">
        <v>659</v>
      </c>
      <c r="D26" s="357" t="s">
        <v>99</v>
      </c>
      <c r="E26" s="647">
        <f>'F2.1'!E35</f>
        <v>0</v>
      </c>
      <c r="F26" s="545">
        <f>'F2.1'!F35</f>
        <v>0</v>
      </c>
      <c r="G26" s="756"/>
      <c r="H26" s="756"/>
      <c r="I26" s="647">
        <f>'F2.1'!I35</f>
        <v>0</v>
      </c>
      <c r="J26" s="545">
        <f>'F2.1'!J35</f>
        <v>0</v>
      </c>
      <c r="K26" s="756"/>
      <c r="L26" s="756"/>
      <c r="M26" s="647">
        <f>'F2.1'!M35</f>
        <v>0</v>
      </c>
      <c r="N26" s="545">
        <f>'F2.1'!N35</f>
        <v>0</v>
      </c>
      <c r="O26" s="756"/>
      <c r="P26" s="756"/>
      <c r="Q26" s="756"/>
      <c r="R26" s="756"/>
      <c r="S26" s="1069">
        <v>0</v>
      </c>
      <c r="T26" s="1069">
        <v>0</v>
      </c>
      <c r="U26" s="1069">
        <v>0.01</v>
      </c>
      <c r="V26" s="1069">
        <v>0.01</v>
      </c>
      <c r="W26" s="1069">
        <v>0.01</v>
      </c>
      <c r="X26" s="383"/>
    </row>
    <row r="27" spans="2:24" s="36" customFormat="1" ht="46.5">
      <c r="B27" s="378">
        <f>B26+0.01</f>
        <v>1.1100000000000001</v>
      </c>
      <c r="C27" s="376" t="s">
        <v>968</v>
      </c>
      <c r="D27" s="357" t="s">
        <v>99</v>
      </c>
      <c r="E27" s="647">
        <f>'F2.1'!E36</f>
        <v>0</v>
      </c>
      <c r="F27" s="545">
        <f>'F2.1'!F36</f>
        <v>0</v>
      </c>
      <c r="G27" s="756"/>
      <c r="H27" s="756"/>
      <c r="I27" s="647">
        <f>'F2.1'!I36</f>
        <v>0</v>
      </c>
      <c r="J27" s="545">
        <f>'F2.1'!J36</f>
        <v>0</v>
      </c>
      <c r="K27" s="756"/>
      <c r="L27" s="756"/>
      <c r="M27" s="647">
        <f>'F2.1'!M36</f>
        <v>0</v>
      </c>
      <c r="N27" s="545">
        <f>'F2.1'!N36</f>
        <v>0</v>
      </c>
      <c r="O27" s="756"/>
      <c r="P27" s="756"/>
      <c r="Q27" s="756"/>
      <c r="R27" s="756"/>
      <c r="S27" s="1069">
        <v>0</v>
      </c>
      <c r="T27" s="1069">
        <v>0</v>
      </c>
      <c r="U27" s="1069">
        <v>2E-3</v>
      </c>
      <c r="V27" s="1069">
        <v>2E-3</v>
      </c>
      <c r="W27" s="1069">
        <v>2E-3</v>
      </c>
      <c r="X27" s="383"/>
    </row>
    <row r="28" spans="2:24" s="36" customFormat="1" ht="31">
      <c r="B28" s="378">
        <f>B27+0.01</f>
        <v>1.1200000000000001</v>
      </c>
      <c r="C28" s="376" t="s">
        <v>972</v>
      </c>
      <c r="D28" s="357" t="s">
        <v>99</v>
      </c>
      <c r="E28" s="544">
        <f>'F2.1'!E37</f>
        <v>0.06</v>
      </c>
      <c r="F28" s="544">
        <f>'F2.1'!F37</f>
        <v>0.06</v>
      </c>
      <c r="G28" s="756"/>
      <c r="H28" s="756"/>
      <c r="I28" s="544">
        <f>'F2.1'!I37</f>
        <v>0.06</v>
      </c>
      <c r="J28" s="544">
        <f>'F2.1'!J37</f>
        <v>0.06</v>
      </c>
      <c r="K28" s="756"/>
      <c r="L28" s="756"/>
      <c r="M28" s="544">
        <f>'F2.1'!M37</f>
        <v>0.06</v>
      </c>
      <c r="N28" s="544">
        <f>'F2.1'!N37</f>
        <v>0.06</v>
      </c>
      <c r="O28" s="756"/>
      <c r="P28" s="756"/>
      <c r="Q28" s="756"/>
      <c r="R28" s="756"/>
      <c r="S28" s="1069">
        <f t="shared" ref="S28:W28" si="6">SUM(S25:S27)</f>
        <v>0.06</v>
      </c>
      <c r="T28" s="1069">
        <f t="shared" si="6"/>
        <v>0.06</v>
      </c>
      <c r="U28" s="1069">
        <f t="shared" si="6"/>
        <v>7.1999999999999995E-2</v>
      </c>
      <c r="V28" s="1069">
        <f t="shared" si="6"/>
        <v>7.1999999999999995E-2</v>
      </c>
      <c r="W28" s="1069">
        <f t="shared" si="6"/>
        <v>7.1999999999999995E-2</v>
      </c>
      <c r="X28" s="383"/>
    </row>
    <row r="29" spans="2:24" s="415" customFormat="1" ht="46.5">
      <c r="B29" s="386">
        <v>1.1100000000000001</v>
      </c>
      <c r="C29" s="414" t="s">
        <v>973</v>
      </c>
      <c r="D29" s="386" t="s">
        <v>99</v>
      </c>
      <c r="E29" s="756"/>
      <c r="F29" s="756"/>
      <c r="G29" s="544">
        <v>6.360595729678728E-2</v>
      </c>
      <c r="H29" s="544">
        <f t="shared" si="1"/>
        <v>6.360595729678728E-2</v>
      </c>
      <c r="I29" s="756"/>
      <c r="J29" s="756"/>
      <c r="K29" s="544">
        <v>6.8124582902915218E-2</v>
      </c>
      <c r="L29" s="544">
        <f t="shared" si="2"/>
        <v>6.8124582902915218E-2</v>
      </c>
      <c r="M29" s="756"/>
      <c r="N29" s="756"/>
      <c r="O29" s="544">
        <v>7.4145442183934665E-2</v>
      </c>
      <c r="P29" s="544">
        <v>0.06</v>
      </c>
      <c r="Q29" s="546">
        <f>Q36/Q23</f>
        <v>6.6259772046854348E-2</v>
      </c>
      <c r="R29" s="544">
        <f>Q29-N29</f>
        <v>6.6259772046854348E-2</v>
      </c>
      <c r="S29" s="1069">
        <v>0.06</v>
      </c>
      <c r="T29" s="1069">
        <v>0.06</v>
      </c>
      <c r="U29" s="1069">
        <v>0.06</v>
      </c>
      <c r="V29" s="1069">
        <v>0.06</v>
      </c>
      <c r="W29" s="1069">
        <v>0.06</v>
      </c>
      <c r="X29" s="388"/>
    </row>
    <row r="30" spans="2:24" s="36" customFormat="1" ht="46.5">
      <c r="B30" s="357">
        <v>1.1200000000000001</v>
      </c>
      <c r="C30" s="376" t="s">
        <v>660</v>
      </c>
      <c r="D30" s="357" t="s">
        <v>99</v>
      </c>
      <c r="E30" s="756"/>
      <c r="F30" s="756"/>
      <c r="G30" s="544"/>
      <c r="H30" s="544">
        <f t="shared" si="1"/>
        <v>0</v>
      </c>
      <c r="I30" s="756"/>
      <c r="J30" s="756"/>
      <c r="K30" s="544"/>
      <c r="L30" s="544">
        <f t="shared" si="2"/>
        <v>0</v>
      </c>
      <c r="M30" s="756"/>
      <c r="N30" s="756"/>
      <c r="O30" s="544"/>
      <c r="P30" s="544"/>
      <c r="Q30" s="544">
        <f t="shared" si="4"/>
        <v>0</v>
      </c>
      <c r="R30" s="544">
        <f t="shared" si="0"/>
        <v>0</v>
      </c>
      <c r="S30" s="1069">
        <v>0</v>
      </c>
      <c r="T30" s="1069">
        <v>0</v>
      </c>
      <c r="U30" s="1069">
        <v>0.01</v>
      </c>
      <c r="V30" s="1069">
        <v>0.01</v>
      </c>
      <c r="W30" s="1069">
        <v>0.01</v>
      </c>
      <c r="X30" s="383"/>
    </row>
    <row r="31" spans="2:24" s="36" customFormat="1" ht="46.5">
      <c r="B31" s="357"/>
      <c r="C31" s="376" t="s">
        <v>970</v>
      </c>
      <c r="D31" s="357" t="s">
        <v>99</v>
      </c>
      <c r="E31" s="756"/>
      <c r="F31" s="756"/>
      <c r="G31" s="544"/>
      <c r="H31" s="544">
        <f t="shared" si="1"/>
        <v>0</v>
      </c>
      <c r="I31" s="756"/>
      <c r="J31" s="756"/>
      <c r="K31" s="544"/>
      <c r="L31" s="544">
        <f t="shared" si="2"/>
        <v>0</v>
      </c>
      <c r="M31" s="756"/>
      <c r="N31" s="756"/>
      <c r="O31" s="544"/>
      <c r="P31" s="544"/>
      <c r="Q31" s="544">
        <f t="shared" si="4"/>
        <v>0</v>
      </c>
      <c r="R31" s="544">
        <f t="shared" si="0"/>
        <v>0</v>
      </c>
      <c r="S31" s="1069">
        <v>0</v>
      </c>
      <c r="T31" s="1069">
        <v>0</v>
      </c>
      <c r="U31" s="1069">
        <v>2E-3</v>
      </c>
      <c r="V31" s="1069">
        <v>2E-3</v>
      </c>
      <c r="W31" s="1069">
        <v>2E-3</v>
      </c>
      <c r="X31" s="383"/>
    </row>
    <row r="32" spans="2:24" s="36" customFormat="1" ht="31">
      <c r="B32" s="357"/>
      <c r="C32" s="376" t="s">
        <v>971</v>
      </c>
      <c r="D32" s="357" t="s">
        <v>99</v>
      </c>
      <c r="E32" s="756"/>
      <c r="F32" s="756"/>
      <c r="G32" s="544">
        <f>SUM(G29:G31)</f>
        <v>6.360595729678728E-2</v>
      </c>
      <c r="H32" s="544">
        <f>SUM(H29:H31)</f>
        <v>6.360595729678728E-2</v>
      </c>
      <c r="I32" s="756"/>
      <c r="J32" s="756"/>
      <c r="K32" s="544">
        <f>SUM(K29:K31)</f>
        <v>6.8124582902915218E-2</v>
      </c>
      <c r="L32" s="544">
        <f>SUM(L29:L31)</f>
        <v>6.8124582902915218E-2</v>
      </c>
      <c r="M32" s="756"/>
      <c r="N32" s="756"/>
      <c r="O32" s="544">
        <f>SUM(O29:O31)</f>
        <v>7.4145442183934665E-2</v>
      </c>
      <c r="P32" s="544">
        <f>SUM(P29:P31)</f>
        <v>0.06</v>
      </c>
      <c r="Q32" s="544">
        <f>SUM(Q29:Q31)</f>
        <v>6.6259772046854348E-2</v>
      </c>
      <c r="R32" s="544">
        <f>SUM(R29:R31)</f>
        <v>6.6259772046854348E-2</v>
      </c>
      <c r="S32" s="544">
        <f>SUM(S29:S31)</f>
        <v>0.06</v>
      </c>
      <c r="T32" s="544">
        <f t="shared" ref="T32:W32" si="7">SUM(T29:T31)</f>
        <v>0.06</v>
      </c>
      <c r="U32" s="544">
        <f t="shared" si="7"/>
        <v>7.1999999999999995E-2</v>
      </c>
      <c r="V32" s="544">
        <f t="shared" si="7"/>
        <v>7.1999999999999995E-2</v>
      </c>
      <c r="W32" s="544">
        <f t="shared" si="7"/>
        <v>7.1999999999999995E-2</v>
      </c>
      <c r="X32" s="383"/>
    </row>
    <row r="33" spans="2:24" ht="46.5">
      <c r="B33" s="38"/>
      <c r="C33" s="414" t="s">
        <v>973</v>
      </c>
      <c r="D33" s="357" t="s">
        <v>101</v>
      </c>
      <c r="E33" s="543">
        <f>E$23*E25</f>
        <v>379.51257505695503</v>
      </c>
      <c r="F33" s="543">
        <f>F$23*F25</f>
        <v>367.16940000000011</v>
      </c>
      <c r="G33" s="543">
        <f>G$23*G29</f>
        <v>389.23601961811687</v>
      </c>
      <c r="H33" s="543">
        <f t="shared" ref="H33" si="8">G33-F33</f>
        <v>22.066619618116761</v>
      </c>
      <c r="I33" s="543">
        <f t="shared" ref="I33:J35" si="9">I$23*I25</f>
        <v>447.98399999999998</v>
      </c>
      <c r="J33" s="543">
        <f t="shared" si="9"/>
        <v>393.55170000000004</v>
      </c>
      <c r="K33" s="543">
        <f>K$23*K29</f>
        <v>446.84242355388704</v>
      </c>
      <c r="L33" s="543">
        <f t="shared" ref="L33:L35" si="10">K33-J33</f>
        <v>53.290723553887005</v>
      </c>
      <c r="M33" s="543">
        <f t="shared" ref="M33" si="11">M$23*M25</f>
        <v>446.76</v>
      </c>
      <c r="N33" s="543">
        <f>N$23*N25</f>
        <v>394.34612848662113</v>
      </c>
      <c r="O33" s="543">
        <f t="shared" ref="O33:P35" si="12">O$23*O29</f>
        <v>215.65164786476305</v>
      </c>
      <c r="P33" s="543">
        <f t="shared" si="12"/>
        <v>219.83642848662117</v>
      </c>
      <c r="Q33" s="543">
        <f>SUM(O33:P33)</f>
        <v>435.48807635138422</v>
      </c>
      <c r="R33" s="543">
        <f>Q33-N33</f>
        <v>41.141947864763097</v>
      </c>
      <c r="S33" s="543">
        <f>S$23*S29</f>
        <v>446.73445349274522</v>
      </c>
      <c r="T33" s="543">
        <f t="shared" ref="T33:W33" si="13">T$23*T29</f>
        <v>446.74301757071663</v>
      </c>
      <c r="U33" s="543">
        <f t="shared" si="13"/>
        <v>446.74301757071663</v>
      </c>
      <c r="V33" s="543">
        <f t="shared" si="13"/>
        <v>446.75080309614509</v>
      </c>
      <c r="W33" s="543">
        <f t="shared" si="13"/>
        <v>446.75080309614509</v>
      </c>
      <c r="X33" s="9"/>
    </row>
    <row r="34" spans="2:24" s="36" customFormat="1" ht="46.5">
      <c r="B34" s="378">
        <v>1.1399999999999999</v>
      </c>
      <c r="C34" s="376" t="s">
        <v>975</v>
      </c>
      <c r="D34" s="357" t="s">
        <v>101</v>
      </c>
      <c r="E34" s="543">
        <f t="shared" ref="E34:F35" si="14">E$23*E26</f>
        <v>0</v>
      </c>
      <c r="F34" s="543">
        <f t="shared" si="14"/>
        <v>0</v>
      </c>
      <c r="G34" s="543">
        <f>G$23*G30</f>
        <v>0</v>
      </c>
      <c r="H34" s="543">
        <f t="shared" si="1"/>
        <v>0</v>
      </c>
      <c r="I34" s="543">
        <f t="shared" si="9"/>
        <v>0</v>
      </c>
      <c r="J34" s="543">
        <f t="shared" si="9"/>
        <v>0</v>
      </c>
      <c r="K34" s="543">
        <f>K$23*K30</f>
        <v>0</v>
      </c>
      <c r="L34" s="543">
        <f t="shared" si="10"/>
        <v>0</v>
      </c>
      <c r="M34" s="543">
        <f t="shared" ref="M34" si="15">M$23*M26</f>
        <v>0</v>
      </c>
      <c r="N34" s="543">
        <f>N$23*N26</f>
        <v>0</v>
      </c>
      <c r="O34" s="543">
        <f t="shared" si="12"/>
        <v>0</v>
      </c>
      <c r="P34" s="543">
        <f t="shared" si="12"/>
        <v>0</v>
      </c>
      <c r="Q34" s="543">
        <f t="shared" ref="Q34:Q37" si="16">SUM(O34:P34)</f>
        <v>0</v>
      </c>
      <c r="R34" s="543">
        <f t="shared" si="0"/>
        <v>0</v>
      </c>
      <c r="S34" s="543">
        <f>S$23*S30</f>
        <v>0</v>
      </c>
      <c r="T34" s="543">
        <f t="shared" ref="T34:W34" si="17">T$23*T30</f>
        <v>0</v>
      </c>
      <c r="U34" s="543">
        <f t="shared" si="17"/>
        <v>74.457169595119439</v>
      </c>
      <c r="V34" s="543">
        <f t="shared" si="17"/>
        <v>74.458467182690853</v>
      </c>
      <c r="W34" s="543">
        <f t="shared" si="17"/>
        <v>74.458467182690853</v>
      </c>
      <c r="X34" s="383"/>
    </row>
    <row r="35" spans="2:24" s="36" customFormat="1" ht="46.5">
      <c r="B35" s="378"/>
      <c r="C35" s="376" t="s">
        <v>970</v>
      </c>
      <c r="D35" s="357" t="s">
        <v>101</v>
      </c>
      <c r="E35" s="543">
        <f t="shared" si="14"/>
        <v>0</v>
      </c>
      <c r="F35" s="543">
        <f t="shared" si="14"/>
        <v>0</v>
      </c>
      <c r="G35" s="543">
        <f>G$23*G31</f>
        <v>0</v>
      </c>
      <c r="H35" s="543">
        <f t="shared" si="1"/>
        <v>0</v>
      </c>
      <c r="I35" s="543">
        <f t="shared" si="9"/>
        <v>0</v>
      </c>
      <c r="J35" s="543">
        <f t="shared" si="9"/>
        <v>0</v>
      </c>
      <c r="K35" s="543">
        <f>K$23*K31</f>
        <v>0</v>
      </c>
      <c r="L35" s="543">
        <f t="shared" si="10"/>
        <v>0</v>
      </c>
      <c r="M35" s="543">
        <f t="shared" ref="M35" si="18">M$23*M27</f>
        <v>0</v>
      </c>
      <c r="N35" s="543">
        <f>N$23*N27</f>
        <v>0</v>
      </c>
      <c r="O35" s="543">
        <f t="shared" si="12"/>
        <v>0</v>
      </c>
      <c r="P35" s="543">
        <f t="shared" si="12"/>
        <v>0</v>
      </c>
      <c r="Q35" s="543">
        <f t="shared" si="16"/>
        <v>0</v>
      </c>
      <c r="R35" s="543">
        <f t="shared" si="0"/>
        <v>0</v>
      </c>
      <c r="S35" s="543">
        <f>S$23*S31</f>
        <v>0</v>
      </c>
      <c r="T35" s="543">
        <f t="shared" ref="T35:W35" si="19">T$23*T31</f>
        <v>0</v>
      </c>
      <c r="U35" s="543">
        <f t="shared" si="19"/>
        <v>14.891433919023889</v>
      </c>
      <c r="V35" s="543">
        <f t="shared" si="19"/>
        <v>14.891693436538169</v>
      </c>
      <c r="W35" s="543">
        <f t="shared" si="19"/>
        <v>14.891693436538169</v>
      </c>
      <c r="X35" s="383"/>
    </row>
    <row r="36" spans="2:24" s="36" customFormat="1" ht="46.5">
      <c r="B36" s="379">
        <v>1.1299999999999999</v>
      </c>
      <c r="C36" s="376" t="s">
        <v>974</v>
      </c>
      <c r="D36" s="357" t="s">
        <v>101</v>
      </c>
      <c r="E36" s="543">
        <f>SUM(E33:E35)</f>
        <v>379.51257505695503</v>
      </c>
      <c r="F36" s="543">
        <f t="shared" ref="F36:H36" si="20">SUM(F33:F35)</f>
        <v>367.16940000000011</v>
      </c>
      <c r="G36" s="543">
        <f t="shared" si="20"/>
        <v>389.23601961811687</v>
      </c>
      <c r="H36" s="543">
        <f t="shared" si="20"/>
        <v>22.066619618116761</v>
      </c>
      <c r="I36" s="543">
        <f>SUM(I33:I35)</f>
        <v>447.98399999999998</v>
      </c>
      <c r="J36" s="543">
        <f t="shared" ref="J36" si="21">SUM(J33:J35)</f>
        <v>393.55170000000004</v>
      </c>
      <c r="K36" s="543">
        <f t="shared" ref="K36" si="22">SUM(K33:K35)</f>
        <v>446.84242355388704</v>
      </c>
      <c r="L36" s="543">
        <f t="shared" ref="L36" si="23">SUM(L33:L35)</f>
        <v>53.290723553887005</v>
      </c>
      <c r="M36" s="543">
        <f>SUM(M33:M35)</f>
        <v>446.76</v>
      </c>
      <c r="N36" s="543">
        <f t="shared" ref="N36:P36" si="24">SUM(N33:N35)</f>
        <v>394.34612848662113</v>
      </c>
      <c r="O36" s="543">
        <f t="shared" si="24"/>
        <v>215.65164786476305</v>
      </c>
      <c r="P36" s="543">
        <f t="shared" si="24"/>
        <v>219.83642848662117</v>
      </c>
      <c r="Q36" s="543">
        <f t="shared" si="16"/>
        <v>435.48807635138422</v>
      </c>
      <c r="R36" s="543">
        <f t="shared" ref="R36" si="25">SUM(R33:R35)</f>
        <v>41.141947864763097</v>
      </c>
      <c r="S36" s="543">
        <f t="shared" ref="S36" si="26">SUM(S33:S35)</f>
        <v>446.73445349274522</v>
      </c>
      <c r="T36" s="543">
        <f t="shared" ref="T36" si="27">SUM(T33:T35)</f>
        <v>446.74301757071663</v>
      </c>
      <c r="U36" s="543">
        <f t="shared" ref="U36" si="28">SUM(U33:U35)</f>
        <v>536.09162108485998</v>
      </c>
      <c r="V36" s="543">
        <f t="shared" ref="V36" si="29">SUM(V33:V35)</f>
        <v>536.10096371537406</v>
      </c>
      <c r="W36" s="543">
        <f t="shared" ref="W36" si="30">SUM(W33:W35)</f>
        <v>536.10096371537406</v>
      </c>
      <c r="X36" s="383"/>
    </row>
    <row r="37" spans="2:24" s="36" customFormat="1" ht="31">
      <c r="B37" s="371">
        <v>1.1499999999999999</v>
      </c>
      <c r="C37" s="376" t="s">
        <v>976</v>
      </c>
      <c r="D37" s="357" t="s">
        <v>101</v>
      </c>
      <c r="E37" s="543">
        <f>E23-E36</f>
        <v>5945.6970092256288</v>
      </c>
      <c r="F37" s="543">
        <f t="shared" ref="F37:S37" si="31">F23-F36</f>
        <v>5752.3206000000018</v>
      </c>
      <c r="G37" s="543">
        <f t="shared" si="31"/>
        <v>5730.2539803818845</v>
      </c>
      <c r="H37" s="543">
        <f t="shared" si="31"/>
        <v>-22.066619618116761</v>
      </c>
      <c r="I37" s="543">
        <f t="shared" si="31"/>
        <v>7018.4159999999993</v>
      </c>
      <c r="J37" s="543">
        <f t="shared" si="31"/>
        <v>6165.6433000000006</v>
      </c>
      <c r="K37" s="543">
        <f t="shared" si="31"/>
        <v>6112.3525764461137</v>
      </c>
      <c r="L37" s="543">
        <f t="shared" si="31"/>
        <v>-53.290723553887005</v>
      </c>
      <c r="M37" s="543">
        <f t="shared" ref="M37" si="32">M23-M36</f>
        <v>6999.24</v>
      </c>
      <c r="N37" s="543">
        <f t="shared" si="31"/>
        <v>6178.0893462903987</v>
      </c>
      <c r="O37" s="543">
        <f t="shared" si="31"/>
        <v>2692.8433521352367</v>
      </c>
      <c r="P37" s="543">
        <f t="shared" si="31"/>
        <v>3444.1040462903984</v>
      </c>
      <c r="Q37" s="543">
        <f t="shared" si="16"/>
        <v>6136.9473984256347</v>
      </c>
      <c r="R37" s="543">
        <f t="shared" si="31"/>
        <v>-41.141947864763097</v>
      </c>
      <c r="S37" s="543">
        <f t="shared" si="31"/>
        <v>6998.8397713863424</v>
      </c>
      <c r="T37" s="543">
        <f t="shared" ref="T37" si="33">T23-T36</f>
        <v>6998.9739419412272</v>
      </c>
      <c r="U37" s="543">
        <f t="shared" ref="U37" si="34">U23-U36</f>
        <v>6909.625338427084</v>
      </c>
      <c r="V37" s="543">
        <f t="shared" ref="V37" si="35">V23-V36</f>
        <v>6909.7457545537109</v>
      </c>
      <c r="W37" s="543">
        <f t="shared" ref="W37" si="36">W23-W36</f>
        <v>6909.7457545537109</v>
      </c>
      <c r="X37" s="383"/>
    </row>
    <row r="38" spans="2:24" s="36" customFormat="1" ht="15.5">
      <c r="B38" s="371">
        <v>1.1599999999999999</v>
      </c>
      <c r="C38" s="372" t="s">
        <v>662</v>
      </c>
      <c r="D38" s="357" t="s">
        <v>101</v>
      </c>
      <c r="E38" s="645"/>
      <c r="F38" s="548">
        <f>G38</f>
        <v>0</v>
      </c>
      <c r="G38" s="548">
        <v>0</v>
      </c>
      <c r="H38" s="543">
        <f t="shared" si="1"/>
        <v>0</v>
      </c>
      <c r="I38" s="645"/>
      <c r="J38" s="548">
        <f>K38</f>
        <v>0</v>
      </c>
      <c r="K38" s="548">
        <v>0</v>
      </c>
      <c r="L38" s="543">
        <f t="shared" si="2"/>
        <v>0</v>
      </c>
      <c r="M38" s="645"/>
      <c r="N38" s="543">
        <f>Q38</f>
        <v>0</v>
      </c>
      <c r="O38" s="547"/>
      <c r="P38" s="547"/>
      <c r="Q38" s="543">
        <f>O38+P38</f>
        <v>0</v>
      </c>
      <c r="R38" s="543">
        <f t="shared" si="0"/>
        <v>0</v>
      </c>
      <c r="S38" s="543"/>
      <c r="T38" s="543"/>
      <c r="U38" s="543"/>
      <c r="V38" s="543"/>
      <c r="W38" s="543"/>
      <c r="X38" s="383"/>
    </row>
    <row r="39" spans="2:24" s="36" customFormat="1" ht="31">
      <c r="B39" s="371">
        <v>1.17</v>
      </c>
      <c r="C39" s="376" t="s">
        <v>103</v>
      </c>
      <c r="D39" s="357" t="s">
        <v>104</v>
      </c>
      <c r="E39" s="648">
        <v>2375</v>
      </c>
      <c r="F39" s="542">
        <f>E39</f>
        <v>2375</v>
      </c>
      <c r="G39" s="758"/>
      <c r="H39" s="758"/>
      <c r="I39" s="648">
        <f>'F2.1'!I52</f>
        <v>2375</v>
      </c>
      <c r="J39" s="542">
        <f>I39</f>
        <v>2375</v>
      </c>
      <c r="K39" s="758"/>
      <c r="L39" s="758"/>
      <c r="M39" s="648">
        <f>'F2.1'!M52</f>
        <v>2375</v>
      </c>
      <c r="N39" s="542">
        <f>M39</f>
        <v>2375</v>
      </c>
      <c r="O39" s="758"/>
      <c r="P39" s="758"/>
      <c r="Q39" s="760"/>
      <c r="R39" s="760"/>
      <c r="S39" s="820">
        <v>0</v>
      </c>
      <c r="T39" s="820">
        <v>0</v>
      </c>
      <c r="U39" s="820">
        <v>0</v>
      </c>
      <c r="V39" s="820">
        <v>0</v>
      </c>
      <c r="W39" s="820">
        <v>0</v>
      </c>
      <c r="X39" s="383"/>
    </row>
    <row r="40" spans="2:24" s="415" customFormat="1" ht="31">
      <c r="B40" s="386">
        <v>1.18</v>
      </c>
      <c r="C40" s="375" t="s">
        <v>664</v>
      </c>
      <c r="D40" s="386" t="s">
        <v>104</v>
      </c>
      <c r="E40" s="759"/>
      <c r="F40" s="758"/>
      <c r="G40" s="542">
        <f>G113/G23</f>
        <v>2417.1042127908709</v>
      </c>
      <c r="H40" s="542">
        <f>G40-F39</f>
        <v>42.104212790870861</v>
      </c>
      <c r="I40" s="759"/>
      <c r="J40" s="758"/>
      <c r="K40" s="542">
        <f>K113/K23</f>
        <v>2464.4901521848601</v>
      </c>
      <c r="L40" s="542">
        <f>K40-J39</f>
        <v>89.490152184860108</v>
      </c>
      <c r="M40" s="759"/>
      <c r="N40" s="758"/>
      <c r="O40" s="542">
        <f>O113/O23</f>
        <v>2510.0835643639512</v>
      </c>
      <c r="P40" s="542">
        <f>P113/P23</f>
        <v>2419.8445545352452</v>
      </c>
      <c r="Q40" s="543">
        <f>Q113/Q23</f>
        <v>2459.7779566810677</v>
      </c>
      <c r="R40" s="543">
        <f>Q40-N39</f>
        <v>84.777956681067735</v>
      </c>
      <c r="S40" s="1068">
        <v>2375</v>
      </c>
      <c r="T40" s="1068">
        <v>2375</v>
      </c>
      <c r="U40" s="1068">
        <v>2375</v>
      </c>
      <c r="V40" s="1068">
        <v>2375</v>
      </c>
      <c r="W40" s="1068">
        <v>2375</v>
      </c>
      <c r="X40" s="388"/>
    </row>
    <row r="41" spans="2:24" s="415" customFormat="1" ht="31">
      <c r="B41" s="474">
        <v>1.19</v>
      </c>
      <c r="C41" s="375" t="s">
        <v>105</v>
      </c>
      <c r="D41" s="386" t="s">
        <v>106</v>
      </c>
      <c r="E41" s="822">
        <v>0.5</v>
      </c>
      <c r="F41" s="543">
        <f>E41</f>
        <v>0.5</v>
      </c>
      <c r="G41" s="758"/>
      <c r="H41" s="760"/>
      <c r="I41" s="645">
        <f>'F2.1'!I56</f>
        <v>0.5</v>
      </c>
      <c r="J41" s="543">
        <f>I41</f>
        <v>0.5</v>
      </c>
      <c r="K41" s="758"/>
      <c r="L41" s="760"/>
      <c r="M41" s="645">
        <f>'F2.1'!M56</f>
        <v>0.5</v>
      </c>
      <c r="N41" s="543">
        <f>M41</f>
        <v>0.5</v>
      </c>
      <c r="O41" s="758"/>
      <c r="P41" s="758"/>
      <c r="Q41" s="758"/>
      <c r="R41" s="543">
        <f t="shared" si="0"/>
        <v>-0.5</v>
      </c>
      <c r="S41" s="820">
        <v>0</v>
      </c>
      <c r="T41" s="820">
        <v>0</v>
      </c>
      <c r="U41" s="820">
        <v>0</v>
      </c>
      <c r="V41" s="820">
        <v>0</v>
      </c>
      <c r="W41" s="820">
        <v>0</v>
      </c>
      <c r="X41" s="388"/>
    </row>
    <row r="42" spans="2:24" s="415" customFormat="1" ht="46.5">
      <c r="B42" s="537">
        <v>1.2</v>
      </c>
      <c r="C42" s="375" t="s">
        <v>665</v>
      </c>
      <c r="D42" s="386" t="s">
        <v>106</v>
      </c>
      <c r="E42" s="758"/>
      <c r="F42" s="758"/>
      <c r="G42" s="542">
        <v>2.0273748302554617</v>
      </c>
      <c r="H42" s="543">
        <f>G42-F41</f>
        <v>1.5273748302554617</v>
      </c>
      <c r="I42" s="749"/>
      <c r="J42" s="758"/>
      <c r="K42" s="542">
        <v>0.98064884486587145</v>
      </c>
      <c r="L42" s="543">
        <f>K42-J41</f>
        <v>0.48064884486587145</v>
      </c>
      <c r="M42" s="636"/>
      <c r="N42" s="758"/>
      <c r="O42" s="1068">
        <v>0.75313865074548869</v>
      </c>
      <c r="P42" s="1068">
        <v>0.5</v>
      </c>
      <c r="Q42" s="1214">
        <f>AVERAGE(O42:P42)</f>
        <v>0.62656932537274435</v>
      </c>
      <c r="R42" s="1409">
        <f>Q42-N41</f>
        <v>0.12656932537274435</v>
      </c>
      <c r="S42" s="1068">
        <v>0.5</v>
      </c>
      <c r="T42" s="1068">
        <v>0.5</v>
      </c>
      <c r="U42" s="1068">
        <v>0.5</v>
      </c>
      <c r="V42" s="1068">
        <v>0.5</v>
      </c>
      <c r="W42" s="1068">
        <v>0.5</v>
      </c>
      <c r="X42" s="388"/>
    </row>
    <row r="43" spans="2:24" s="415" customFormat="1" ht="15.5">
      <c r="B43" s="474">
        <v>1.21</v>
      </c>
      <c r="C43" s="375" t="s">
        <v>107</v>
      </c>
      <c r="D43" s="386" t="s">
        <v>99</v>
      </c>
      <c r="E43" s="646">
        <v>8.0000000000000002E-3</v>
      </c>
      <c r="F43" s="545">
        <f>E43</f>
        <v>8.0000000000000002E-3</v>
      </c>
      <c r="G43" s="757"/>
      <c r="H43" s="756"/>
      <c r="I43" s="646">
        <f>'F2.1'!I60</f>
        <v>8.0000000000000002E-3</v>
      </c>
      <c r="J43" s="545">
        <f>I43</f>
        <v>8.0000000000000002E-3</v>
      </c>
      <c r="K43" s="757"/>
      <c r="L43" s="756"/>
      <c r="M43" s="646">
        <v>8.0000000000000002E-3</v>
      </c>
      <c r="N43" s="545">
        <f>M43</f>
        <v>8.0000000000000002E-3</v>
      </c>
      <c r="O43" s="1212"/>
      <c r="P43" s="1212"/>
      <c r="Q43" s="757"/>
      <c r="R43" s="757"/>
      <c r="S43" s="1070"/>
      <c r="T43" s="1070"/>
      <c r="U43" s="1070"/>
      <c r="V43" s="1070"/>
      <c r="W43" s="1070"/>
      <c r="X43" s="388"/>
    </row>
    <row r="44" spans="2:24" s="415" customFormat="1" ht="31">
      <c r="B44" s="474">
        <v>1.22</v>
      </c>
      <c r="C44" s="375" t="s">
        <v>666</v>
      </c>
      <c r="D44" s="386" t="s">
        <v>99</v>
      </c>
      <c r="E44" s="757"/>
      <c r="F44" s="757"/>
      <c r="G44" s="545">
        <v>8.0000000000000002E-3</v>
      </c>
      <c r="H44" s="544">
        <f>G44-F43</f>
        <v>0</v>
      </c>
      <c r="I44" s="757"/>
      <c r="J44" s="757"/>
      <c r="K44" s="545">
        <v>9.92E-3</v>
      </c>
      <c r="L44" s="544">
        <f>K44-J43</f>
        <v>1.9199999999999998E-3</v>
      </c>
      <c r="M44" s="646"/>
      <c r="N44" s="757"/>
      <c r="O44" s="1213">
        <v>1.0156399890765262E-2</v>
      </c>
      <c r="P44" s="1213">
        <v>8.0000000000000002E-3</v>
      </c>
      <c r="Q44" s="544">
        <f>AVERAGE(O44:P44)</f>
        <v>9.0781999453826319E-3</v>
      </c>
      <c r="R44" s="544">
        <f>Q44-N43</f>
        <v>1.0781999453826317E-3</v>
      </c>
      <c r="S44" s="1071">
        <v>8.0000000000000002E-3</v>
      </c>
      <c r="T44" s="1071">
        <v>8.0000000000000002E-3</v>
      </c>
      <c r="U44" s="1071">
        <v>8.0000000000000002E-3</v>
      </c>
      <c r="V44" s="1071">
        <v>8.0000000000000002E-3</v>
      </c>
      <c r="W44" s="1071">
        <v>8.0000000000000002E-3</v>
      </c>
      <c r="X44" s="388"/>
    </row>
    <row r="45" spans="2:24" s="415" customFormat="1" ht="15.5">
      <c r="B45" s="459"/>
      <c r="C45" s="458"/>
      <c r="D45" s="460"/>
      <c r="E45" s="649"/>
      <c r="F45" s="508"/>
      <c r="G45" s="508"/>
      <c r="H45" s="508"/>
      <c r="I45" s="649"/>
      <c r="J45" s="508"/>
      <c r="K45" s="508"/>
      <c r="L45" s="508"/>
      <c r="M45" s="649"/>
      <c r="N45" s="506"/>
      <c r="O45" s="506"/>
      <c r="P45" s="506"/>
      <c r="Q45" s="506"/>
      <c r="R45" s="506"/>
      <c r="S45" s="580"/>
      <c r="T45" s="580"/>
      <c r="U45" s="580"/>
      <c r="V45" s="580"/>
      <c r="W45" s="580"/>
      <c r="X45" s="388"/>
    </row>
    <row r="46" spans="2:24" s="415" customFormat="1" ht="15.5">
      <c r="B46" s="459">
        <v>2</v>
      </c>
      <c r="C46" s="486" t="s">
        <v>108</v>
      </c>
      <c r="D46" s="460"/>
      <c r="E46" s="649"/>
      <c r="F46" s="508"/>
      <c r="G46" s="508"/>
      <c r="H46" s="508"/>
      <c r="I46" s="649"/>
      <c r="J46" s="508"/>
      <c r="K46" s="508"/>
      <c r="L46" s="508"/>
      <c r="M46" s="649"/>
      <c r="N46" s="506"/>
      <c r="O46" s="506"/>
      <c r="P46" s="506"/>
      <c r="Q46" s="506"/>
      <c r="R46" s="506"/>
      <c r="S46" s="580"/>
      <c r="T46" s="580"/>
      <c r="U46" s="580"/>
      <c r="V46" s="580"/>
      <c r="W46" s="580"/>
      <c r="X46" s="388"/>
    </row>
    <row r="47" spans="2:24" s="415" customFormat="1" ht="15.5">
      <c r="B47" s="459">
        <v>2.1</v>
      </c>
      <c r="C47" s="458" t="s">
        <v>548</v>
      </c>
      <c r="D47" s="460"/>
      <c r="E47" s="649"/>
      <c r="F47" s="508"/>
      <c r="G47" s="508"/>
      <c r="H47" s="508"/>
      <c r="I47" s="649"/>
      <c r="J47" s="508"/>
      <c r="K47" s="508"/>
      <c r="L47" s="508"/>
      <c r="M47" s="649"/>
      <c r="N47" s="506"/>
      <c r="O47" s="506"/>
      <c r="P47" s="506"/>
      <c r="Q47" s="506"/>
      <c r="R47" s="506"/>
      <c r="S47" s="580"/>
      <c r="T47" s="580"/>
      <c r="U47" s="580"/>
      <c r="V47" s="580"/>
      <c r="W47" s="580"/>
      <c r="X47" s="388"/>
    </row>
    <row r="48" spans="2:24" s="415" customFormat="1" ht="15.5">
      <c r="B48" s="1075" t="s">
        <v>109</v>
      </c>
      <c r="C48" s="1076" t="s">
        <v>714</v>
      </c>
      <c r="D48" s="1077" t="s">
        <v>110</v>
      </c>
      <c r="E48" s="656">
        <v>4149.59631586042</v>
      </c>
      <c r="F48" s="549">
        <f>G48</f>
        <v>4170.7424654313136</v>
      </c>
      <c r="G48" s="549">
        <v>4170.7424654313136</v>
      </c>
      <c r="H48" s="549">
        <f>G48-F48</f>
        <v>0</v>
      </c>
      <c r="I48" s="656"/>
      <c r="J48" s="549">
        <f>K48</f>
        <v>3949.7780250524684</v>
      </c>
      <c r="K48" s="549">
        <v>3949.7780250524684</v>
      </c>
      <c r="L48" s="542">
        <f>K48-J48</f>
        <v>0</v>
      </c>
      <c r="M48" s="656"/>
      <c r="N48" s="549">
        <f t="shared" ref="N48:N56" si="37">Q48</f>
        <v>3935.6877801426735</v>
      </c>
      <c r="O48" s="1072">
        <v>3920.5544837402094</v>
      </c>
      <c r="P48" s="1072">
        <v>3949.7780250524684</v>
      </c>
      <c r="Q48" s="1068">
        <f>SUMPRODUCT(O48:P48,O94:P94)/SUM(O94:P94)</f>
        <v>3935.6877801426735</v>
      </c>
      <c r="R48" s="542">
        <f>Q48-N48</f>
        <v>0</v>
      </c>
      <c r="S48" s="1072">
        <v>3916.7704821332718</v>
      </c>
      <c r="T48" s="1072">
        <v>3916.7704821332709</v>
      </c>
      <c r="U48" s="1072">
        <v>3916.7704821332709</v>
      </c>
      <c r="V48" s="1072">
        <v>3916.7704821332709</v>
      </c>
      <c r="W48" s="1072">
        <v>3916.7704821332709</v>
      </c>
      <c r="X48" s="388"/>
    </row>
    <row r="49" spans="2:24" s="415" customFormat="1" ht="15.5">
      <c r="B49" s="1075" t="s">
        <v>111</v>
      </c>
      <c r="C49" s="1076" t="s">
        <v>715</v>
      </c>
      <c r="D49" s="1077" t="s">
        <v>110</v>
      </c>
      <c r="E49" s="656">
        <v>4826.4483699118955</v>
      </c>
      <c r="F49" s="549">
        <f t="shared" ref="F49:F56" si="38">G49</f>
        <v>4783.5388681914137</v>
      </c>
      <c r="G49" s="549">
        <v>4783.5388681914137</v>
      </c>
      <c r="H49" s="549">
        <f t="shared" ref="H49:H56" si="39">G49-F49</f>
        <v>0</v>
      </c>
      <c r="I49" s="656"/>
      <c r="J49" s="549">
        <f t="shared" ref="J49:J56" si="40">K49</f>
        <v>4759.5862191216293</v>
      </c>
      <c r="K49" s="549">
        <v>4759.5862191216293</v>
      </c>
      <c r="L49" s="542">
        <f t="shared" ref="L49:L56" si="41">K49-J49</f>
        <v>0</v>
      </c>
      <c r="M49" s="656"/>
      <c r="N49" s="549">
        <f t="shared" si="37"/>
        <v>4754.9581814781895</v>
      </c>
      <c r="O49" s="1072">
        <v>4749.1102888464893</v>
      </c>
      <c r="P49" s="1072">
        <v>4759.5862191216293</v>
      </c>
      <c r="Q49" s="1068">
        <f>IFERROR(SUMPRODUCT(O49:P49,O95:P95)/SUM(O95:P95),0)</f>
        <v>4754.9581814781895</v>
      </c>
      <c r="R49" s="542">
        <f>Q49-N49</f>
        <v>0</v>
      </c>
      <c r="S49" s="1072">
        <v>4752.9185764872036</v>
      </c>
      <c r="T49" s="1072">
        <v>4752.9185764872036</v>
      </c>
      <c r="U49" s="1072">
        <v>4752.9185764872036</v>
      </c>
      <c r="V49" s="1072">
        <v>4752.9185764872036</v>
      </c>
      <c r="W49" s="1072">
        <v>4752.9185764872036</v>
      </c>
      <c r="X49" s="388"/>
    </row>
    <row r="50" spans="2:24" s="415" customFormat="1" ht="15.5">
      <c r="B50" s="1075" t="s">
        <v>113</v>
      </c>
      <c r="C50" s="1076" t="s">
        <v>822</v>
      </c>
      <c r="D50" s="1077" t="s">
        <v>110</v>
      </c>
      <c r="E50" s="656">
        <v>3600.8682396155282</v>
      </c>
      <c r="F50" s="549">
        <f t="shared" si="38"/>
        <v>3779.2376274702233</v>
      </c>
      <c r="G50" s="549">
        <v>3779.2376274702233</v>
      </c>
      <c r="H50" s="549">
        <f t="shared" si="39"/>
        <v>0</v>
      </c>
      <c r="I50" s="656"/>
      <c r="J50" s="549">
        <f t="shared" si="40"/>
        <v>3955.6440194493243</v>
      </c>
      <c r="K50" s="549">
        <v>3955.6440194493243</v>
      </c>
      <c r="L50" s="542">
        <f t="shared" si="41"/>
        <v>0</v>
      </c>
      <c r="M50" s="656"/>
      <c r="N50" s="549">
        <f t="shared" si="37"/>
        <v>3955.6440194493239</v>
      </c>
      <c r="O50" s="1072">
        <v>0</v>
      </c>
      <c r="P50" s="1072">
        <v>3955.6440194493243</v>
      </c>
      <c r="Q50" s="1068">
        <f>SUMPRODUCT(O50:P50,O96:P96)/SUM(O96:P96)</f>
        <v>3955.6440194493239</v>
      </c>
      <c r="R50" s="542">
        <f t="shared" ref="R50:R56" si="42">Q50-N50</f>
        <v>0</v>
      </c>
      <c r="S50" s="1072">
        <v>3847</v>
      </c>
      <c r="T50" s="1072">
        <v>3847</v>
      </c>
      <c r="U50" s="1072">
        <v>3847</v>
      </c>
      <c r="V50" s="1072">
        <v>3847</v>
      </c>
      <c r="W50" s="1072">
        <v>3847</v>
      </c>
      <c r="X50" s="388"/>
    </row>
    <row r="51" spans="2:24" s="415" customFormat="1" ht="15.5">
      <c r="B51" s="1075" t="s">
        <v>713</v>
      </c>
      <c r="C51" s="1076" t="s">
        <v>1414</v>
      </c>
      <c r="D51" s="1077" t="s">
        <v>110</v>
      </c>
      <c r="E51" s="656"/>
      <c r="F51" s="549"/>
      <c r="G51" s="549"/>
      <c r="H51" s="549"/>
      <c r="I51" s="656"/>
      <c r="J51" s="549"/>
      <c r="K51" s="549"/>
      <c r="L51" s="542"/>
      <c r="M51" s="656"/>
      <c r="N51" s="549"/>
      <c r="O51" s="1072"/>
      <c r="P51" s="1072"/>
      <c r="Q51" s="1068"/>
      <c r="R51" s="542"/>
      <c r="S51" s="1072">
        <v>3350</v>
      </c>
      <c r="T51" s="1072">
        <v>3350</v>
      </c>
      <c r="U51" s="1072">
        <v>3350</v>
      </c>
      <c r="V51" s="1072">
        <v>3350</v>
      </c>
      <c r="W51" s="1072">
        <v>3350</v>
      </c>
      <c r="X51" s="388"/>
    </row>
    <row r="52" spans="2:24" s="415" customFormat="1" ht="15.5">
      <c r="B52" s="1075" t="s">
        <v>825</v>
      </c>
      <c r="C52" s="1076" t="s">
        <v>1415</v>
      </c>
      <c r="D52" s="1077" t="s">
        <v>110</v>
      </c>
      <c r="E52" s="656"/>
      <c r="F52" s="549"/>
      <c r="G52" s="549"/>
      <c r="H52" s="549"/>
      <c r="I52" s="656"/>
      <c r="J52" s="549"/>
      <c r="K52" s="549"/>
      <c r="L52" s="542"/>
      <c r="M52" s="656"/>
      <c r="N52" s="549"/>
      <c r="O52" s="1072"/>
      <c r="P52" s="1072"/>
      <c r="Q52" s="1068"/>
      <c r="R52" s="542"/>
      <c r="S52" s="1072">
        <v>0</v>
      </c>
      <c r="T52" s="1072">
        <v>0</v>
      </c>
      <c r="U52" s="1072">
        <v>0</v>
      </c>
      <c r="V52" s="1072">
        <v>0</v>
      </c>
      <c r="W52" s="1072">
        <v>0</v>
      </c>
      <c r="X52" s="388"/>
    </row>
    <row r="53" spans="2:24" s="415" customFormat="1" ht="15.5">
      <c r="B53" s="1075" t="s">
        <v>826</v>
      </c>
      <c r="C53" s="1076" t="s">
        <v>716</v>
      </c>
      <c r="D53" s="1077" t="s">
        <v>110</v>
      </c>
      <c r="E53" s="650">
        <v>46965.351696732629</v>
      </c>
      <c r="F53" s="549">
        <f>G53</f>
        <v>10776</v>
      </c>
      <c r="G53" s="549">
        <v>10776</v>
      </c>
      <c r="H53" s="549">
        <f t="shared" si="39"/>
        <v>0</v>
      </c>
      <c r="I53" s="650"/>
      <c r="J53" s="549">
        <f t="shared" si="40"/>
        <v>10552.083333333334</v>
      </c>
      <c r="K53" s="549">
        <v>10552.083333333334</v>
      </c>
      <c r="L53" s="542">
        <f t="shared" si="41"/>
        <v>0</v>
      </c>
      <c r="M53" s="650"/>
      <c r="N53" s="549">
        <f t="shared" si="37"/>
        <v>10558.31182640429</v>
      </c>
      <c r="O53" s="1072">
        <v>10564</v>
      </c>
      <c r="P53" s="1072">
        <v>10552.083333333334</v>
      </c>
      <c r="Q53" s="1068">
        <f>SUMPRODUCT(O53:P53,O99:P99)/SUM(O99:P99)</f>
        <v>10558.31182640429</v>
      </c>
      <c r="R53" s="542">
        <f t="shared" si="42"/>
        <v>0</v>
      </c>
      <c r="S53" s="1072">
        <v>10552.083333333334</v>
      </c>
      <c r="T53" s="1072">
        <v>10552.083333333334</v>
      </c>
      <c r="U53" s="1072">
        <v>10552.083333333334</v>
      </c>
      <c r="V53" s="1072">
        <v>10552.083333333334</v>
      </c>
      <c r="W53" s="1072">
        <v>10552.083333333334</v>
      </c>
      <c r="X53" s="388"/>
    </row>
    <row r="54" spans="2:24" s="415" customFormat="1" ht="15.5">
      <c r="B54" s="1075" t="s">
        <v>827</v>
      </c>
      <c r="C54" s="1076" t="s">
        <v>717</v>
      </c>
      <c r="D54" s="1077" t="s">
        <v>110</v>
      </c>
      <c r="E54" s="650">
        <v>77339.47727193014</v>
      </c>
      <c r="F54" s="549">
        <f>G54</f>
        <v>11542.666666666666</v>
      </c>
      <c r="G54" s="549">
        <v>11542.666666666666</v>
      </c>
      <c r="H54" s="549">
        <f t="shared" si="39"/>
        <v>0</v>
      </c>
      <c r="I54" s="650"/>
      <c r="J54" s="549">
        <f t="shared" si="40"/>
        <v>11111.5</v>
      </c>
      <c r="K54" s="549">
        <v>11111.5</v>
      </c>
      <c r="L54" s="542">
        <f t="shared" si="41"/>
        <v>0</v>
      </c>
      <c r="M54" s="650"/>
      <c r="N54" s="549">
        <f t="shared" si="37"/>
        <v>11214.724710961296</v>
      </c>
      <c r="O54" s="1072">
        <v>11267</v>
      </c>
      <c r="P54" s="1072">
        <v>11111.5</v>
      </c>
      <c r="Q54" s="1068">
        <f>SUMPRODUCT(O54:P54,O100:P100)/SUM(O100:P100)</f>
        <v>11214.724710961296</v>
      </c>
      <c r="R54" s="542">
        <f t="shared" si="42"/>
        <v>0</v>
      </c>
      <c r="S54" s="1072">
        <v>11111.5</v>
      </c>
      <c r="T54" s="1072">
        <v>11111.5</v>
      </c>
      <c r="U54" s="1072">
        <v>11111.5</v>
      </c>
      <c r="V54" s="1072">
        <v>11111.5</v>
      </c>
      <c r="W54" s="1072">
        <v>11111.5</v>
      </c>
      <c r="X54" s="388"/>
    </row>
    <row r="55" spans="2:24" s="415" customFormat="1" ht="15.5">
      <c r="B55" s="1075" t="s">
        <v>1132</v>
      </c>
      <c r="C55" s="1076" t="s">
        <v>823</v>
      </c>
      <c r="D55" s="1077" t="s">
        <v>110</v>
      </c>
      <c r="E55" s="650"/>
      <c r="F55" s="549">
        <f t="shared" si="38"/>
        <v>0</v>
      </c>
      <c r="G55" s="549">
        <v>0</v>
      </c>
      <c r="H55" s="549">
        <f t="shared" si="39"/>
        <v>0</v>
      </c>
      <c r="I55" s="650"/>
      <c r="J55" s="549">
        <f t="shared" si="40"/>
        <v>0</v>
      </c>
      <c r="K55" s="549">
        <v>0</v>
      </c>
      <c r="L55" s="542">
        <f t="shared" si="41"/>
        <v>0</v>
      </c>
      <c r="M55" s="650"/>
      <c r="N55" s="549">
        <f t="shared" si="37"/>
        <v>0</v>
      </c>
      <c r="O55" s="1072">
        <v>0</v>
      </c>
      <c r="P55" s="1072">
        <v>0</v>
      </c>
      <c r="Q55" s="1068">
        <f t="shared" ref="Q55:Q56" si="43">O55+P55</f>
        <v>0</v>
      </c>
      <c r="R55" s="542">
        <f t="shared" si="42"/>
        <v>0</v>
      </c>
      <c r="S55" s="1072">
        <v>0</v>
      </c>
      <c r="T55" s="1072">
        <v>0</v>
      </c>
      <c r="U55" s="1072">
        <v>0</v>
      </c>
      <c r="V55" s="1072">
        <v>0</v>
      </c>
      <c r="W55" s="1072">
        <v>0</v>
      </c>
      <c r="X55" s="388"/>
    </row>
    <row r="56" spans="2:24" s="415" customFormat="1" ht="15.5">
      <c r="B56" s="1075" t="s">
        <v>1416</v>
      </c>
      <c r="C56" s="1076" t="s">
        <v>824</v>
      </c>
      <c r="D56" s="1077" t="s">
        <v>110</v>
      </c>
      <c r="E56" s="650"/>
      <c r="F56" s="549">
        <f t="shared" si="38"/>
        <v>0</v>
      </c>
      <c r="G56" s="549">
        <v>0</v>
      </c>
      <c r="H56" s="549">
        <f t="shared" si="39"/>
        <v>0</v>
      </c>
      <c r="I56" s="650"/>
      <c r="J56" s="549">
        <f t="shared" si="40"/>
        <v>0</v>
      </c>
      <c r="K56" s="549">
        <v>0</v>
      </c>
      <c r="L56" s="542">
        <f t="shared" si="41"/>
        <v>0</v>
      </c>
      <c r="M56" s="650"/>
      <c r="N56" s="549">
        <f t="shared" si="37"/>
        <v>0</v>
      </c>
      <c r="O56" s="1072">
        <v>0</v>
      </c>
      <c r="P56" s="1072">
        <v>0</v>
      </c>
      <c r="Q56" s="1068">
        <f t="shared" si="43"/>
        <v>0</v>
      </c>
      <c r="R56" s="542">
        <f t="shared" si="42"/>
        <v>0</v>
      </c>
      <c r="S56" s="1072">
        <v>0</v>
      </c>
      <c r="T56" s="1072">
        <v>0</v>
      </c>
      <c r="U56" s="1072">
        <v>0</v>
      </c>
      <c r="V56" s="1072">
        <v>0</v>
      </c>
      <c r="W56" s="1072">
        <v>0</v>
      </c>
      <c r="X56" s="388"/>
    </row>
    <row r="57" spans="2:24" s="415" customFormat="1" ht="30">
      <c r="B57" s="459">
        <v>2.2000000000000002</v>
      </c>
      <c r="C57" s="458" t="s">
        <v>334</v>
      </c>
      <c r="D57" s="460"/>
      <c r="E57" s="650"/>
      <c r="F57" s="549"/>
      <c r="G57" s="549"/>
      <c r="H57" s="549"/>
      <c r="I57" s="650"/>
      <c r="J57" s="549"/>
      <c r="K57" s="549"/>
      <c r="L57" s="549"/>
      <c r="M57" s="650"/>
      <c r="N57" s="549"/>
      <c r="O57" s="1072"/>
      <c r="P57" s="1072"/>
      <c r="Q57" s="1068"/>
      <c r="R57" s="542"/>
      <c r="S57" s="542"/>
      <c r="T57" s="542"/>
      <c r="U57" s="542"/>
      <c r="V57" s="542"/>
      <c r="W57" s="542"/>
      <c r="X57" s="388"/>
    </row>
    <row r="58" spans="2:24" s="415" customFormat="1" ht="15.5">
      <c r="B58" s="1075" t="s">
        <v>116</v>
      </c>
      <c r="C58" s="1076" t="s">
        <v>714</v>
      </c>
      <c r="D58" s="1077" t="s">
        <v>110</v>
      </c>
      <c r="E58" s="657">
        <v>3549.59631586042</v>
      </c>
      <c r="F58" s="751">
        <v>3570.7424654313136</v>
      </c>
      <c r="G58" s="549">
        <v>3213.9451048731876</v>
      </c>
      <c r="H58" s="549">
        <f>G58-F58</f>
        <v>-356.797360558126</v>
      </c>
      <c r="I58" s="657"/>
      <c r="J58" s="751">
        <f>IF(J48=0,0,MAX(K58,J48-650))</f>
        <v>3299.7780250524684</v>
      </c>
      <c r="K58" s="549">
        <v>3211.9161339583384</v>
      </c>
      <c r="L58" s="542">
        <f>K58-J58</f>
        <v>-87.861891094129987</v>
      </c>
      <c r="M58" s="657"/>
      <c r="N58" s="751">
        <f>IF(N48=0,0,MAX(Q58,N48-650))</f>
        <v>3285.6877801426735</v>
      </c>
      <c r="O58" s="1072">
        <v>3216.6269218499374</v>
      </c>
      <c r="P58" s="1072">
        <v>3299.7780250524684</v>
      </c>
      <c r="Q58" s="1068">
        <f>SUMPRODUCT(O58:P58,O94:P94)/SUM(O94:P94)</f>
        <v>3259.6863949476742</v>
      </c>
      <c r="R58" s="542">
        <f>Q58-N58</f>
        <v>-26.00138519499933</v>
      </c>
      <c r="S58" s="751">
        <f>IF(S48=0,0,S48-750)</f>
        <v>3166.7704821332718</v>
      </c>
      <c r="T58" s="751">
        <f>IF(T48=0,0,T48-750)</f>
        <v>3166.7704821332709</v>
      </c>
      <c r="U58" s="751">
        <f>IF(U48=0,0,U48-750)</f>
        <v>3166.7704821332709</v>
      </c>
      <c r="V58" s="751">
        <f>IF(V48=0,0,V48-750)</f>
        <v>3166.7704821332709</v>
      </c>
      <c r="W58" s="751">
        <f>IF(W48=0,0,W48-750)</f>
        <v>3166.7704821332709</v>
      </c>
      <c r="X58" s="388"/>
    </row>
    <row r="59" spans="2:24" s="415" customFormat="1" ht="15.5">
      <c r="B59" s="1075" t="s">
        <v>118</v>
      </c>
      <c r="C59" s="1076" t="s">
        <v>715</v>
      </c>
      <c r="D59" s="1077" t="s">
        <v>110</v>
      </c>
      <c r="E59" s="657">
        <v>4826.4483699118955</v>
      </c>
      <c r="F59" s="550">
        <f t="shared" ref="F59:F66" si="44">G59</f>
        <v>4783.5388681914137</v>
      </c>
      <c r="G59" s="549">
        <v>4783.5388681914137</v>
      </c>
      <c r="H59" s="549">
        <f>G59-F59</f>
        <v>0</v>
      </c>
      <c r="I59" s="657"/>
      <c r="J59" s="550">
        <f t="shared" ref="J59:J66" si="45">K59</f>
        <v>4759.5862191216293</v>
      </c>
      <c r="K59" s="549">
        <v>4759.5862191216293</v>
      </c>
      <c r="L59" s="542">
        <f>K59-J59</f>
        <v>0</v>
      </c>
      <c r="M59" s="657"/>
      <c r="N59" s="550">
        <f>Q59</f>
        <v>4754.9581814781895</v>
      </c>
      <c r="O59" s="1072">
        <v>4749.1102888464893</v>
      </c>
      <c r="P59" s="1072">
        <v>4759.5862191216293</v>
      </c>
      <c r="Q59" s="1068">
        <f>IFERROR(SUMPRODUCT(O59:P59,O95:P95)/SUM(O95:P95),0)</f>
        <v>4754.9581814781895</v>
      </c>
      <c r="R59" s="542">
        <f>Q59-N59</f>
        <v>0</v>
      </c>
      <c r="S59" s="550">
        <f>S49</f>
        <v>4752.9185764872036</v>
      </c>
      <c r="T59" s="550">
        <f t="shared" ref="T59:W59" si="46">T49</f>
        <v>4752.9185764872036</v>
      </c>
      <c r="U59" s="550">
        <f t="shared" si="46"/>
        <v>4752.9185764872036</v>
      </c>
      <c r="V59" s="550">
        <f t="shared" si="46"/>
        <v>4752.9185764872036</v>
      </c>
      <c r="W59" s="550">
        <f t="shared" si="46"/>
        <v>4752.9185764872036</v>
      </c>
      <c r="X59" s="388"/>
    </row>
    <row r="60" spans="2:24" s="415" customFormat="1" ht="15.5">
      <c r="B60" s="1075" t="s">
        <v>119</v>
      </c>
      <c r="C60" s="1076" t="s">
        <v>822</v>
      </c>
      <c r="D60" s="1077" t="s">
        <v>110</v>
      </c>
      <c r="E60" s="657">
        <v>4128.8338821187663</v>
      </c>
      <c r="F60" s="751">
        <f>IF(F50=0,0,MAX(G60,F50-300))</f>
        <v>4106.2253913911863</v>
      </c>
      <c r="G60" s="549">
        <v>4106.2253913911863</v>
      </c>
      <c r="H60" s="549">
        <f t="shared" ref="H60:H68" si="47">G60-F60</f>
        <v>0</v>
      </c>
      <c r="I60" s="657"/>
      <c r="J60" s="751">
        <f>IF(J50=0,0,MAX(K60,J50-300))</f>
        <v>4061.6934720420036</v>
      </c>
      <c r="K60" s="549">
        <v>4061.6934720420036</v>
      </c>
      <c r="L60" s="542">
        <f t="shared" ref="L60:L68" si="48">K60-J60</f>
        <v>0</v>
      </c>
      <c r="M60" s="657"/>
      <c r="N60" s="751">
        <f>IF(N50=0,0,MAX(Q60,N50-300))</f>
        <v>3655.6440194493239</v>
      </c>
      <c r="O60" s="1072">
        <v>0</v>
      </c>
      <c r="P60" s="1072">
        <v>3655.6440194493243</v>
      </c>
      <c r="Q60" s="1068">
        <f>SUMPRODUCT(O60:P60,O96:P96)/SUM(O96:P96)</f>
        <v>3655.6440194493239</v>
      </c>
      <c r="R60" s="542">
        <f t="shared" ref="R60:R68" si="49">Q60-N60</f>
        <v>0</v>
      </c>
      <c r="S60" s="751">
        <f>IF(S50=0,0,S50-300)</f>
        <v>3547</v>
      </c>
      <c r="T60" s="751">
        <f t="shared" ref="T60:W60" si="50">IF(T50=0,0,T50-300)</f>
        <v>3547</v>
      </c>
      <c r="U60" s="751">
        <f t="shared" si="50"/>
        <v>3547</v>
      </c>
      <c r="V60" s="751">
        <f t="shared" si="50"/>
        <v>3547</v>
      </c>
      <c r="W60" s="751">
        <f t="shared" si="50"/>
        <v>3547</v>
      </c>
      <c r="X60" s="388"/>
    </row>
    <row r="61" spans="2:24" s="415" customFormat="1" ht="15.5">
      <c r="B61" s="1075" t="s">
        <v>718</v>
      </c>
      <c r="C61" s="1076" t="s">
        <v>1414</v>
      </c>
      <c r="D61" s="1077" t="s">
        <v>110</v>
      </c>
      <c r="E61" s="657"/>
      <c r="F61" s="751"/>
      <c r="G61" s="549"/>
      <c r="H61" s="549"/>
      <c r="I61" s="657"/>
      <c r="J61" s="751"/>
      <c r="K61" s="549"/>
      <c r="L61" s="542"/>
      <c r="M61" s="657"/>
      <c r="N61" s="751"/>
      <c r="O61" s="1072"/>
      <c r="P61" s="1072"/>
      <c r="Q61" s="1068"/>
      <c r="R61" s="542"/>
      <c r="S61" s="751">
        <f t="shared" ref="S61:S66" si="51">S51</f>
        <v>3350</v>
      </c>
      <c r="T61" s="751">
        <f t="shared" ref="T61:W62" si="52">T51</f>
        <v>3350</v>
      </c>
      <c r="U61" s="751">
        <f t="shared" si="52"/>
        <v>3350</v>
      </c>
      <c r="V61" s="751">
        <f t="shared" si="52"/>
        <v>3350</v>
      </c>
      <c r="W61" s="751">
        <f t="shared" si="52"/>
        <v>3350</v>
      </c>
      <c r="X61" s="388"/>
    </row>
    <row r="62" spans="2:24" s="415" customFormat="1" ht="15.5">
      <c r="B62" s="1075" t="s">
        <v>828</v>
      </c>
      <c r="C62" s="1076" t="s">
        <v>1415</v>
      </c>
      <c r="D62" s="1077" t="s">
        <v>110</v>
      </c>
      <c r="E62" s="657"/>
      <c r="F62" s="751"/>
      <c r="G62" s="549"/>
      <c r="H62" s="549"/>
      <c r="I62" s="657"/>
      <c r="J62" s="751"/>
      <c r="K62" s="549"/>
      <c r="L62" s="542"/>
      <c r="M62" s="657"/>
      <c r="N62" s="751"/>
      <c r="O62" s="1072"/>
      <c r="P62" s="1072"/>
      <c r="Q62" s="1068"/>
      <c r="R62" s="542"/>
      <c r="S62" s="751">
        <f t="shared" si="51"/>
        <v>0</v>
      </c>
      <c r="T62" s="751">
        <f t="shared" si="52"/>
        <v>0</v>
      </c>
      <c r="U62" s="751">
        <f t="shared" si="52"/>
        <v>0</v>
      </c>
      <c r="V62" s="751">
        <f t="shared" si="52"/>
        <v>0</v>
      </c>
      <c r="W62" s="751">
        <f t="shared" si="52"/>
        <v>0</v>
      </c>
      <c r="X62" s="388"/>
    </row>
    <row r="63" spans="2:24" s="415" customFormat="1" ht="15.5">
      <c r="B63" s="1075" t="s">
        <v>829</v>
      </c>
      <c r="C63" s="1076" t="s">
        <v>716</v>
      </c>
      <c r="D63" s="1077" t="s">
        <v>110</v>
      </c>
      <c r="E63" s="651">
        <f>E53</f>
        <v>46965.351696732629</v>
      </c>
      <c r="F63" s="550">
        <f t="shared" si="44"/>
        <v>10776</v>
      </c>
      <c r="G63" s="549">
        <v>10776</v>
      </c>
      <c r="H63" s="549">
        <f t="shared" si="47"/>
        <v>0</v>
      </c>
      <c r="I63" s="651"/>
      <c r="J63" s="550">
        <f t="shared" si="45"/>
        <v>10552.083333333334</v>
      </c>
      <c r="K63" s="549">
        <v>10552.083333333334</v>
      </c>
      <c r="L63" s="542">
        <f t="shared" si="48"/>
        <v>0</v>
      </c>
      <c r="M63" s="651"/>
      <c r="N63" s="550">
        <f>Q63</f>
        <v>10558.31182640429</v>
      </c>
      <c r="O63" s="1072">
        <v>10564</v>
      </c>
      <c r="P63" s="1072">
        <v>10552.083333333334</v>
      </c>
      <c r="Q63" s="1068">
        <f>SUMPRODUCT(O63:P63,O99:P99)/SUM(O99:P99)</f>
        <v>10558.31182640429</v>
      </c>
      <c r="R63" s="542">
        <f t="shared" si="49"/>
        <v>0</v>
      </c>
      <c r="S63" s="550">
        <f t="shared" si="51"/>
        <v>10552.083333333334</v>
      </c>
      <c r="T63" s="550">
        <f t="shared" ref="T63:W63" si="53">T53</f>
        <v>10552.083333333334</v>
      </c>
      <c r="U63" s="550">
        <f t="shared" si="53"/>
        <v>10552.083333333334</v>
      </c>
      <c r="V63" s="550">
        <f t="shared" si="53"/>
        <v>10552.083333333334</v>
      </c>
      <c r="W63" s="550">
        <f t="shared" si="53"/>
        <v>10552.083333333334</v>
      </c>
      <c r="X63" s="388"/>
    </row>
    <row r="64" spans="2:24" s="415" customFormat="1" ht="15.5">
      <c r="B64" s="1075" t="s">
        <v>830</v>
      </c>
      <c r="C64" s="1076" t="s">
        <v>717</v>
      </c>
      <c r="D64" s="1077" t="s">
        <v>110</v>
      </c>
      <c r="E64" s="651">
        <f>E54</f>
        <v>77339.47727193014</v>
      </c>
      <c r="F64" s="550">
        <f t="shared" si="44"/>
        <v>11542.666666666666</v>
      </c>
      <c r="G64" s="549">
        <v>11542.666666666666</v>
      </c>
      <c r="H64" s="549">
        <f t="shared" si="47"/>
        <v>0</v>
      </c>
      <c r="I64" s="651"/>
      <c r="J64" s="550">
        <f t="shared" si="45"/>
        <v>11111.5</v>
      </c>
      <c r="K64" s="549">
        <v>11111.5</v>
      </c>
      <c r="L64" s="542">
        <f t="shared" si="48"/>
        <v>0</v>
      </c>
      <c r="M64" s="651"/>
      <c r="N64" s="550">
        <f t="shared" ref="N64:N66" si="54">Q64</f>
        <v>11214.724710961296</v>
      </c>
      <c r="O64" s="1072">
        <v>11267</v>
      </c>
      <c r="P64" s="1072">
        <v>11111.5</v>
      </c>
      <c r="Q64" s="1068">
        <f>SUMPRODUCT(O64:P64,O100:P100)/SUM(O100:P100)</f>
        <v>11214.724710961296</v>
      </c>
      <c r="R64" s="542">
        <f t="shared" si="49"/>
        <v>0</v>
      </c>
      <c r="S64" s="550">
        <f t="shared" si="51"/>
        <v>11111.5</v>
      </c>
      <c r="T64" s="550">
        <f t="shared" ref="T64:W66" si="55">T54</f>
        <v>11111.5</v>
      </c>
      <c r="U64" s="550">
        <f t="shared" si="55"/>
        <v>11111.5</v>
      </c>
      <c r="V64" s="550">
        <f t="shared" si="55"/>
        <v>11111.5</v>
      </c>
      <c r="W64" s="550">
        <f t="shared" si="55"/>
        <v>11111.5</v>
      </c>
      <c r="X64" s="388"/>
    </row>
    <row r="65" spans="2:24" s="415" customFormat="1" ht="15.5">
      <c r="B65" s="1075" t="s">
        <v>1142</v>
      </c>
      <c r="C65" s="1076" t="s">
        <v>823</v>
      </c>
      <c r="D65" s="1077" t="s">
        <v>110</v>
      </c>
      <c r="E65" s="651"/>
      <c r="F65" s="550">
        <f t="shared" si="44"/>
        <v>0</v>
      </c>
      <c r="G65" s="549">
        <v>0</v>
      </c>
      <c r="H65" s="549">
        <f t="shared" si="47"/>
        <v>0</v>
      </c>
      <c r="I65" s="651"/>
      <c r="J65" s="550">
        <f t="shared" si="45"/>
        <v>0</v>
      </c>
      <c r="K65" s="549">
        <v>0</v>
      </c>
      <c r="L65" s="542">
        <f t="shared" si="48"/>
        <v>0</v>
      </c>
      <c r="M65" s="651"/>
      <c r="N65" s="550">
        <f t="shared" si="54"/>
        <v>0</v>
      </c>
      <c r="O65" s="1072">
        <v>0</v>
      </c>
      <c r="P65" s="1072">
        <v>0</v>
      </c>
      <c r="Q65" s="1068">
        <f>IFERROR(SUMPRODUCT(O65:P65,O101:P101)/SUM(O101:P101),0)</f>
        <v>0</v>
      </c>
      <c r="R65" s="542">
        <f t="shared" si="49"/>
        <v>0</v>
      </c>
      <c r="S65" s="550">
        <f t="shared" si="51"/>
        <v>0</v>
      </c>
      <c r="T65" s="550">
        <f t="shared" si="55"/>
        <v>0</v>
      </c>
      <c r="U65" s="550">
        <f t="shared" si="55"/>
        <v>0</v>
      </c>
      <c r="V65" s="550">
        <f t="shared" si="55"/>
        <v>0</v>
      </c>
      <c r="W65" s="550">
        <f t="shared" si="55"/>
        <v>0</v>
      </c>
      <c r="X65" s="388"/>
    </row>
    <row r="66" spans="2:24" s="415" customFormat="1" ht="15.5">
      <c r="B66" s="1075" t="s">
        <v>1144</v>
      </c>
      <c r="C66" s="1076" t="s">
        <v>824</v>
      </c>
      <c r="D66" s="1077" t="s">
        <v>110</v>
      </c>
      <c r="E66" s="651"/>
      <c r="F66" s="550">
        <f t="shared" si="44"/>
        <v>0</v>
      </c>
      <c r="G66" s="549">
        <v>0</v>
      </c>
      <c r="H66" s="549">
        <f t="shared" si="47"/>
        <v>0</v>
      </c>
      <c r="I66" s="651"/>
      <c r="J66" s="550">
        <f t="shared" si="45"/>
        <v>0</v>
      </c>
      <c r="K66" s="549">
        <v>0</v>
      </c>
      <c r="L66" s="542">
        <f t="shared" si="48"/>
        <v>0</v>
      </c>
      <c r="M66" s="651"/>
      <c r="N66" s="550">
        <f t="shared" si="54"/>
        <v>0</v>
      </c>
      <c r="O66" s="1072">
        <v>0</v>
      </c>
      <c r="P66" s="1072">
        <v>0</v>
      </c>
      <c r="Q66" s="1068">
        <f>IFERROR(SUMPRODUCT(O66:P66,O102:P102)/SUM(O102:P102),0)</f>
        <v>0</v>
      </c>
      <c r="R66" s="542">
        <f t="shared" si="49"/>
        <v>0</v>
      </c>
      <c r="S66" s="550">
        <f t="shared" si="51"/>
        <v>0</v>
      </c>
      <c r="T66" s="550">
        <f t="shared" si="55"/>
        <v>0</v>
      </c>
      <c r="U66" s="550">
        <f t="shared" si="55"/>
        <v>0</v>
      </c>
      <c r="V66" s="550">
        <f t="shared" si="55"/>
        <v>0</v>
      </c>
      <c r="W66" s="550">
        <f t="shared" si="55"/>
        <v>0</v>
      </c>
      <c r="X66" s="388"/>
    </row>
    <row r="67" spans="2:24" s="415" customFormat="1" ht="15.5">
      <c r="B67" s="474"/>
      <c r="C67" s="375"/>
      <c r="D67" s="386"/>
      <c r="E67" s="651"/>
      <c r="F67" s="550"/>
      <c r="G67" s="549"/>
      <c r="H67" s="549"/>
      <c r="I67" s="651"/>
      <c r="J67" s="550"/>
      <c r="K67" s="549"/>
      <c r="L67" s="542"/>
      <c r="M67" s="651"/>
      <c r="N67" s="550"/>
      <c r="O67" s="549"/>
      <c r="P67" s="549"/>
      <c r="Q67" s="542"/>
      <c r="R67" s="542"/>
      <c r="S67" s="542"/>
      <c r="T67" s="542"/>
      <c r="U67" s="542"/>
      <c r="V67" s="542"/>
      <c r="W67" s="542"/>
      <c r="X67" s="388"/>
    </row>
    <row r="68" spans="2:24" s="415" customFormat="1" ht="30">
      <c r="B68" s="459">
        <v>2.2999999999999998</v>
      </c>
      <c r="C68" s="458" t="s">
        <v>1488</v>
      </c>
      <c r="D68" s="386" t="s">
        <v>110</v>
      </c>
      <c r="E68" s="651"/>
      <c r="F68" s="823">
        <f>MAX(SUMPRODUCT(F58:F60,G94:G96)/SUM(G94:G96)-MIN(120,SUMPRODUCT(G58:G60,G94:G96)/SUM(G94:G96)-G68),G68)</f>
        <v>3692.3359084944168</v>
      </c>
      <c r="G68" s="549">
        <v>2980.9250513183729</v>
      </c>
      <c r="H68" s="549">
        <f t="shared" si="47"/>
        <v>-711.41085717604392</v>
      </c>
      <c r="I68" s="651"/>
      <c r="J68" s="823">
        <f>MAX(SUMPRODUCT(J58*K94+J60*K96)/SUM(K94,K96)-MIN(120,SUMPRODUCT(K58*K94+K60*K96)/SUM(K94,K96)-K68),K68)</f>
        <v>3236.346769851209</v>
      </c>
      <c r="K68" s="549">
        <v>3065.7791417784038</v>
      </c>
      <c r="L68" s="542">
        <f t="shared" si="48"/>
        <v>-170.56762807280529</v>
      </c>
      <c r="M68" s="651"/>
      <c r="N68" s="824">
        <f>MAX(SUMPRODUCT(N58*Q94+N60*Q96)/SUM(Q94,Q96)-MIN(120,SUMPRODUCT(Q58*Q94+Q60*Q96)/SUM(Q94,Q96)-Q68),Q68)</f>
        <v>3180.0124084396771</v>
      </c>
      <c r="O68" s="1072">
        <v>3059.9868837464555</v>
      </c>
      <c r="P68" s="1072">
        <v>3205.4605454284097</v>
      </c>
      <c r="Q68" s="823">
        <f>(Q58*Q94+Q60*Q96)/(Q94+Q96)-120</f>
        <v>3155.0177914473811</v>
      </c>
      <c r="R68" s="542">
        <f t="shared" si="49"/>
        <v>-24.99461699229596</v>
      </c>
      <c r="S68" s="1068">
        <f>SUMPRODUCT(S58:S62,S94:S98)/SUM(S94:S98)-85</f>
        <v>3278.6323183458312</v>
      </c>
      <c r="T68" s="1068">
        <f t="shared" ref="T68:W68" si="56">SUMPRODUCT(T58:T62,T94:T98)/SUM(T94:T98)-85</f>
        <v>3278.6282951524145</v>
      </c>
      <c r="U68" s="1068">
        <f t="shared" si="56"/>
        <v>3278.6282951524145</v>
      </c>
      <c r="V68" s="1068">
        <f t="shared" si="56"/>
        <v>3278.6246378465489</v>
      </c>
      <c r="W68" s="1068">
        <f t="shared" si="56"/>
        <v>3278.6246378465489</v>
      </c>
      <c r="X68" s="388"/>
    </row>
    <row r="69" spans="2:24" s="415" customFormat="1" ht="30">
      <c r="B69" s="459"/>
      <c r="C69" s="458" t="s">
        <v>1398</v>
      </c>
      <c r="D69" s="386"/>
      <c r="E69" s="651"/>
      <c r="F69" s="550"/>
      <c r="G69" s="549"/>
      <c r="H69" s="549"/>
      <c r="I69" s="651"/>
      <c r="J69" s="1072">
        <f>IF(J59=0,0,MAX(J59-120,K69))</f>
        <v>4639.5862191216293</v>
      </c>
      <c r="K69" s="549">
        <v>4590.8930980149416</v>
      </c>
      <c r="L69" s="549"/>
      <c r="M69" s="651"/>
      <c r="N69" s="1229">
        <f>IF(Q69=0,0,MAX(N59-120,Q69))</f>
        <v>4640.2625602329217</v>
      </c>
      <c r="O69" s="1072">
        <v>4641.1171708705097</v>
      </c>
      <c r="P69" s="1072">
        <v>4639.5862191216293</v>
      </c>
      <c r="Q69" s="1230">
        <f>SUMPRODUCT(O69:P69,O95:P95)/SUM(O95:P95)</f>
        <v>4640.2625602329217</v>
      </c>
      <c r="R69" s="542"/>
      <c r="S69" s="542"/>
      <c r="T69" s="542"/>
      <c r="U69" s="542"/>
      <c r="V69" s="542"/>
      <c r="W69" s="542"/>
      <c r="X69" s="388"/>
    </row>
    <row r="70" spans="2:24" s="415" customFormat="1" ht="15.5">
      <c r="B70" s="459">
        <v>2.4</v>
      </c>
      <c r="C70" s="486" t="s">
        <v>450</v>
      </c>
      <c r="D70" s="386" t="s">
        <v>110</v>
      </c>
      <c r="E70" s="651"/>
      <c r="F70" s="1389">
        <f>SUMPRODUCT(F58:F60,F94:F96)/SUM(F94:F96)-F68</f>
        <v>120</v>
      </c>
      <c r="G70" s="1390">
        <f>SUMPRODUCT(G58:G60,G94:G96)/SUM(G94:G96)-G68</f>
        <v>579.64118724582841</v>
      </c>
      <c r="H70" s="1391">
        <f t="shared" ref="H70" si="57">G70-F70</f>
        <v>459.64118724582841</v>
      </c>
      <c r="I70" s="1392"/>
      <c r="J70" s="1390">
        <f>SUMPRODUCT(J58:J60,J94:J96)/SUM(J94:J96)-J68</f>
        <v>185.23705052872992</v>
      </c>
      <c r="K70" s="1390">
        <f>SUMPRODUCT(K58:K60,K94:K96)/SUM(K94:K96)-K68</f>
        <v>275.43480606221192</v>
      </c>
      <c r="L70" s="1393">
        <f t="shared" ref="L70" si="58">K70-J70</f>
        <v>90.197755533481995</v>
      </c>
      <c r="M70" s="1392"/>
      <c r="N70" s="1390">
        <f>SUMPRODUCT(N58:N60,N94:N96)/SUM(N94:N96)-N68</f>
        <v>180.29292256121653</v>
      </c>
      <c r="O70" s="1390">
        <f>SUMPRODUCT(O58:O60,O94:O96)/SUM(O94:O96)-O68</f>
        <v>216.22649303575463</v>
      </c>
      <c r="P70" s="1390">
        <f>SUMPRODUCT(P58:P60,P94:P96)/SUM(P94:P96)-P68</f>
        <v>180.65290459765765</v>
      </c>
      <c r="Q70" s="1390">
        <f>SUMPRODUCT(Q58:Q60,Q94:Q96)/SUM(Q94:Q96)-Q68</f>
        <v>180.25575003420772</v>
      </c>
      <c r="R70" s="542">
        <f t="shared" ref="R70" si="59">Q70-N70</f>
        <v>-3.7172527008806355E-2</v>
      </c>
      <c r="S70" s="752">
        <f t="shared" ref="S70:W70" si="60">SUMPRODUCT(S58:S60,S94:S96)/SUM(S94:S96)-S68</f>
        <v>85</v>
      </c>
      <c r="T70" s="752">
        <f t="shared" si="60"/>
        <v>85</v>
      </c>
      <c r="U70" s="752">
        <f t="shared" si="60"/>
        <v>85</v>
      </c>
      <c r="V70" s="752">
        <f t="shared" si="60"/>
        <v>85</v>
      </c>
      <c r="W70" s="752">
        <f t="shared" si="60"/>
        <v>85</v>
      </c>
      <c r="X70" s="388"/>
    </row>
    <row r="71" spans="2:24" s="415" customFormat="1" ht="15.5">
      <c r="B71" s="474"/>
      <c r="C71" s="375"/>
      <c r="D71" s="386"/>
      <c r="E71" s="645"/>
      <c r="F71" s="543"/>
      <c r="G71" s="543"/>
      <c r="H71" s="542"/>
      <c r="I71" s="645"/>
      <c r="J71" s="543"/>
      <c r="K71" s="543"/>
      <c r="L71" s="542"/>
      <c r="M71" s="645"/>
      <c r="N71" s="543"/>
      <c r="O71" s="543"/>
      <c r="P71" s="543"/>
      <c r="Q71" s="543"/>
      <c r="R71" s="542"/>
      <c r="S71" s="543"/>
      <c r="T71" s="543"/>
      <c r="U71" s="543"/>
      <c r="V71" s="543"/>
      <c r="W71" s="543"/>
      <c r="X71" s="388"/>
    </row>
    <row r="72" spans="2:24" s="415" customFormat="1" ht="15.5">
      <c r="B72" s="459">
        <v>2.5</v>
      </c>
      <c r="C72" s="458" t="s">
        <v>115</v>
      </c>
      <c r="D72" s="460"/>
      <c r="E72" s="651"/>
      <c r="F72" s="550"/>
      <c r="G72" s="549"/>
      <c r="H72" s="549"/>
      <c r="I72" s="651"/>
      <c r="J72" s="549"/>
      <c r="K72" s="549"/>
      <c r="L72" s="549"/>
      <c r="M72" s="651"/>
      <c r="N72" s="542"/>
      <c r="O72" s="542"/>
      <c r="P72" s="542"/>
      <c r="Q72" s="542"/>
      <c r="R72" s="542"/>
      <c r="S72" s="542"/>
      <c r="T72" s="542"/>
      <c r="U72" s="542"/>
      <c r="V72" s="542"/>
      <c r="W72" s="542"/>
      <c r="X72" s="388"/>
    </row>
    <row r="73" spans="2:24" s="415" customFormat="1" ht="15.5">
      <c r="B73" s="1075" t="s">
        <v>413</v>
      </c>
      <c r="C73" s="1076" t="s">
        <v>714</v>
      </c>
      <c r="D73" s="1077" t="s">
        <v>117</v>
      </c>
      <c r="E73" s="645">
        <v>4176.4024826848472</v>
      </c>
      <c r="F73" s="543">
        <f>'F2.3'!$E$26</f>
        <v>4183.6819194075515</v>
      </c>
      <c r="G73" s="543">
        <f>'F2.3'!$F$26</f>
        <v>4183.6819194075515</v>
      </c>
      <c r="H73" s="542">
        <f t="shared" ref="H73:H81" si="61">G73-F73</f>
        <v>0</v>
      </c>
      <c r="I73" s="645"/>
      <c r="J73" s="543">
        <f>'F2.3'!$H$26</f>
        <v>4621.6037726983277</v>
      </c>
      <c r="K73" s="543">
        <f>'F2.3'!$I$26</f>
        <v>4630.410650677426</v>
      </c>
      <c r="L73" s="542">
        <f t="shared" ref="L73:L81" si="62">K73-J73</f>
        <v>8.8068779790983172</v>
      </c>
      <c r="M73" s="645"/>
      <c r="N73" s="543">
        <f>'F2.3'!$K$26</f>
        <v>4832.8019011435654</v>
      </c>
      <c r="O73" s="543">
        <f>'F2.3'!$L$26</f>
        <v>5050.1754671942472</v>
      </c>
      <c r="P73" s="543">
        <f>'F2.3'!$M$26</f>
        <v>4630.410650677426</v>
      </c>
      <c r="Q73" s="542">
        <f>SUMPRODUCT(O73:P73,O94:P94)/SUM(O94:P94)</f>
        <v>4832.8019011435654</v>
      </c>
      <c r="R73" s="542">
        <f t="shared" ref="R73:R81" si="63">Q73-N73</f>
        <v>0</v>
      </c>
      <c r="S73" s="542">
        <f>'F2.3'!P26</f>
        <v>5116.0347542656718</v>
      </c>
      <c r="T73" s="542">
        <f>'F2.3'!Q26</f>
        <v>5371.8364919789537</v>
      </c>
      <c r="U73" s="542">
        <f>'F2.3'!R26</f>
        <v>5640.4283165779025</v>
      </c>
      <c r="V73" s="542">
        <f>'F2.3'!S26</f>
        <v>5922.449732406797</v>
      </c>
      <c r="W73" s="542">
        <f>'F2.3'!T26</f>
        <v>6218.5722190271372</v>
      </c>
      <c r="X73" s="507"/>
    </row>
    <row r="74" spans="2:24" s="415" customFormat="1" ht="15.5">
      <c r="B74" s="1075" t="s">
        <v>416</v>
      </c>
      <c r="C74" s="1076" t="s">
        <v>715</v>
      </c>
      <c r="D74" s="1077" t="s">
        <v>117</v>
      </c>
      <c r="E74" s="645">
        <v>17067.947529199289</v>
      </c>
      <c r="F74" s="543">
        <f>'F2.3'!$E$40</f>
        <v>15894.943147050217</v>
      </c>
      <c r="G74" s="543">
        <f>'F2.3'!$F$40</f>
        <v>15894.943147050217</v>
      </c>
      <c r="H74" s="542">
        <f>G74-F74</f>
        <v>0</v>
      </c>
      <c r="I74" s="645"/>
      <c r="J74" s="543">
        <f>'F2.3'!$H$40</f>
        <v>12036.947163295959</v>
      </c>
      <c r="K74" s="543">
        <f>'F2.3'!$I$40</f>
        <v>12036.947163295959</v>
      </c>
      <c r="L74" s="542">
        <f t="shared" si="62"/>
        <v>0</v>
      </c>
      <c r="M74" s="645"/>
      <c r="N74" s="543">
        <f>'F2.3'!$K$40</f>
        <v>11760.096613443216</v>
      </c>
      <c r="O74" s="543">
        <f>'F2.3'!$L$40</f>
        <v>11410.273985517762</v>
      </c>
      <c r="P74" s="543">
        <f>'F2.3'!$M$40</f>
        <v>12036.947163295959</v>
      </c>
      <c r="Q74" s="542">
        <f>SUMPRODUCT(O74:P74,O95:P95)/SUM(O95:P95)</f>
        <v>11760.096613443216</v>
      </c>
      <c r="R74" s="542">
        <f t="shared" si="63"/>
        <v>0</v>
      </c>
      <c r="S74" s="542">
        <f>'F2.3'!P40</f>
        <v>12301.892094916149</v>
      </c>
      <c r="T74" s="542">
        <f>'F2.3'!Q40</f>
        <v>12916.986699661957</v>
      </c>
      <c r="U74" s="542">
        <f>'F2.3'!R40</f>
        <v>13562.836034645057</v>
      </c>
      <c r="V74" s="542">
        <f>'F2.3'!S40</f>
        <v>14240.977836377309</v>
      </c>
      <c r="W74" s="542">
        <f>'F2.3'!T40</f>
        <v>14953.026728196175</v>
      </c>
      <c r="X74" s="507"/>
    </row>
    <row r="75" spans="2:24" s="415" customFormat="1" ht="15.5">
      <c r="B75" s="1075" t="s">
        <v>417</v>
      </c>
      <c r="C75" s="1076" t="s">
        <v>822</v>
      </c>
      <c r="D75" s="1077" t="s">
        <v>117</v>
      </c>
      <c r="E75" s="645">
        <v>5278.3751172815801</v>
      </c>
      <c r="F75" s="543">
        <f>'F2.3'!$E$54</f>
        <v>4377.2008947498016</v>
      </c>
      <c r="G75" s="543">
        <f>'F2.3'!$F$54</f>
        <v>4377.2008947498016</v>
      </c>
      <c r="H75" s="542">
        <f t="shared" si="61"/>
        <v>0</v>
      </c>
      <c r="I75" s="645"/>
      <c r="J75" s="543">
        <f>'F2.3'!$H$54</f>
        <v>4523.2362554640786</v>
      </c>
      <c r="K75" s="543">
        <f>'F2.3'!$I$54</f>
        <v>4523.2362554640786</v>
      </c>
      <c r="L75" s="542">
        <f t="shared" si="62"/>
        <v>0</v>
      </c>
      <c r="M75" s="645"/>
      <c r="N75" s="543">
        <f>'F2.3'!$K$54</f>
        <v>4523.2362554640786</v>
      </c>
      <c r="O75" s="543">
        <f>'F2.3'!$L$54</f>
        <v>0</v>
      </c>
      <c r="P75" s="543">
        <f>'F2.3'!$M$54</f>
        <v>4523.2362554640786</v>
      </c>
      <c r="Q75" s="542">
        <f>SUMPRODUCT(O75:P75,O96:P96)/SUM(O96:P96)</f>
        <v>4523.2362554640786</v>
      </c>
      <c r="R75" s="542">
        <f t="shared" si="63"/>
        <v>0</v>
      </c>
      <c r="S75" s="542">
        <f>'F2.3'!P54</f>
        <v>4813.7197153556799</v>
      </c>
      <c r="T75" s="542">
        <f>'F2.3'!Q54</f>
        <v>5054.4057011234636</v>
      </c>
      <c r="U75" s="542">
        <f>'F2.3'!R54</f>
        <v>5307.1259861796379</v>
      </c>
      <c r="V75" s="542">
        <f>'F2.3'!S54</f>
        <v>5572.4822854886197</v>
      </c>
      <c r="W75" s="542">
        <f>'F2.3'!T54</f>
        <v>5851.1063997630508</v>
      </c>
      <c r="X75" s="507"/>
    </row>
    <row r="76" spans="2:24" s="415" customFormat="1" ht="15.5">
      <c r="B76" s="1075" t="s">
        <v>719</v>
      </c>
      <c r="C76" s="1076" t="s">
        <v>1414</v>
      </c>
      <c r="D76" s="1077" t="s">
        <v>117</v>
      </c>
      <c r="E76" s="645"/>
      <c r="F76" s="543"/>
      <c r="G76" s="543"/>
      <c r="H76" s="542"/>
      <c r="I76" s="645"/>
      <c r="J76" s="543"/>
      <c r="K76" s="543"/>
      <c r="L76" s="542"/>
      <c r="M76" s="645"/>
      <c r="N76" s="543"/>
      <c r="O76" s="543"/>
      <c r="P76" s="543"/>
      <c r="Q76" s="542"/>
      <c r="R76" s="542"/>
      <c r="S76" s="1068">
        <f>'F2.3'!P68</f>
        <v>0</v>
      </c>
      <c r="T76" s="1068">
        <f>'F2.3'!Q68</f>
        <v>0</v>
      </c>
      <c r="U76" s="1068">
        <f>'F2.3'!R68</f>
        <v>0</v>
      </c>
      <c r="V76" s="1068">
        <f>'F2.3'!S68</f>
        <v>0</v>
      </c>
      <c r="W76" s="1068">
        <f>'F2.3'!T68</f>
        <v>0</v>
      </c>
      <c r="X76" s="507"/>
    </row>
    <row r="77" spans="2:24" s="415" customFormat="1" ht="15.5">
      <c r="B77" s="1075" t="s">
        <v>831</v>
      </c>
      <c r="C77" s="1076" t="s">
        <v>1415</v>
      </c>
      <c r="D77" s="1077" t="s">
        <v>117</v>
      </c>
      <c r="E77" s="645"/>
      <c r="F77" s="543"/>
      <c r="G77" s="543"/>
      <c r="H77" s="542"/>
      <c r="I77" s="645"/>
      <c r="J77" s="543"/>
      <c r="K77" s="543"/>
      <c r="L77" s="542"/>
      <c r="M77" s="645"/>
      <c r="N77" s="543"/>
      <c r="O77" s="543"/>
      <c r="P77" s="543"/>
      <c r="Q77" s="542"/>
      <c r="R77" s="542"/>
      <c r="S77" s="1068">
        <f>'F2.3'!P82</f>
        <v>0</v>
      </c>
      <c r="T77" s="1068">
        <f>'F2.3'!Q82</f>
        <v>0</v>
      </c>
      <c r="U77" s="1068">
        <f>'F2.3'!R82</f>
        <v>0</v>
      </c>
      <c r="V77" s="1068">
        <f>'F2.3'!S82</f>
        <v>0</v>
      </c>
      <c r="W77" s="1068">
        <f>'F2.3'!T82</f>
        <v>0</v>
      </c>
      <c r="X77" s="507"/>
    </row>
    <row r="78" spans="2:24" s="415" customFormat="1" ht="15.5">
      <c r="B78" s="1075" t="s">
        <v>832</v>
      </c>
      <c r="C78" s="1076" t="s">
        <v>716</v>
      </c>
      <c r="D78" s="1077" t="s">
        <v>117</v>
      </c>
      <c r="E78" s="658">
        <v>46965.351696732629</v>
      </c>
      <c r="F78" s="543">
        <f>'F2.3'!$E$112</f>
        <v>53549.468549999998</v>
      </c>
      <c r="G78" s="543">
        <f>'F2.3'!$F$112</f>
        <v>53549.468549999998</v>
      </c>
      <c r="H78" s="542">
        <f t="shared" si="61"/>
        <v>0</v>
      </c>
      <c r="I78" s="658"/>
      <c r="J78" s="543">
        <f>'F2.3'!$H$112</f>
        <v>52289.303570019722</v>
      </c>
      <c r="K78" s="543">
        <f>'F2.3'!$I$112</f>
        <v>52289.303570019722</v>
      </c>
      <c r="L78" s="542">
        <f t="shared" si="62"/>
        <v>0</v>
      </c>
      <c r="M78" s="658"/>
      <c r="N78" s="543">
        <f>'F2.3'!$K$112</f>
        <v>54379.939708436446</v>
      </c>
      <c r="O78" s="543">
        <f>'F2.3'!$L$112</f>
        <v>56289.213933405626</v>
      </c>
      <c r="P78" s="543">
        <f>'F2.3'!$M$112</f>
        <v>52289.303570019722</v>
      </c>
      <c r="Q78" s="542">
        <f>SUMPRODUCT(O78:P78,O99:P99)/SUM(O99:P99)</f>
        <v>54379.939708436446</v>
      </c>
      <c r="R78" s="542">
        <f t="shared" si="63"/>
        <v>0</v>
      </c>
      <c r="S78" s="542">
        <f>'F2.3'!P112</f>
        <v>54675.093210885832</v>
      </c>
      <c r="T78" s="542">
        <f>'F2.3'!Q112</f>
        <v>57408.847871430124</v>
      </c>
      <c r="U78" s="542">
        <f>'F2.3'!R112</f>
        <v>60279.290265001633</v>
      </c>
      <c r="V78" s="542">
        <f>'F2.3'!S112</f>
        <v>63293.254778251714</v>
      </c>
      <c r="W78" s="542">
        <f>'F2.3'!T112</f>
        <v>66457.9175171643</v>
      </c>
      <c r="X78" s="507"/>
    </row>
    <row r="79" spans="2:24" s="415" customFormat="1" ht="15.5">
      <c r="B79" s="1075" t="s">
        <v>833</v>
      </c>
      <c r="C79" s="1076" t="s">
        <v>717</v>
      </c>
      <c r="D79" s="1077" t="s">
        <v>117</v>
      </c>
      <c r="E79" s="658">
        <v>77339.47727193014</v>
      </c>
      <c r="F79" s="543">
        <f>'F2.3'!$E$97</f>
        <v>78091.920370000007</v>
      </c>
      <c r="G79" s="543">
        <f>'F2.3'!$F$97</f>
        <v>78091.920370000007</v>
      </c>
      <c r="H79" s="549">
        <f t="shared" si="61"/>
        <v>0</v>
      </c>
      <c r="I79" s="658"/>
      <c r="J79" s="543">
        <f>'F2.3'!$H$97</f>
        <v>82076.902700827544</v>
      </c>
      <c r="K79" s="543">
        <f>'F2.3'!$I$97</f>
        <v>82076.902700827544</v>
      </c>
      <c r="L79" s="542">
        <f t="shared" si="62"/>
        <v>0</v>
      </c>
      <c r="M79" s="658"/>
      <c r="N79" s="543">
        <f>'F2.3'!$K$97</f>
        <v>79967.292241525007</v>
      </c>
      <c r="O79" s="543">
        <f>'F2.3'!$L$97</f>
        <v>78898.938593526356</v>
      </c>
      <c r="P79" s="543">
        <f>'F2.3'!$M$97</f>
        <v>82076.902700827544</v>
      </c>
      <c r="Q79" s="542">
        <f>SUMPRODUCT(O79:P79,O100:P100)/SUM(O100:P100)</f>
        <v>79967.292241525007</v>
      </c>
      <c r="R79" s="542">
        <f t="shared" si="63"/>
        <v>0</v>
      </c>
      <c r="S79" s="542">
        <f>'F2.3'!P97</f>
        <v>86180.747835868926</v>
      </c>
      <c r="T79" s="542">
        <f>'F2.3'!Q97</f>
        <v>90489.785227662374</v>
      </c>
      <c r="U79" s="542">
        <f>'F2.3'!R97</f>
        <v>95014.274489045492</v>
      </c>
      <c r="V79" s="542">
        <f>'F2.3'!S97</f>
        <v>99764.988213497767</v>
      </c>
      <c r="W79" s="542">
        <f>'F2.3'!T97</f>
        <v>104753.23762417266</v>
      </c>
      <c r="X79" s="507"/>
    </row>
    <row r="80" spans="2:24" s="415" customFormat="1" ht="15.5">
      <c r="B80" s="1075" t="s">
        <v>1417</v>
      </c>
      <c r="C80" s="1076" t="s">
        <v>823</v>
      </c>
      <c r="D80" s="1077" t="s">
        <v>117</v>
      </c>
      <c r="E80" s="645"/>
      <c r="F80" s="543">
        <f>'F2.3'!$E$125</f>
        <v>0</v>
      </c>
      <c r="G80" s="543">
        <f>'F2.3'!$F$125</f>
        <v>0</v>
      </c>
      <c r="H80" s="549">
        <f t="shared" si="61"/>
        <v>0</v>
      </c>
      <c r="I80" s="645"/>
      <c r="J80" s="543">
        <f>'F2.3'!$H$125</f>
        <v>0</v>
      </c>
      <c r="K80" s="543">
        <f>'F2.3'!$I$125</f>
        <v>0</v>
      </c>
      <c r="L80" s="542">
        <f t="shared" si="62"/>
        <v>0</v>
      </c>
      <c r="M80" s="645"/>
      <c r="N80" s="543">
        <f>'F2.3'!$K$125</f>
        <v>0</v>
      </c>
      <c r="O80" s="543">
        <f>'F2.3'!$L$125</f>
        <v>0</v>
      </c>
      <c r="P80" s="543">
        <f>'F2.3'!$M$125</f>
        <v>0</v>
      </c>
      <c r="Q80" s="542">
        <f>IFERROR(SUMPRODUCT(O80:P80,O101:P101)/SUM(O101:P101),0)</f>
        <v>0</v>
      </c>
      <c r="R80" s="542">
        <f t="shared" si="63"/>
        <v>0</v>
      </c>
      <c r="S80" s="542">
        <f>'F2.3'!P125</f>
        <v>0</v>
      </c>
      <c r="T80" s="542">
        <f>'F2.3'!Q125</f>
        <v>0</v>
      </c>
      <c r="U80" s="542">
        <f>'F2.3'!R125</f>
        <v>0</v>
      </c>
      <c r="V80" s="542">
        <f>'F2.3'!S125</f>
        <v>0</v>
      </c>
      <c r="W80" s="542">
        <f>'F2.3'!T125</f>
        <v>0</v>
      </c>
      <c r="X80" s="507"/>
    </row>
    <row r="81" spans="2:24" s="415" customFormat="1" ht="15.5">
      <c r="B81" s="1075" t="s">
        <v>1418</v>
      </c>
      <c r="C81" s="1076" t="s">
        <v>824</v>
      </c>
      <c r="D81" s="1077" t="s">
        <v>117</v>
      </c>
      <c r="E81" s="645"/>
      <c r="F81" s="543">
        <f>'F2.3'!$E$138</f>
        <v>0</v>
      </c>
      <c r="G81" s="543">
        <f>'F2.3'!$F$138</f>
        <v>0</v>
      </c>
      <c r="H81" s="549">
        <f t="shared" si="61"/>
        <v>0</v>
      </c>
      <c r="I81" s="645"/>
      <c r="J81" s="543">
        <f>'F2.3'!$H$138</f>
        <v>0</v>
      </c>
      <c r="K81" s="543">
        <f>'F2.3'!$I$138</f>
        <v>0</v>
      </c>
      <c r="L81" s="542">
        <f t="shared" si="62"/>
        <v>0</v>
      </c>
      <c r="M81" s="645"/>
      <c r="N81" s="543">
        <f>'F2.3'!$K$138</f>
        <v>0</v>
      </c>
      <c r="O81" s="543">
        <f>'F2.3'!$L$138</f>
        <v>0</v>
      </c>
      <c r="P81" s="543">
        <f>'F2.3'!$M$138</f>
        <v>0</v>
      </c>
      <c r="Q81" s="542">
        <f>IFERROR(SUMPRODUCT(O81:P81,O102:P102)/SUM(O102:P102),0)</f>
        <v>0</v>
      </c>
      <c r="R81" s="542">
        <f t="shared" si="63"/>
        <v>0</v>
      </c>
      <c r="S81" s="542">
        <f>'F2.3'!P138</f>
        <v>0</v>
      </c>
      <c r="T81" s="542">
        <f>'F2.3'!Q138</f>
        <v>0</v>
      </c>
      <c r="U81" s="542">
        <f>'F2.3'!R138</f>
        <v>0</v>
      </c>
      <c r="V81" s="542">
        <f>'F2.3'!S138</f>
        <v>0</v>
      </c>
      <c r="W81" s="542">
        <f>'F2.3'!T138</f>
        <v>0</v>
      </c>
      <c r="X81" s="507"/>
    </row>
    <row r="82" spans="2:24" s="415" customFormat="1" ht="15.5">
      <c r="B82" s="459">
        <v>3</v>
      </c>
      <c r="C82" s="486" t="s">
        <v>120</v>
      </c>
      <c r="D82" s="460"/>
      <c r="E82" s="650"/>
      <c r="F82" s="549"/>
      <c r="G82" s="549"/>
      <c r="H82" s="549"/>
      <c r="I82" s="650"/>
      <c r="J82" s="549"/>
      <c r="K82" s="549"/>
      <c r="L82" s="549"/>
      <c r="M82" s="650"/>
      <c r="N82" s="542"/>
      <c r="O82" s="542"/>
      <c r="P82" s="542"/>
      <c r="Q82" s="542"/>
      <c r="R82" s="542"/>
      <c r="S82" s="542"/>
      <c r="T82" s="542"/>
      <c r="U82" s="542"/>
      <c r="V82" s="542"/>
      <c r="W82" s="542"/>
      <c r="X82" s="507"/>
    </row>
    <row r="83" spans="2:24" s="415" customFormat="1" ht="15.5">
      <c r="B83" s="459">
        <v>3.1</v>
      </c>
      <c r="C83" s="458" t="s">
        <v>121</v>
      </c>
      <c r="D83" s="460"/>
      <c r="E83" s="650"/>
      <c r="F83" s="549"/>
      <c r="G83" s="549"/>
      <c r="H83" s="549"/>
      <c r="I83" s="650"/>
      <c r="J83" s="549"/>
      <c r="K83" s="549"/>
      <c r="L83" s="549"/>
      <c r="M83" s="650"/>
      <c r="N83" s="542"/>
      <c r="O83" s="542"/>
      <c r="P83" s="542"/>
      <c r="Q83" s="542"/>
      <c r="R83" s="542"/>
      <c r="S83" s="542"/>
      <c r="T83" s="542"/>
      <c r="U83" s="542"/>
      <c r="V83" s="542"/>
      <c r="W83" s="542"/>
      <c r="X83" s="507"/>
    </row>
    <row r="84" spans="2:24" s="415" customFormat="1" ht="15.5">
      <c r="B84" s="1075" t="s">
        <v>122</v>
      </c>
      <c r="C84" s="1076" t="s">
        <v>714</v>
      </c>
      <c r="D84" s="1077" t="s">
        <v>862</v>
      </c>
      <c r="E84" s="659"/>
      <c r="F84" s="820">
        <f t="shared" ref="F84:G86" si="64">F94/F$23/1000</f>
        <v>0.45292642558607182</v>
      </c>
      <c r="G84" s="820">
        <f t="shared" si="64"/>
        <v>0.56736558111868785</v>
      </c>
      <c r="H84" s="543">
        <f>G84-F84</f>
        <v>0.11443915553261602</v>
      </c>
      <c r="I84" s="659"/>
      <c r="J84" s="543">
        <f t="shared" ref="J84:K86" si="65">J94/J$23/1000</f>
        <v>0.63367150946556916</v>
      </c>
      <c r="K84" s="543">
        <f t="shared" si="65"/>
        <v>0.6928527052481287</v>
      </c>
      <c r="L84" s="543">
        <f>K84-J84</f>
        <v>5.9181195782559537E-2</v>
      </c>
      <c r="M84" s="659"/>
      <c r="N84" s="543">
        <f t="shared" ref="N84:Q86" si="66">N94/N$23/1000</f>
        <v>0.67355747649785769</v>
      </c>
      <c r="O84" s="543">
        <f t="shared" si="66"/>
        <v>0.77059269484733506</v>
      </c>
      <c r="P84" s="543">
        <f t="shared" si="66"/>
        <v>0.65699156865983099</v>
      </c>
      <c r="Q84" s="543">
        <f t="shared" si="66"/>
        <v>0.70726339084488399</v>
      </c>
      <c r="R84" s="543">
        <f t="shared" ref="R84:R92" si="67">Q84-N84</f>
        <v>3.37059143470263E-2</v>
      </c>
      <c r="S84" s="543">
        <f t="shared" ref="S84:W84" si="68">S94/S$23/1000</f>
        <v>0.54030499026503742</v>
      </c>
      <c r="T84" s="543">
        <f t="shared" si="68"/>
        <v>0.54030940619513035</v>
      </c>
      <c r="U84" s="543">
        <f t="shared" si="68"/>
        <v>0.54030940619513035</v>
      </c>
      <c r="V84" s="543">
        <f t="shared" si="68"/>
        <v>0.54031342053011622</v>
      </c>
      <c r="W84" s="543">
        <f t="shared" si="68"/>
        <v>0.54031342053011622</v>
      </c>
      <c r="X84" s="507"/>
    </row>
    <row r="85" spans="2:24" s="415" customFormat="1" ht="15.5">
      <c r="B85" s="1075" t="s">
        <v>123</v>
      </c>
      <c r="C85" s="1076" t="s">
        <v>715</v>
      </c>
      <c r="D85" s="1077" t="s">
        <v>862</v>
      </c>
      <c r="E85" s="659"/>
      <c r="F85" s="820">
        <f t="shared" si="64"/>
        <v>7.9573264613319192E-2</v>
      </c>
      <c r="G85" s="820">
        <f t="shared" si="64"/>
        <v>9.9678731397551082E-2</v>
      </c>
      <c r="H85" s="543">
        <f t="shared" ref="H85:H92" si="69">G85-F85</f>
        <v>2.010546678423189E-2</v>
      </c>
      <c r="I85" s="659"/>
      <c r="J85" s="543">
        <f t="shared" si="65"/>
        <v>3.3373806623748274E-2</v>
      </c>
      <c r="K85" s="543">
        <f t="shared" si="65"/>
        <v>3.49341649394476E-2</v>
      </c>
      <c r="L85" s="543">
        <f t="shared" ref="L85:L92" si="70">K85-J85</f>
        <v>1.5603583156993256E-3</v>
      </c>
      <c r="M85" s="659"/>
      <c r="N85" s="543">
        <f t="shared" si="66"/>
        <v>3.0163257100334198E-2</v>
      </c>
      <c r="O85" s="543">
        <f t="shared" si="66"/>
        <v>3.1174542160120614E-2</v>
      </c>
      <c r="P85" s="543">
        <f t="shared" si="66"/>
        <v>3.1269612808590322E-2</v>
      </c>
      <c r="Q85" s="543">
        <f t="shared" si="66"/>
        <v>3.1227541264977295E-2</v>
      </c>
      <c r="R85" s="543">
        <f t="shared" si="67"/>
        <v>1.0642841646430964E-3</v>
      </c>
      <c r="S85" s="543">
        <f t="shared" ref="S85:W85" si="71">S95/S$23/1000</f>
        <v>6.0438588940036758E-2</v>
      </c>
      <c r="T85" s="543">
        <f t="shared" si="71"/>
        <v>6.0437430330348853E-2</v>
      </c>
      <c r="U85" s="543">
        <f t="shared" si="71"/>
        <v>6.0437430330348853E-2</v>
      </c>
      <c r="V85" s="543">
        <f t="shared" si="71"/>
        <v>6.0436377087361021E-2</v>
      </c>
      <c r="W85" s="543">
        <f t="shared" si="71"/>
        <v>6.0436377087361021E-2</v>
      </c>
      <c r="X85" s="507"/>
    </row>
    <row r="86" spans="2:24" s="415" customFormat="1" ht="15.5">
      <c r="B86" s="1075" t="s">
        <v>124</v>
      </c>
      <c r="C86" s="1076" t="s">
        <v>822</v>
      </c>
      <c r="D86" s="1077" t="s">
        <v>862</v>
      </c>
      <c r="E86" s="659"/>
      <c r="F86" s="820">
        <f t="shared" si="64"/>
        <v>0.10936854286033054</v>
      </c>
      <c r="G86" s="820">
        <f t="shared" si="64"/>
        <v>0.13700226652874664</v>
      </c>
      <c r="H86" s="543">
        <f t="shared" si="69"/>
        <v>2.7633723668416099E-2</v>
      </c>
      <c r="I86" s="659"/>
      <c r="J86" s="543">
        <f t="shared" si="65"/>
        <v>5.0820400512050987E-2</v>
      </c>
      <c r="K86" s="543">
        <f t="shared" si="65"/>
        <v>5.5566727319434774E-2</v>
      </c>
      <c r="L86" s="543">
        <f t="shared" si="70"/>
        <v>4.7463268073837869E-3</v>
      </c>
      <c r="M86" s="659"/>
      <c r="N86" s="543">
        <f t="shared" si="66"/>
        <v>2.7737431918888906E-2</v>
      </c>
      <c r="O86" s="543">
        <f t="shared" si="66"/>
        <v>0</v>
      </c>
      <c r="P86" s="543">
        <f t="shared" si="66"/>
        <v>5.1102495056608382E-2</v>
      </c>
      <c r="Q86" s="543">
        <f t="shared" si="66"/>
        <v>2.8488145789875907E-2</v>
      </c>
      <c r="R86" s="543">
        <f t="shared" si="67"/>
        <v>7.5071387098700135E-4</v>
      </c>
      <c r="S86" s="543">
        <f t="shared" ref="S86:W86" si="72">S96/S$23/1000</f>
        <v>0.12215310364658541</v>
      </c>
      <c r="T86" s="543">
        <f t="shared" si="72"/>
        <v>0.12215076196767174</v>
      </c>
      <c r="U86" s="543">
        <f t="shared" si="72"/>
        <v>0.12215076196767174</v>
      </c>
      <c r="V86" s="543">
        <f t="shared" si="72"/>
        <v>0.12214863324656633</v>
      </c>
      <c r="W86" s="543">
        <f t="shared" si="72"/>
        <v>0.12214863324656633</v>
      </c>
      <c r="X86" s="507"/>
    </row>
    <row r="87" spans="2:24" s="415" customFormat="1" ht="15.5">
      <c r="B87" s="1075" t="s">
        <v>720</v>
      </c>
      <c r="C87" s="1076" t="s">
        <v>1414</v>
      </c>
      <c r="D87" s="1077" t="s">
        <v>862</v>
      </c>
      <c r="E87" s="659"/>
      <c r="F87" s="820"/>
      <c r="G87" s="820"/>
      <c r="H87" s="543"/>
      <c r="I87" s="659"/>
      <c r="J87" s="543"/>
      <c r="K87" s="543"/>
      <c r="L87" s="543"/>
      <c r="M87" s="659"/>
      <c r="N87" s="543"/>
      <c r="O87" s="543"/>
      <c r="P87" s="543"/>
      <c r="Q87" s="543"/>
      <c r="R87" s="543"/>
      <c r="S87" s="543">
        <f t="shared" ref="S87:W87" si="73">S97/S$23/1000</f>
        <v>0</v>
      </c>
      <c r="T87" s="543">
        <f t="shared" si="73"/>
        <v>0</v>
      </c>
      <c r="U87" s="543">
        <f t="shared" si="73"/>
        <v>0</v>
      </c>
      <c r="V87" s="543">
        <f t="shared" si="73"/>
        <v>0</v>
      </c>
      <c r="W87" s="543">
        <f t="shared" si="73"/>
        <v>0</v>
      </c>
      <c r="X87" s="507"/>
    </row>
    <row r="88" spans="2:24" s="415" customFormat="1" ht="15.5">
      <c r="B88" s="1075" t="s">
        <v>834</v>
      </c>
      <c r="C88" s="1076" t="s">
        <v>1415</v>
      </c>
      <c r="D88" s="1077" t="s">
        <v>862</v>
      </c>
      <c r="E88" s="659"/>
      <c r="F88" s="820"/>
      <c r="G88" s="820"/>
      <c r="H88" s="543"/>
      <c r="I88" s="659"/>
      <c r="J88" s="543"/>
      <c r="K88" s="543"/>
      <c r="L88" s="543"/>
      <c r="M88" s="659"/>
      <c r="N88" s="543"/>
      <c r="O88" s="543"/>
      <c r="P88" s="543"/>
      <c r="Q88" s="543"/>
      <c r="R88" s="543"/>
      <c r="S88" s="543">
        <f t="shared" ref="S88:W88" si="74">S98/S$23/1000</f>
        <v>0</v>
      </c>
      <c r="T88" s="543">
        <f t="shared" si="74"/>
        <v>0</v>
      </c>
      <c r="U88" s="543">
        <f t="shared" si="74"/>
        <v>0</v>
      </c>
      <c r="V88" s="543">
        <f t="shared" si="74"/>
        <v>0</v>
      </c>
      <c r="W88" s="543">
        <f t="shared" si="74"/>
        <v>0</v>
      </c>
      <c r="X88" s="507"/>
    </row>
    <row r="89" spans="2:24" s="415" customFormat="1" ht="15.5">
      <c r="B89" s="1075" t="s">
        <v>835</v>
      </c>
      <c r="C89" s="1076" t="s">
        <v>716</v>
      </c>
      <c r="D89" s="1077" t="s">
        <v>862</v>
      </c>
      <c r="E89" s="645"/>
      <c r="F89" s="820">
        <f>F$41*G89/(G89+G90+G91+G92)</f>
        <v>0.403276508281949</v>
      </c>
      <c r="G89" s="820">
        <f>G99/G$23</f>
        <v>1.6351852850482633</v>
      </c>
      <c r="H89" s="543">
        <f t="shared" si="69"/>
        <v>1.2319087767663144</v>
      </c>
      <c r="I89" s="645"/>
      <c r="J89" s="761">
        <f>J$41*K89/(K$89+K$90+K$91+K$92)</f>
        <v>0.45536045067780923</v>
      </c>
      <c r="K89" s="543">
        <f>K99/K$23</f>
        <v>0.89309739990959247</v>
      </c>
      <c r="L89" s="543">
        <f t="shared" si="70"/>
        <v>0.43773694923178325</v>
      </c>
      <c r="M89" s="645"/>
      <c r="N89" s="761">
        <f>N$41*Q89/(Q$89+Q$90+Q$91+Q$92)</f>
        <v>0.43890730256468879</v>
      </c>
      <c r="O89" s="543">
        <f>O99/O$23</f>
        <v>0.63999766202107966</v>
      </c>
      <c r="P89" s="543">
        <f>P99/P$23</f>
        <v>0.46396813653853181</v>
      </c>
      <c r="Q89" s="543">
        <f>Q99/Q23</f>
        <v>0.54186635199963273</v>
      </c>
      <c r="R89" s="543">
        <f t="shared" si="67"/>
        <v>0.10295904943494394</v>
      </c>
      <c r="S89" s="543">
        <f>S99/S$23</f>
        <v>0.4536348460846758</v>
      </c>
      <c r="T89" s="543">
        <f t="shared" ref="T89:W89" si="75">T99/T$23</f>
        <v>0.45362614989013084</v>
      </c>
      <c r="U89" s="543">
        <f t="shared" si="75"/>
        <v>0.45362614989013084</v>
      </c>
      <c r="V89" s="543">
        <f t="shared" si="75"/>
        <v>0.45361824454804639</v>
      </c>
      <c r="W89" s="543">
        <f t="shared" si="75"/>
        <v>0.45361824454804639</v>
      </c>
      <c r="X89" s="507"/>
    </row>
    <row r="90" spans="2:24" s="415" customFormat="1" ht="15.5">
      <c r="B90" s="1075" t="s">
        <v>836</v>
      </c>
      <c r="C90" s="1076" t="s">
        <v>717</v>
      </c>
      <c r="D90" s="1077" t="s">
        <v>862</v>
      </c>
      <c r="E90" s="645"/>
      <c r="F90" s="820">
        <f>F$41*G90/(G89+G90+G91+G92)</f>
        <v>9.672349171805103E-2</v>
      </c>
      <c r="G90" s="820">
        <f>G100/G$23</f>
        <v>0.39218954520719851</v>
      </c>
      <c r="H90" s="543">
        <f t="shared" si="69"/>
        <v>0.29546605348914745</v>
      </c>
      <c r="I90" s="645"/>
      <c r="J90" s="761">
        <f>J$41*K90/(K$89+K$90+K$91+K$92)</f>
        <v>4.4639549322190768E-2</v>
      </c>
      <c r="K90" s="543">
        <f>K100/K$23</f>
        <v>8.7551444956278937E-2</v>
      </c>
      <c r="L90" s="543">
        <f t="shared" si="70"/>
        <v>4.2911895634088169E-2</v>
      </c>
      <c r="M90" s="645"/>
      <c r="N90" s="761">
        <f t="shared" ref="N90:N92" si="76">N$41*Q90/(Q$89+Q$90+Q$91+Q$92)</f>
        <v>6.1092697435311261E-2</v>
      </c>
      <c r="O90" s="543">
        <f t="shared" ref="O90:P90" si="77">O100/O$23</f>
        <v>0.11314098872440902</v>
      </c>
      <c r="P90" s="543">
        <f t="shared" si="77"/>
        <v>4.5483371434887863E-2</v>
      </c>
      <c r="Q90" s="543">
        <f>Q100/Q23</f>
        <v>7.5423846674800663E-2</v>
      </c>
      <c r="R90" s="543">
        <f t="shared" si="67"/>
        <v>1.4331149239489402E-2</v>
      </c>
      <c r="S90" s="543">
        <f t="shared" ref="S90:W92" si="78">S100/S$23</f>
        <v>4.4470386165330923E-2</v>
      </c>
      <c r="T90" s="543">
        <f t="shared" si="78"/>
        <v>4.4469533666602216E-2</v>
      </c>
      <c r="U90" s="543">
        <f t="shared" si="78"/>
        <v>4.4469533666602216E-2</v>
      </c>
      <c r="V90" s="543">
        <f t="shared" si="78"/>
        <v>4.4468758696120346E-2</v>
      </c>
      <c r="W90" s="543">
        <f t="shared" si="78"/>
        <v>4.4468758696120346E-2</v>
      </c>
      <c r="X90" s="507"/>
    </row>
    <row r="91" spans="2:24" s="415" customFormat="1" ht="15.5">
      <c r="B91" s="1075" t="s">
        <v>1419</v>
      </c>
      <c r="C91" s="1076" t="s">
        <v>823</v>
      </c>
      <c r="D91" s="1077" t="s">
        <v>862</v>
      </c>
      <c r="E91" s="645"/>
      <c r="F91" s="820">
        <f>F$41*G91/(G91+G92+G93+G94)</f>
        <v>0</v>
      </c>
      <c r="G91" s="820">
        <f>G101/G$23</f>
        <v>0</v>
      </c>
      <c r="H91" s="543">
        <f t="shared" si="69"/>
        <v>0</v>
      </c>
      <c r="I91" s="645"/>
      <c r="J91" s="761">
        <f>J$41*K91/(K$89+K$90+K$91+K$92)</f>
        <v>0</v>
      </c>
      <c r="K91" s="543">
        <f>K101/K$23</f>
        <v>0</v>
      </c>
      <c r="L91" s="543">
        <f t="shared" si="70"/>
        <v>0</v>
      </c>
      <c r="M91" s="645"/>
      <c r="N91" s="761">
        <f t="shared" si="76"/>
        <v>0</v>
      </c>
      <c r="O91" s="543">
        <f t="shared" ref="O91:P91" si="79">O101/O$23</f>
        <v>0</v>
      </c>
      <c r="P91" s="543">
        <f t="shared" si="79"/>
        <v>0</v>
      </c>
      <c r="Q91" s="543">
        <f t="shared" ref="Q91:Q92" si="80">O91+P91</f>
        <v>0</v>
      </c>
      <c r="R91" s="543">
        <f t="shared" si="67"/>
        <v>0</v>
      </c>
      <c r="S91" s="543">
        <f t="shared" si="78"/>
        <v>0</v>
      </c>
      <c r="T91" s="543">
        <f t="shared" si="78"/>
        <v>0</v>
      </c>
      <c r="U91" s="543">
        <f t="shared" si="78"/>
        <v>0</v>
      </c>
      <c r="V91" s="543">
        <f t="shared" si="78"/>
        <v>0</v>
      </c>
      <c r="W91" s="543">
        <f t="shared" si="78"/>
        <v>0</v>
      </c>
      <c r="X91" s="507"/>
    </row>
    <row r="92" spans="2:24" s="415" customFormat="1" ht="15.5">
      <c r="B92" s="1075" t="s">
        <v>1420</v>
      </c>
      <c r="C92" s="1076" t="s">
        <v>824</v>
      </c>
      <c r="D92" s="1077" t="s">
        <v>862</v>
      </c>
      <c r="E92" s="645"/>
      <c r="F92" s="820">
        <f>F$41*G92/(G92+G93+G94+G95)</f>
        <v>0</v>
      </c>
      <c r="G92" s="820">
        <f>G102/G$23</f>
        <v>0</v>
      </c>
      <c r="H92" s="543">
        <f t="shared" si="69"/>
        <v>0</v>
      </c>
      <c r="I92" s="645"/>
      <c r="J92" s="761">
        <f>J$41*K92/(K$89+K$90+K$91+K$92)</f>
        <v>0</v>
      </c>
      <c r="K92" s="543">
        <f>K102/K$23</f>
        <v>0</v>
      </c>
      <c r="L92" s="543">
        <f t="shared" si="70"/>
        <v>0</v>
      </c>
      <c r="M92" s="645"/>
      <c r="N92" s="761">
        <f t="shared" si="76"/>
        <v>0</v>
      </c>
      <c r="O92" s="543">
        <f t="shared" ref="O92:P92" si="81">O102/O$23</f>
        <v>0</v>
      </c>
      <c r="P92" s="543">
        <f t="shared" si="81"/>
        <v>0</v>
      </c>
      <c r="Q92" s="543">
        <f t="shared" si="80"/>
        <v>0</v>
      </c>
      <c r="R92" s="543">
        <f t="shared" si="67"/>
        <v>0</v>
      </c>
      <c r="S92" s="543">
        <f t="shared" si="78"/>
        <v>0</v>
      </c>
      <c r="T92" s="543">
        <f t="shared" si="78"/>
        <v>0</v>
      </c>
      <c r="U92" s="543">
        <f t="shared" si="78"/>
        <v>0</v>
      </c>
      <c r="V92" s="543">
        <f t="shared" si="78"/>
        <v>0</v>
      </c>
      <c r="W92" s="543">
        <f t="shared" si="78"/>
        <v>0</v>
      </c>
      <c r="X92" s="507"/>
    </row>
    <row r="93" spans="2:24" s="415" customFormat="1" ht="15.5">
      <c r="B93" s="459">
        <v>3.2</v>
      </c>
      <c r="C93" s="458" t="s">
        <v>125</v>
      </c>
      <c r="D93" s="460"/>
      <c r="E93" s="651"/>
      <c r="F93" s="550"/>
      <c r="G93" s="550"/>
      <c r="H93" s="550"/>
      <c r="I93" s="651"/>
      <c r="J93" s="550"/>
      <c r="K93" s="550"/>
      <c r="L93" s="550"/>
      <c r="M93" s="651"/>
      <c r="N93" s="543"/>
      <c r="O93" s="543"/>
      <c r="P93" s="543"/>
      <c r="Q93" s="543"/>
      <c r="R93" s="543"/>
      <c r="S93" s="543"/>
      <c r="T93" s="543"/>
      <c r="U93" s="543"/>
      <c r="V93" s="543"/>
      <c r="W93" s="543"/>
      <c r="X93" s="507"/>
    </row>
    <row r="94" spans="2:24" s="415" customFormat="1" ht="15.5">
      <c r="B94" s="1075" t="s">
        <v>126</v>
      </c>
      <c r="C94" s="1076" t="s">
        <v>714</v>
      </c>
      <c r="D94" s="1077" t="s">
        <v>863</v>
      </c>
      <c r="E94" s="645"/>
      <c r="F94" s="820">
        <f>IFERROR(F104/F$68*1000,0)</f>
        <v>2771678.7321097115</v>
      </c>
      <c r="G94" s="820">
        <v>3471988</v>
      </c>
      <c r="H94" s="543">
        <f t="shared" ref="H94:H112" si="82">G94-F94</f>
        <v>700309.26789028849</v>
      </c>
      <c r="I94" s="645"/>
      <c r="J94" s="543">
        <f>IFERROR(J104/J$68*1000,0)</f>
        <v>4156374.9965290143</v>
      </c>
      <c r="K94" s="820">
        <v>4544556</v>
      </c>
      <c r="L94" s="543">
        <f t="shared" ref="L94:L102" si="83">K94-J94</f>
        <v>388181.00347098568</v>
      </c>
      <c r="M94" s="645"/>
      <c r="N94" s="543">
        <f>IFERROR(N104/N$68*1000,0)</f>
        <v>4426913.0528358081</v>
      </c>
      <c r="O94" s="820">
        <v>2241265</v>
      </c>
      <c r="P94" s="820">
        <v>2407178</v>
      </c>
      <c r="Q94" s="820">
        <f>O94+P94</f>
        <v>4648443</v>
      </c>
      <c r="R94" s="543">
        <f>Q94-N94</f>
        <v>221529.94716419186</v>
      </c>
      <c r="S94" s="820">
        <v>4022880.9090909087</v>
      </c>
      <c r="T94" s="820">
        <v>4022990.9090909096</v>
      </c>
      <c r="U94" s="820">
        <v>4022990.9090909096</v>
      </c>
      <c r="V94" s="820">
        <v>4023090.9090909096</v>
      </c>
      <c r="W94" s="820">
        <v>4023090.9090909096</v>
      </c>
      <c r="X94" s="507"/>
    </row>
    <row r="95" spans="2:24" s="415" customFormat="1" ht="15.5">
      <c r="B95" s="1075" t="s">
        <v>127</v>
      </c>
      <c r="C95" s="1076" t="s">
        <v>715</v>
      </c>
      <c r="D95" s="1077" t="s">
        <v>863</v>
      </c>
      <c r="E95" s="645"/>
      <c r="F95" s="820">
        <f>IFERROR(F105/F$68*1000,0)</f>
        <v>486947.79706856085</v>
      </c>
      <c r="G95" s="820">
        <v>609983</v>
      </c>
      <c r="H95" s="543">
        <f t="shared" si="82"/>
        <v>123035.20293143915</v>
      </c>
      <c r="I95" s="645"/>
      <c r="J95" s="543">
        <f>IFERROR(J105/J$69*1000,0)</f>
        <v>218905.30553745659</v>
      </c>
      <c r="K95" s="820">
        <v>229140</v>
      </c>
      <c r="L95" s="543">
        <f t="shared" si="83"/>
        <v>10234.694462543412</v>
      </c>
      <c r="M95" s="645"/>
      <c r="N95" s="543">
        <f>IFERROR(N105/N$69*1000,0)</f>
        <v>198246.06100105631</v>
      </c>
      <c r="O95" s="820">
        <v>90671</v>
      </c>
      <c r="P95" s="820">
        <v>114570</v>
      </c>
      <c r="Q95" s="820">
        <f>O95+P95</f>
        <v>205241</v>
      </c>
      <c r="R95" s="543">
        <f t="shared" ref="R95:R102" si="84">Q95-N95</f>
        <v>6994.9389989436895</v>
      </c>
      <c r="S95" s="820">
        <v>450000</v>
      </c>
      <c r="T95" s="820">
        <v>450000</v>
      </c>
      <c r="U95" s="820">
        <v>450000</v>
      </c>
      <c r="V95" s="820">
        <v>450000</v>
      </c>
      <c r="W95" s="820">
        <v>450000</v>
      </c>
      <c r="X95" s="507"/>
    </row>
    <row r="96" spans="2:24" s="415" customFormat="1" ht="15.5">
      <c r="B96" s="1075" t="s">
        <v>128</v>
      </c>
      <c r="C96" s="1076" t="s">
        <v>822</v>
      </c>
      <c r="D96" s="1077" t="s">
        <v>863</v>
      </c>
      <c r="E96" s="645"/>
      <c r="F96" s="820">
        <f>IFERROR(F106/F$68*1000,0)</f>
        <v>669279.70434836426</v>
      </c>
      <c r="G96" s="820">
        <v>838384</v>
      </c>
      <c r="H96" s="543">
        <f t="shared" si="82"/>
        <v>169104.29565163574</v>
      </c>
      <c r="I96" s="645"/>
      <c r="J96" s="543">
        <f>IFERROR(J106/J$68*1000,0)</f>
        <v>333340.91693664232</v>
      </c>
      <c r="K96" s="820">
        <v>364473</v>
      </c>
      <c r="L96" s="543">
        <f t="shared" si="83"/>
        <v>31132.083063357684</v>
      </c>
      <c r="M96" s="645"/>
      <c r="N96" s="543">
        <f>IFERROR(N106/N$68*1000,0)</f>
        <v>182302.48152291786</v>
      </c>
      <c r="O96" s="820">
        <v>0</v>
      </c>
      <c r="P96" s="820">
        <v>187236.5</v>
      </c>
      <c r="Q96" s="820">
        <f t="shared" ref="Q96:Q102" si="85">O96+P96</f>
        <v>187236.5</v>
      </c>
      <c r="R96" s="543">
        <f t="shared" si="84"/>
        <v>4934.0184770821361</v>
      </c>
      <c r="S96" s="820">
        <v>909500</v>
      </c>
      <c r="T96" s="820">
        <v>909500</v>
      </c>
      <c r="U96" s="820">
        <v>909500</v>
      </c>
      <c r="V96" s="820">
        <v>909500</v>
      </c>
      <c r="W96" s="820">
        <v>909500</v>
      </c>
      <c r="X96" s="507"/>
    </row>
    <row r="97" spans="2:27" s="415" customFormat="1" ht="15.5">
      <c r="B97" s="1075" t="s">
        <v>721</v>
      </c>
      <c r="C97" s="1076" t="s">
        <v>1414</v>
      </c>
      <c r="D97" s="1077" t="s">
        <v>863</v>
      </c>
      <c r="E97" s="645"/>
      <c r="F97" s="820"/>
      <c r="G97" s="820"/>
      <c r="H97" s="543"/>
      <c r="I97" s="645"/>
      <c r="J97" s="543"/>
      <c r="K97" s="820"/>
      <c r="L97" s="543"/>
      <c r="M97" s="645"/>
      <c r="N97" s="543"/>
      <c r="O97" s="820"/>
      <c r="P97" s="820"/>
      <c r="Q97" s="820"/>
      <c r="R97" s="543"/>
      <c r="S97" s="820">
        <v>0</v>
      </c>
      <c r="T97" s="820">
        <v>0</v>
      </c>
      <c r="U97" s="820">
        <v>0</v>
      </c>
      <c r="V97" s="820">
        <v>0</v>
      </c>
      <c r="W97" s="820">
        <v>0</v>
      </c>
      <c r="X97" s="507"/>
    </row>
    <row r="98" spans="2:27" s="415" customFormat="1" ht="15.5">
      <c r="B98" s="1075" t="s">
        <v>837</v>
      </c>
      <c r="C98" s="1076" t="s">
        <v>1415</v>
      </c>
      <c r="D98" s="1077" t="s">
        <v>863</v>
      </c>
      <c r="E98" s="645"/>
      <c r="F98" s="820"/>
      <c r="G98" s="820"/>
      <c r="H98" s="543"/>
      <c r="I98" s="645"/>
      <c r="J98" s="543"/>
      <c r="K98" s="820"/>
      <c r="L98" s="543"/>
      <c r="M98" s="645"/>
      <c r="N98" s="543"/>
      <c r="O98" s="820"/>
      <c r="P98" s="820"/>
      <c r="Q98" s="820"/>
      <c r="R98" s="543"/>
      <c r="S98" s="820">
        <v>0</v>
      </c>
      <c r="T98" s="820">
        <v>0</v>
      </c>
      <c r="U98" s="820">
        <v>0</v>
      </c>
      <c r="V98" s="820">
        <v>0</v>
      </c>
      <c r="W98" s="820">
        <v>0</v>
      </c>
      <c r="X98" s="507"/>
    </row>
    <row r="99" spans="2:27" s="415" customFormat="1" ht="15.5">
      <c r="B99" s="1075" t="s">
        <v>838</v>
      </c>
      <c r="C99" s="1076" t="s">
        <v>716</v>
      </c>
      <c r="D99" s="1077" t="s">
        <v>863</v>
      </c>
      <c r="E99" s="645"/>
      <c r="F99" s="825">
        <f>F89*F$23</f>
        <v>2467.8465596663045</v>
      </c>
      <c r="G99" s="820">
        <v>10006.5</v>
      </c>
      <c r="H99" s="543">
        <f t="shared" si="82"/>
        <v>7538.6534403336955</v>
      </c>
      <c r="I99" s="645"/>
      <c r="J99" s="761">
        <f>J89*J$23</f>
        <v>2986.7979912836331</v>
      </c>
      <c r="K99" s="820">
        <v>5858</v>
      </c>
      <c r="L99" s="543">
        <f t="shared" si="83"/>
        <v>2871.2020087163669</v>
      </c>
      <c r="M99" s="645"/>
      <c r="N99" s="761">
        <f>N89*N$23</f>
        <v>2884.6899255148514</v>
      </c>
      <c r="O99" s="820">
        <v>1861.43</v>
      </c>
      <c r="P99" s="820">
        <v>1699.9516344703973</v>
      </c>
      <c r="Q99" s="820">
        <f>O99+P99</f>
        <v>3561.3816344703973</v>
      </c>
      <c r="R99" s="543">
        <f t="shared" si="84"/>
        <v>676.69170895554589</v>
      </c>
      <c r="S99" s="820">
        <v>3377.5719175150543</v>
      </c>
      <c r="T99" s="820">
        <v>3377.5719175150543</v>
      </c>
      <c r="U99" s="820">
        <v>3377.5719175150543</v>
      </c>
      <c r="V99" s="820">
        <v>3377.5719175150543</v>
      </c>
      <c r="W99" s="820">
        <v>3377.5719175150543</v>
      </c>
      <c r="X99" s="507"/>
    </row>
    <row r="100" spans="2:27" s="415" customFormat="1" ht="15.5">
      <c r="B100" s="1075" t="s">
        <v>839</v>
      </c>
      <c r="C100" s="1076" t="s">
        <v>717</v>
      </c>
      <c r="D100" s="1077" t="s">
        <v>863</v>
      </c>
      <c r="E100" s="645"/>
      <c r="F100" s="820">
        <f>F90*F$23</f>
        <v>591.89844033369627</v>
      </c>
      <c r="G100" s="820">
        <v>2400</v>
      </c>
      <c r="H100" s="543">
        <f t="shared" si="82"/>
        <v>1808.1015596663037</v>
      </c>
      <c r="I100" s="645"/>
      <c r="J100" s="543">
        <f>J90*J$23</f>
        <v>292.79950871636709</v>
      </c>
      <c r="K100" s="820">
        <v>574.26700000000005</v>
      </c>
      <c r="L100" s="543">
        <f t="shared" si="83"/>
        <v>281.46749128363297</v>
      </c>
      <c r="M100" s="645"/>
      <c r="N100" s="543">
        <f>N90*N$23</f>
        <v>401.52781187365878</v>
      </c>
      <c r="O100" s="820">
        <v>329.07</v>
      </c>
      <c r="P100" s="820">
        <v>166.64836552960256</v>
      </c>
      <c r="Q100" s="820">
        <f t="shared" si="85"/>
        <v>495.71836552960258</v>
      </c>
      <c r="R100" s="543">
        <f t="shared" si="84"/>
        <v>94.190553655943802</v>
      </c>
      <c r="S100" s="820">
        <v>331.1075610030075</v>
      </c>
      <c r="T100" s="820">
        <v>331.1075610030075</v>
      </c>
      <c r="U100" s="820">
        <v>331.1075610030075</v>
      </c>
      <c r="V100" s="820">
        <v>331.1075610030075</v>
      </c>
      <c r="W100" s="820">
        <v>331.1075610030075</v>
      </c>
      <c r="X100" s="507"/>
    </row>
    <row r="101" spans="2:27" s="415" customFormat="1" ht="15.5">
      <c r="B101" s="1075" t="s">
        <v>1421</v>
      </c>
      <c r="C101" s="1076" t="s">
        <v>823</v>
      </c>
      <c r="D101" s="1077" t="s">
        <v>863</v>
      </c>
      <c r="E101" s="645"/>
      <c r="F101" s="820">
        <f>F91*F$23</f>
        <v>0</v>
      </c>
      <c r="G101" s="820">
        <v>0</v>
      </c>
      <c r="H101" s="543">
        <f t="shared" si="82"/>
        <v>0</v>
      </c>
      <c r="I101" s="645"/>
      <c r="J101" s="543">
        <f>J91*J$23</f>
        <v>0</v>
      </c>
      <c r="K101" s="820">
        <v>0</v>
      </c>
      <c r="L101" s="543">
        <f t="shared" si="83"/>
        <v>0</v>
      </c>
      <c r="M101" s="645"/>
      <c r="N101" s="543">
        <f>N91*N$23</f>
        <v>0</v>
      </c>
      <c r="O101" s="820">
        <v>0</v>
      </c>
      <c r="P101" s="820">
        <v>0</v>
      </c>
      <c r="Q101" s="820">
        <f t="shared" si="85"/>
        <v>0</v>
      </c>
      <c r="R101" s="543">
        <f t="shared" si="84"/>
        <v>0</v>
      </c>
      <c r="S101" s="820">
        <v>0</v>
      </c>
      <c r="T101" s="820">
        <v>0</v>
      </c>
      <c r="U101" s="820">
        <v>0</v>
      </c>
      <c r="V101" s="820">
        <v>0</v>
      </c>
      <c r="W101" s="820">
        <v>0</v>
      </c>
      <c r="X101" s="507"/>
    </row>
    <row r="102" spans="2:27" s="415" customFormat="1" ht="15.5">
      <c r="B102" s="1075" t="s">
        <v>1422</v>
      </c>
      <c r="C102" s="1076" t="s">
        <v>824</v>
      </c>
      <c r="D102" s="1077" t="s">
        <v>863</v>
      </c>
      <c r="E102" s="645"/>
      <c r="F102" s="820">
        <f>F92*F$23</f>
        <v>0</v>
      </c>
      <c r="G102" s="820">
        <v>0</v>
      </c>
      <c r="H102" s="543">
        <f t="shared" si="82"/>
        <v>0</v>
      </c>
      <c r="I102" s="645"/>
      <c r="J102" s="543">
        <f>J92*J$23</f>
        <v>0</v>
      </c>
      <c r="K102" s="820">
        <v>0</v>
      </c>
      <c r="L102" s="543">
        <f t="shared" si="83"/>
        <v>0</v>
      </c>
      <c r="M102" s="645"/>
      <c r="N102" s="543">
        <f>N92*N$23</f>
        <v>0</v>
      </c>
      <c r="O102" s="820">
        <v>0</v>
      </c>
      <c r="P102" s="820">
        <v>0</v>
      </c>
      <c r="Q102" s="820">
        <f t="shared" si="85"/>
        <v>0</v>
      </c>
      <c r="R102" s="543">
        <f t="shared" si="84"/>
        <v>0</v>
      </c>
      <c r="S102" s="820">
        <v>0</v>
      </c>
      <c r="T102" s="820">
        <v>0</v>
      </c>
      <c r="U102" s="820">
        <v>0</v>
      </c>
      <c r="V102" s="820">
        <v>0</v>
      </c>
      <c r="W102" s="820">
        <v>0</v>
      </c>
      <c r="X102" s="507"/>
    </row>
    <row r="103" spans="2:27" s="415" customFormat="1" ht="30">
      <c r="B103" s="459">
        <v>3.3</v>
      </c>
      <c r="C103" s="458" t="s">
        <v>129</v>
      </c>
      <c r="D103" s="460"/>
      <c r="E103" s="651"/>
      <c r="F103" s="550"/>
      <c r="G103" s="550"/>
      <c r="H103" s="550"/>
      <c r="I103" s="651"/>
      <c r="J103" s="550"/>
      <c r="K103" s="550"/>
      <c r="L103" s="550"/>
      <c r="M103" s="651"/>
      <c r="N103" s="543"/>
      <c r="O103" s="543"/>
      <c r="P103" s="543"/>
      <c r="Q103" s="543"/>
      <c r="R103" s="543"/>
      <c r="S103" s="543"/>
      <c r="T103" s="543"/>
      <c r="U103" s="543"/>
      <c r="V103" s="543"/>
      <c r="W103" s="543"/>
      <c r="X103" s="507"/>
    </row>
    <row r="104" spans="2:27" s="415" customFormat="1" ht="15.5">
      <c r="B104" s="1075" t="s">
        <v>130</v>
      </c>
      <c r="C104" s="1076" t="s">
        <v>714</v>
      </c>
      <c r="D104" s="1077" t="s">
        <v>131</v>
      </c>
      <c r="E104" s="645"/>
      <c r="F104" s="740">
        <f>(F$113-SUM(F$109:F$112))*G104/SUM(G$104:G$106)</f>
        <v>10233968.909378964</v>
      </c>
      <c r="G104" s="543">
        <f>G94*G$68/1000</f>
        <v>10349736.007076774</v>
      </c>
      <c r="H104" s="543">
        <f t="shared" si="82"/>
        <v>115767.09769780934</v>
      </c>
      <c r="I104" s="645"/>
      <c r="J104" s="740">
        <f>(J$113-SUM(J$109:J$112))*K104/SUM(K$104:K$106)</f>
        <v>13451470.794307007</v>
      </c>
      <c r="K104" s="543">
        <f>K94*K$68/1000</f>
        <v>13932604.993443895</v>
      </c>
      <c r="L104" s="543">
        <f t="shared" ref="L104:L112" si="86">K104-J104</f>
        <v>481134.19913688861</v>
      </c>
      <c r="M104" s="645"/>
      <c r="N104" s="740">
        <f>(N$113-SUM(N$109:N$112))*Q104/SUM(Q$104:Q$106)</f>
        <v>14077638.439101443</v>
      </c>
      <c r="O104" s="543">
        <f t="shared" ref="O104:P106" si="87">O94*O$68/1000</f>
        <v>6858241.5029999996</v>
      </c>
      <c r="P104" s="543">
        <f t="shared" si="87"/>
        <v>7716114.104823268</v>
      </c>
      <c r="Q104" s="543">
        <f>O104+P104</f>
        <v>14574355.607823268</v>
      </c>
      <c r="R104" s="543">
        <f>Q104-N104</f>
        <v>496717.16872182488</v>
      </c>
      <c r="S104" s="543">
        <f t="shared" ref="S104:W106" si="88">S94*S$68/1000</f>
        <v>13189547.36140191</v>
      </c>
      <c r="T104" s="543">
        <f t="shared" si="88"/>
        <v>13189891.825686391</v>
      </c>
      <c r="U104" s="543">
        <f t="shared" si="88"/>
        <v>13189891.825686391</v>
      </c>
      <c r="V104" s="543">
        <f t="shared" si="88"/>
        <v>13190204.974841926</v>
      </c>
      <c r="W104" s="543">
        <f t="shared" si="88"/>
        <v>13190204.974841926</v>
      </c>
      <c r="X104" s="514"/>
      <c r="Y104" s="515"/>
      <c r="Z104" s="515"/>
      <c r="AA104" s="515"/>
    </row>
    <row r="105" spans="2:27" s="415" customFormat="1" ht="15.5">
      <c r="B105" s="1075" t="s">
        <v>132</v>
      </c>
      <c r="C105" s="1076" t="s">
        <v>715</v>
      </c>
      <c r="D105" s="1077" t="s">
        <v>131</v>
      </c>
      <c r="E105" s="645"/>
      <c r="F105" s="740">
        <f>(F$113-SUM(F$109:F$112))*G105/SUM(G$104:G$106)</f>
        <v>1797974.8366784994</v>
      </c>
      <c r="G105" s="543">
        <f>G95*G$68/1000</f>
        <v>1818313.605578335</v>
      </c>
      <c r="H105" s="543">
        <f t="shared" si="82"/>
        <v>20338.768899835646</v>
      </c>
      <c r="I105" s="645"/>
      <c r="J105" s="740">
        <f>(J$113-SUM(J$109:J$112))*K105/SUM(K$104:K$106)</f>
        <v>1015630.0388641934</v>
      </c>
      <c r="K105" s="543">
        <f>K95*K$69/1000</f>
        <v>1051957.2444791438</v>
      </c>
      <c r="L105" s="543">
        <f t="shared" si="86"/>
        <v>36327.205614950391</v>
      </c>
      <c r="M105" s="645"/>
      <c r="N105" s="740">
        <f>(N$113-SUM(N$109:N$112))*Q105/SUM(Q$104:Q$106)</f>
        <v>919913.77457685361</v>
      </c>
      <c r="O105" s="543">
        <f>O95*O$69/1000</f>
        <v>420814.73499999999</v>
      </c>
      <c r="P105" s="543">
        <f>P95*P$69/1000</f>
        <v>531557.39312476502</v>
      </c>
      <c r="Q105" s="543">
        <f>O105+P105</f>
        <v>952372.128124765</v>
      </c>
      <c r="R105" s="543">
        <f>Q105-N105</f>
        <v>32458.353547911393</v>
      </c>
      <c r="S105" s="543">
        <f t="shared" si="88"/>
        <v>1475384.5432556241</v>
      </c>
      <c r="T105" s="543">
        <f t="shared" si="88"/>
        <v>1475382.7328185865</v>
      </c>
      <c r="U105" s="543">
        <f t="shared" si="88"/>
        <v>1475382.7328185865</v>
      </c>
      <c r="V105" s="543">
        <f t="shared" si="88"/>
        <v>1475381.087030947</v>
      </c>
      <c r="W105" s="543">
        <f t="shared" si="88"/>
        <v>1475381.087030947</v>
      </c>
      <c r="X105" s="514"/>
      <c r="Y105" s="515"/>
      <c r="Z105" s="515"/>
      <c r="AA105" s="515"/>
    </row>
    <row r="106" spans="2:27" s="415" customFormat="1" ht="15.5">
      <c r="B106" s="1075" t="s">
        <v>133</v>
      </c>
      <c r="C106" s="1076" t="s">
        <v>822</v>
      </c>
      <c r="D106" s="1077" t="s">
        <v>131</v>
      </c>
      <c r="E106" s="645"/>
      <c r="F106" s="740">
        <f>(F$113-SUM(F$109:F$112))*G106/SUM(G$104:G$106)</f>
        <v>2471205.485191992</v>
      </c>
      <c r="G106" s="543">
        <f>G96*G$68/1000</f>
        <v>2499159.8682245025</v>
      </c>
      <c r="H106" s="543">
        <f t="shared" si="82"/>
        <v>27954.383032510523</v>
      </c>
      <c r="I106" s="645"/>
      <c r="J106" s="740">
        <f>(J$113-SUM(J$109:J$112))*K106/SUM(K$104:K$106)</f>
        <v>1078806.7997871425</v>
      </c>
      <c r="K106" s="543">
        <f>K96*K$68/1000</f>
        <v>1117393.7211414</v>
      </c>
      <c r="L106" s="543">
        <f t="shared" si="86"/>
        <v>38586.921354257502</v>
      </c>
      <c r="M106" s="645"/>
      <c r="N106" s="740">
        <f>(N$113-SUM(N$109:N$112))*Q106/SUM(Q$104:Q$106)</f>
        <v>579724.15333222377</v>
      </c>
      <c r="O106" s="543">
        <f t="shared" si="87"/>
        <v>0</v>
      </c>
      <c r="P106" s="543">
        <f t="shared" si="87"/>
        <v>600179.2134141064</v>
      </c>
      <c r="Q106" s="543">
        <f t="shared" ref="Q106:Q112" si="89">O106+P106</f>
        <v>600179.2134141064</v>
      </c>
      <c r="R106" s="543">
        <f>Q106-N106</f>
        <v>20455.060081882635</v>
      </c>
      <c r="S106" s="543">
        <f t="shared" si="88"/>
        <v>2981916.0935355336</v>
      </c>
      <c r="T106" s="543">
        <f t="shared" si="88"/>
        <v>2981912.4344411213</v>
      </c>
      <c r="U106" s="543">
        <f t="shared" si="88"/>
        <v>2981912.4344411213</v>
      </c>
      <c r="V106" s="543">
        <f t="shared" si="88"/>
        <v>2981909.1081214361</v>
      </c>
      <c r="W106" s="543">
        <f t="shared" si="88"/>
        <v>2981909.1081214361</v>
      </c>
      <c r="X106" s="514"/>
      <c r="Y106" s="515"/>
      <c r="Z106" s="515"/>
      <c r="AA106" s="515"/>
    </row>
    <row r="107" spans="2:27" s="415" customFormat="1" ht="15.5">
      <c r="B107" s="1075" t="s">
        <v>722</v>
      </c>
      <c r="C107" s="1076" t="s">
        <v>1414</v>
      </c>
      <c r="D107" s="1077" t="s">
        <v>131</v>
      </c>
      <c r="E107" s="645"/>
      <c r="F107" s="740"/>
      <c r="G107" s="543"/>
      <c r="H107" s="543"/>
      <c r="I107" s="645"/>
      <c r="J107" s="740"/>
      <c r="K107" s="543"/>
      <c r="L107" s="543"/>
      <c r="M107" s="645"/>
      <c r="N107" s="740"/>
      <c r="O107" s="543"/>
      <c r="P107" s="543"/>
      <c r="Q107" s="543"/>
      <c r="R107" s="543"/>
      <c r="S107" s="543">
        <f t="shared" ref="S107:W107" si="90">S97*S$68/1000</f>
        <v>0</v>
      </c>
      <c r="T107" s="543">
        <f t="shared" si="90"/>
        <v>0</v>
      </c>
      <c r="U107" s="543">
        <f t="shared" si="90"/>
        <v>0</v>
      </c>
      <c r="V107" s="543">
        <f t="shared" si="90"/>
        <v>0</v>
      </c>
      <c r="W107" s="543">
        <f t="shared" si="90"/>
        <v>0</v>
      </c>
      <c r="X107" s="514"/>
      <c r="Y107" s="515"/>
      <c r="Z107" s="515"/>
      <c r="AA107" s="515"/>
    </row>
    <row r="108" spans="2:27" s="415" customFormat="1" ht="15.5">
      <c r="B108" s="1075" t="s">
        <v>840</v>
      </c>
      <c r="C108" s="1076" t="s">
        <v>1415</v>
      </c>
      <c r="D108" s="1077" t="s">
        <v>131</v>
      </c>
      <c r="E108" s="645"/>
      <c r="F108" s="740"/>
      <c r="G108" s="543"/>
      <c r="H108" s="543"/>
      <c r="I108" s="645"/>
      <c r="J108" s="740"/>
      <c r="K108" s="543"/>
      <c r="L108" s="543"/>
      <c r="M108" s="645"/>
      <c r="N108" s="740"/>
      <c r="O108" s="543"/>
      <c r="P108" s="543"/>
      <c r="Q108" s="543"/>
      <c r="R108" s="543"/>
      <c r="S108" s="1138">
        <f t="shared" ref="S108:W108" si="91">S98*S$68/1000</f>
        <v>0</v>
      </c>
      <c r="T108" s="1138">
        <f t="shared" si="91"/>
        <v>0</v>
      </c>
      <c r="U108" s="1138">
        <f t="shared" si="91"/>
        <v>0</v>
      </c>
      <c r="V108" s="1138">
        <f t="shared" si="91"/>
        <v>0</v>
      </c>
      <c r="W108" s="1138">
        <f t="shared" si="91"/>
        <v>0</v>
      </c>
      <c r="X108" s="514"/>
      <c r="Y108" s="515"/>
      <c r="Z108" s="515"/>
      <c r="AA108" s="515"/>
    </row>
    <row r="109" spans="2:27" s="415" customFormat="1" ht="15.5">
      <c r="B109" s="1075" t="s">
        <v>841</v>
      </c>
      <c r="C109" s="1076" t="s">
        <v>716</v>
      </c>
      <c r="D109" s="1077" t="s">
        <v>131</v>
      </c>
      <c r="E109" s="645"/>
      <c r="F109" s="762">
        <f>F99*F63/1000*0.933</f>
        <v>24811.749053657506</v>
      </c>
      <c r="G109" s="543">
        <f>G99*G63/1000*0.933</f>
        <v>100605.431052</v>
      </c>
      <c r="H109" s="543">
        <f t="shared" si="82"/>
        <v>75793.681998342494</v>
      </c>
      <c r="I109" s="645"/>
      <c r="J109" s="762">
        <f>J99*J63/1000*0.933</f>
        <v>29405.306236499051</v>
      </c>
      <c r="K109" s="543">
        <f>K99*K63/1000*0.933</f>
        <v>57672.55918750001</v>
      </c>
      <c r="L109" s="543">
        <f t="shared" si="86"/>
        <v>28267.252951000959</v>
      </c>
      <c r="M109" s="645"/>
      <c r="N109" s="762">
        <f>N99*N63/1000*0.933</f>
        <v>28416.806220415892</v>
      </c>
      <c r="O109" s="543">
        <f>O99*O63/1000*0.933</f>
        <v>18346.648703160001</v>
      </c>
      <c r="P109" s="543">
        <f>P99*P63/1000*0.933</f>
        <v>16736.183211826796</v>
      </c>
      <c r="Q109" s="543">
        <f t="shared" si="89"/>
        <v>35082.831914986797</v>
      </c>
      <c r="R109" s="543">
        <f>Q109-N109</f>
        <v>6666.0256945709043</v>
      </c>
      <c r="S109" s="543">
        <f>S99*S63/1000*0.933</f>
        <v>33252.512175302974</v>
      </c>
      <c r="T109" s="543">
        <f>T99*T63/1000*0.933</f>
        <v>33252.512175302974</v>
      </c>
      <c r="U109" s="543">
        <f>U99*U63/1000*0.933</f>
        <v>33252.512175302974</v>
      </c>
      <c r="V109" s="543">
        <f>V99*V63/1000*0.933</f>
        <v>33252.512175302974</v>
      </c>
      <c r="W109" s="543">
        <f>W99*W63/1000*0.933</f>
        <v>33252.512175302974</v>
      </c>
      <c r="X109" s="514"/>
      <c r="Y109" s="515"/>
      <c r="Z109" s="515"/>
      <c r="AA109" s="515"/>
    </row>
    <row r="110" spans="2:27" s="415" customFormat="1" ht="15.5">
      <c r="B110" s="1075" t="s">
        <v>842</v>
      </c>
      <c r="C110" s="1076" t="s">
        <v>717</v>
      </c>
      <c r="D110" s="1077" t="s">
        <v>131</v>
      </c>
      <c r="E110" s="645"/>
      <c r="F110" s="543">
        <f>F100*F64/1000*0.853</f>
        <v>5827.7696968898572</v>
      </c>
      <c r="G110" s="543">
        <f>G100*G64/1000*0.853</f>
        <v>23630.147199999999</v>
      </c>
      <c r="H110" s="543">
        <f t="shared" si="82"/>
        <v>17802.377503110143</v>
      </c>
      <c r="I110" s="645"/>
      <c r="J110" s="543">
        <f>J100*J64/1000*0.853</f>
        <v>2775.1858051599315</v>
      </c>
      <c r="K110" s="543">
        <f>K100*K64/1000*0.853</f>
        <v>5442.9655082364998</v>
      </c>
      <c r="L110" s="543">
        <f t="shared" si="86"/>
        <v>2667.7797030765682</v>
      </c>
      <c r="M110" s="645"/>
      <c r="N110" s="543">
        <f>N100*N64/1000*0.853</f>
        <v>3841.0793644859518</v>
      </c>
      <c r="O110" s="543">
        <f>O100*O64/1000*0.853</f>
        <v>3162.6098315700001</v>
      </c>
      <c r="P110" s="543">
        <f>P100*P64/1000*0.853</f>
        <v>1579.5114564855985</v>
      </c>
      <c r="Q110" s="543">
        <f t="shared" si="89"/>
        <v>4742.1212880555986</v>
      </c>
      <c r="R110" s="543">
        <f>Q110-N110</f>
        <v>901.04192356964677</v>
      </c>
      <c r="S110" s="543">
        <f>S100*S64/1000*0.853</f>
        <v>3138.2737194644351</v>
      </c>
      <c r="T110" s="543">
        <f>T100*T64/1000*0.853</f>
        <v>3138.2737194644351</v>
      </c>
      <c r="U110" s="543">
        <f>U100*U64/1000*0.853</f>
        <v>3138.2737194644351</v>
      </c>
      <c r="V110" s="543">
        <f>V100*V64/1000*0.853</f>
        <v>3138.2737194644351</v>
      </c>
      <c r="W110" s="543">
        <f>W100*W64/1000*0.853</f>
        <v>3138.2737194644351</v>
      </c>
      <c r="X110" s="514"/>
      <c r="Y110" s="515"/>
      <c r="Z110" s="515"/>
      <c r="AA110" s="515"/>
    </row>
    <row r="111" spans="2:27" s="415" customFormat="1" ht="15.5">
      <c r="B111" s="1075" t="s">
        <v>1423</v>
      </c>
      <c r="C111" s="1076" t="s">
        <v>823</v>
      </c>
      <c r="D111" s="1077" t="s">
        <v>131</v>
      </c>
      <c r="E111" s="645"/>
      <c r="F111" s="543">
        <f>F101*F65/1000</f>
        <v>0</v>
      </c>
      <c r="G111" s="543">
        <f>G101*G65/1000</f>
        <v>0</v>
      </c>
      <c r="H111" s="543">
        <f t="shared" si="82"/>
        <v>0</v>
      </c>
      <c r="I111" s="645"/>
      <c r="J111" s="543">
        <f>J101*J65/1000</f>
        <v>0</v>
      </c>
      <c r="K111" s="543">
        <f>K101*K65/1000</f>
        <v>0</v>
      </c>
      <c r="L111" s="543">
        <f t="shared" si="86"/>
        <v>0</v>
      </c>
      <c r="M111" s="645"/>
      <c r="N111" s="543">
        <f t="shared" ref="N111:P112" si="92">N101*N65/1000</f>
        <v>0</v>
      </c>
      <c r="O111" s="543">
        <f t="shared" si="92"/>
        <v>0</v>
      </c>
      <c r="P111" s="543">
        <f t="shared" si="92"/>
        <v>0</v>
      </c>
      <c r="Q111" s="543">
        <f t="shared" si="89"/>
        <v>0</v>
      </c>
      <c r="R111" s="543">
        <f t="shared" ref="R111:R112" si="93">Q111-N111</f>
        <v>0</v>
      </c>
      <c r="S111" s="543">
        <f t="shared" ref="S111:W112" si="94">S101*S65/1000</f>
        <v>0</v>
      </c>
      <c r="T111" s="543">
        <f t="shared" si="94"/>
        <v>0</v>
      </c>
      <c r="U111" s="543">
        <f t="shared" si="94"/>
        <v>0</v>
      </c>
      <c r="V111" s="543">
        <f t="shared" si="94"/>
        <v>0</v>
      </c>
      <c r="W111" s="543">
        <f t="shared" si="94"/>
        <v>0</v>
      </c>
      <c r="X111" s="514"/>
      <c r="Y111" s="515"/>
      <c r="Z111" s="515"/>
      <c r="AA111" s="515"/>
    </row>
    <row r="112" spans="2:27" s="415" customFormat="1" ht="15.5">
      <c r="B112" s="1075" t="s">
        <v>1424</v>
      </c>
      <c r="C112" s="1076" t="s">
        <v>824</v>
      </c>
      <c r="D112" s="1077" t="s">
        <v>131</v>
      </c>
      <c r="E112" s="645"/>
      <c r="F112" s="543">
        <f>F102*F66/1000</f>
        <v>0</v>
      </c>
      <c r="G112" s="543">
        <f>G102*G66/1000</f>
        <v>0</v>
      </c>
      <c r="H112" s="543">
        <f t="shared" si="82"/>
        <v>0</v>
      </c>
      <c r="I112" s="645"/>
      <c r="J112" s="543">
        <f>J102*J66/1000</f>
        <v>0</v>
      </c>
      <c r="K112" s="543">
        <f>K102*K66/1000</f>
        <v>0</v>
      </c>
      <c r="L112" s="543">
        <f t="shared" si="86"/>
        <v>0</v>
      </c>
      <c r="M112" s="645"/>
      <c r="N112" s="543">
        <f t="shared" si="92"/>
        <v>0</v>
      </c>
      <c r="O112" s="543">
        <f t="shared" si="92"/>
        <v>0</v>
      </c>
      <c r="P112" s="543">
        <f t="shared" si="92"/>
        <v>0</v>
      </c>
      <c r="Q112" s="543">
        <f t="shared" si="89"/>
        <v>0</v>
      </c>
      <c r="R112" s="543">
        <f t="shared" si="93"/>
        <v>0</v>
      </c>
      <c r="S112" s="543">
        <f t="shared" si="94"/>
        <v>0</v>
      </c>
      <c r="T112" s="543">
        <f t="shared" si="94"/>
        <v>0</v>
      </c>
      <c r="U112" s="543">
        <f t="shared" si="94"/>
        <v>0</v>
      </c>
      <c r="V112" s="543">
        <f t="shared" si="94"/>
        <v>0</v>
      </c>
      <c r="W112" s="543">
        <f t="shared" si="94"/>
        <v>0</v>
      </c>
      <c r="X112" s="514"/>
      <c r="Y112" s="515"/>
      <c r="Z112" s="515"/>
      <c r="AA112" s="515"/>
    </row>
    <row r="113" spans="2:24" s="475" customFormat="1" ht="15.5">
      <c r="B113" s="459"/>
      <c r="C113" s="458" t="s">
        <v>377</v>
      </c>
      <c r="D113" s="387" t="s">
        <v>131</v>
      </c>
      <c r="E113" s="652"/>
      <c r="F113" s="505">
        <f>F23*F39</f>
        <v>14533788.750000004</v>
      </c>
      <c r="G113" s="505">
        <f>SUM(G104:G112)</f>
        <v>14791445.059131611</v>
      </c>
      <c r="H113" s="505">
        <f>SUM(H104:H112)</f>
        <v>257656.30913160817</v>
      </c>
      <c r="I113" s="652"/>
      <c r="J113" s="505">
        <f>J23*J39</f>
        <v>15578088.125000002</v>
      </c>
      <c r="K113" s="505">
        <f>SUM(K104:K112)</f>
        <v>16165071.483760174</v>
      </c>
      <c r="L113" s="505">
        <f>SUM(L104:L112)</f>
        <v>586983.35876017401</v>
      </c>
      <c r="M113" s="652"/>
      <c r="N113" s="505">
        <f>N23*N39</f>
        <v>15609534.252595421</v>
      </c>
      <c r="O113" s="505">
        <f>SUM(O104:O112)</f>
        <v>7300565.4965347294</v>
      </c>
      <c r="P113" s="505">
        <f>SUM(P104:P112)</f>
        <v>8866166.4060304519</v>
      </c>
      <c r="Q113" s="505">
        <f t="shared" ref="Q113:R113" si="95">SUM(Q104:Q112)</f>
        <v>16166731.902565181</v>
      </c>
      <c r="R113" s="505">
        <f t="shared" si="95"/>
        <v>557197.6499697594</v>
      </c>
      <c r="S113" s="505">
        <f>SUM(S104:S112)</f>
        <v>17683238.784087833</v>
      </c>
      <c r="T113" s="505">
        <f>SUM(T104:T112)</f>
        <v>17683577.778840866</v>
      </c>
      <c r="U113" s="505">
        <f>SUM(U104:U112)</f>
        <v>17683577.778840866</v>
      </c>
      <c r="V113" s="505">
        <f>SUM(V104:V112)</f>
        <v>17683885.955889076</v>
      </c>
      <c r="W113" s="505">
        <f>SUM(W104:W112)</f>
        <v>17683885.955889076</v>
      </c>
      <c r="X113" s="510"/>
    </row>
    <row r="114" spans="2:24" s="415" customFormat="1" ht="15.5">
      <c r="B114" s="459"/>
      <c r="C114" s="458"/>
      <c r="D114" s="460"/>
      <c r="E114" s="653"/>
      <c r="F114" s="509"/>
      <c r="G114" s="509"/>
      <c r="H114" s="509"/>
      <c r="I114" s="653"/>
      <c r="J114" s="509"/>
      <c r="K114" s="509"/>
      <c r="L114" s="509"/>
      <c r="M114" s="653"/>
      <c r="N114" s="505"/>
      <c r="O114" s="505"/>
      <c r="P114" s="505"/>
      <c r="Q114" s="505"/>
      <c r="R114" s="505"/>
      <c r="S114" s="505"/>
      <c r="T114" s="505"/>
      <c r="U114" s="505"/>
      <c r="V114" s="505"/>
      <c r="W114" s="505"/>
      <c r="X114" s="507"/>
    </row>
    <row r="115" spans="2:24" s="415" customFormat="1" ht="15.5">
      <c r="B115" s="459">
        <v>4</v>
      </c>
      <c r="C115" s="458" t="s">
        <v>134</v>
      </c>
      <c r="D115" s="460"/>
      <c r="E115" s="653"/>
      <c r="F115" s="509"/>
      <c r="G115" s="509"/>
      <c r="H115" s="509"/>
      <c r="I115" s="653"/>
      <c r="J115" s="509"/>
      <c r="K115" s="509"/>
      <c r="L115" s="509"/>
      <c r="M115" s="653"/>
      <c r="N115" s="505"/>
      <c r="O115" s="505"/>
      <c r="P115" s="505"/>
      <c r="Q115" s="505"/>
      <c r="R115" s="505"/>
      <c r="S115" s="505"/>
      <c r="T115" s="505"/>
      <c r="U115" s="505"/>
      <c r="V115" s="505"/>
      <c r="W115" s="505"/>
      <c r="X115" s="507"/>
    </row>
    <row r="116" spans="2:24" s="415" customFormat="1" ht="15.5">
      <c r="B116" s="1075" t="s">
        <v>843</v>
      </c>
      <c r="C116" s="1076" t="s">
        <v>714</v>
      </c>
      <c r="D116" s="1077" t="s">
        <v>135</v>
      </c>
      <c r="E116" s="652"/>
      <c r="F116" s="505">
        <f t="shared" ref="F116:G118" si="96">F94*F73/10^7</f>
        <v>1159.5822197933846</v>
      </c>
      <c r="G116" s="505">
        <f t="shared" si="96"/>
        <v>1452.5693419999986</v>
      </c>
      <c r="H116" s="505">
        <f>G116-F116</f>
        <v>292.987122206614</v>
      </c>
      <c r="I116" s="652"/>
      <c r="J116" s="505">
        <f t="shared" ref="J116" si="97">J94*J73/10^7</f>
        <v>1920.9118364707492</v>
      </c>
      <c r="K116" s="505">
        <f>K94*K73/10^7</f>
        <v>2104.3160505000001</v>
      </c>
      <c r="L116" s="505">
        <f>K116-J116</f>
        <v>183.40421402925085</v>
      </c>
      <c r="M116" s="652"/>
      <c r="N116" s="505">
        <f t="shared" ref="N116" si="98">N94*N73/10^7</f>
        <v>2139.4393817942159</v>
      </c>
      <c r="O116" s="505">
        <f>O94*O73/10^7</f>
        <v>1131.8781518481114</v>
      </c>
      <c r="P116" s="505">
        <f>P94*P73/10^7</f>
        <v>1114.6222649276385</v>
      </c>
      <c r="Q116" s="505">
        <f>O116+P116</f>
        <v>2246.5004167757497</v>
      </c>
      <c r="R116" s="505">
        <f t="shared" ref="R116:R124" si="99">Q116-N116</f>
        <v>107.06103498153379</v>
      </c>
      <c r="S116" s="505">
        <f>S94*S73/10^7</f>
        <v>2058.1198543180967</v>
      </c>
      <c r="T116" s="505">
        <f>T94*T73/10^7</f>
        <v>2161.0849372354132</v>
      </c>
      <c r="U116" s="505">
        <f t="shared" ref="U116:W116" si="100">U94*U73/10^7</f>
        <v>2269.1391840971842</v>
      </c>
      <c r="V116" s="505">
        <f t="shared" si="100"/>
        <v>2382.6553677993675</v>
      </c>
      <c r="W116" s="505">
        <f t="shared" si="100"/>
        <v>2501.788136189336</v>
      </c>
      <c r="X116" s="507"/>
    </row>
    <row r="117" spans="2:24" s="415" customFormat="1" ht="15.5">
      <c r="B117" s="1075" t="s">
        <v>844</v>
      </c>
      <c r="C117" s="1076" t="s">
        <v>715</v>
      </c>
      <c r="D117" s="1077" t="s">
        <v>135</v>
      </c>
      <c r="E117" s="652"/>
      <c r="F117" s="505">
        <f t="shared" si="96"/>
        <v>774.00075499861214</v>
      </c>
      <c r="G117" s="505">
        <f t="shared" si="96"/>
        <v>969.56451056671335</v>
      </c>
      <c r="H117" s="505">
        <f>G117-F117</f>
        <v>195.56375556810121</v>
      </c>
      <c r="I117" s="652"/>
      <c r="J117" s="505">
        <f t="shared" ref="J117:K117" si="101">J95*J74/10^7</f>
        <v>263.49515965195229</v>
      </c>
      <c r="K117" s="505">
        <f t="shared" si="101"/>
        <v>275.81460729976362</v>
      </c>
      <c r="L117" s="505">
        <f>K117-J117</f>
        <v>12.31944764781133</v>
      </c>
      <c r="M117" s="652"/>
      <c r="N117" s="505">
        <f t="shared" ref="N117:O117" si="102">N95*N74/10^7</f>
        <v>233.13928306069798</v>
      </c>
      <c r="O117" s="505">
        <f t="shared" si="102"/>
        <v>103.45809525408811</v>
      </c>
      <c r="P117" s="505">
        <f t="shared" ref="P117" si="103">P95*P74/10^7</f>
        <v>137.90730364988181</v>
      </c>
      <c r="Q117" s="505">
        <f t="shared" ref="Q117:Q124" si="104">O117+P117</f>
        <v>241.36539890396992</v>
      </c>
      <c r="R117" s="505">
        <f t="shared" si="99"/>
        <v>8.2261158432719412</v>
      </c>
      <c r="S117" s="505">
        <f t="shared" ref="S117:W117" si="105">S95*S74/10^7</f>
        <v>553.58514427122668</v>
      </c>
      <c r="T117" s="505">
        <f t="shared" si="105"/>
        <v>581.26440148478798</v>
      </c>
      <c r="U117" s="505">
        <f t="shared" si="105"/>
        <v>610.32762155902753</v>
      </c>
      <c r="V117" s="505">
        <f t="shared" si="105"/>
        <v>640.84400263697887</v>
      </c>
      <c r="W117" s="505">
        <f t="shared" si="105"/>
        <v>672.88620276882796</v>
      </c>
      <c r="X117" s="507"/>
    </row>
    <row r="118" spans="2:24" s="415" customFormat="1" ht="15.5">
      <c r="B118" s="1075" t="s">
        <v>845</v>
      </c>
      <c r="C118" s="1076" t="s">
        <v>822</v>
      </c>
      <c r="D118" s="1077" t="s">
        <v>135</v>
      </c>
      <c r="E118" s="652"/>
      <c r="F118" s="505">
        <f t="shared" si="96"/>
        <v>292.95717207115428</v>
      </c>
      <c r="G118" s="505">
        <f t="shared" si="96"/>
        <v>366.9775194943918</v>
      </c>
      <c r="H118" s="505">
        <f>G118-F118</f>
        <v>74.020347423237524</v>
      </c>
      <c r="I118" s="652"/>
      <c r="J118" s="505">
        <f t="shared" ref="J118:K118" si="106">J96*J75/10^7</f>
        <v>150.77797209174605</v>
      </c>
      <c r="K118" s="505">
        <f t="shared" si="106"/>
        <v>164.85974877377592</v>
      </c>
      <c r="L118" s="505">
        <f>K118-J118</f>
        <v>14.081776682029869</v>
      </c>
      <c r="M118" s="652"/>
      <c r="N118" s="505">
        <f t="shared" ref="N118:O118" si="107">N96*N75/10^7</f>
        <v>82.459719388553239</v>
      </c>
      <c r="O118" s="505">
        <f t="shared" si="107"/>
        <v>0</v>
      </c>
      <c r="P118" s="505">
        <f t="shared" ref="P118" si="108">P96*P75/10^7</f>
        <v>84.691492514619995</v>
      </c>
      <c r="Q118" s="505">
        <f t="shared" si="104"/>
        <v>84.691492514619995</v>
      </c>
      <c r="R118" s="505">
        <f t="shared" si="99"/>
        <v>2.2317731260667557</v>
      </c>
      <c r="S118" s="505">
        <f t="shared" ref="S118:W118" si="109">S96*S75/10^7</f>
        <v>437.80780811159906</v>
      </c>
      <c r="T118" s="505">
        <f t="shared" si="109"/>
        <v>459.69819851717904</v>
      </c>
      <c r="U118" s="505">
        <f t="shared" si="109"/>
        <v>482.68310844303807</v>
      </c>
      <c r="V118" s="505">
        <f t="shared" si="109"/>
        <v>506.81726386518994</v>
      </c>
      <c r="W118" s="505">
        <f t="shared" si="109"/>
        <v>532.15812705844951</v>
      </c>
      <c r="X118" s="507"/>
    </row>
    <row r="119" spans="2:24" s="415" customFormat="1" ht="15.5">
      <c r="B119" s="1075" t="s">
        <v>846</v>
      </c>
      <c r="C119" s="1076" t="s">
        <v>1414</v>
      </c>
      <c r="D119" s="1077" t="s">
        <v>135</v>
      </c>
      <c r="E119" s="652"/>
      <c r="F119" s="505"/>
      <c r="G119" s="505"/>
      <c r="H119" s="505"/>
      <c r="I119" s="652"/>
      <c r="J119" s="505"/>
      <c r="K119" s="505"/>
      <c r="L119" s="505"/>
      <c r="M119" s="652"/>
      <c r="N119" s="505"/>
      <c r="O119" s="505"/>
      <c r="P119" s="505"/>
      <c r="Q119" s="505"/>
      <c r="R119" s="505"/>
      <c r="S119" s="505">
        <f t="shared" ref="S119:W119" si="110">S97*S76/10^7</f>
        <v>0</v>
      </c>
      <c r="T119" s="505">
        <f t="shared" si="110"/>
        <v>0</v>
      </c>
      <c r="U119" s="505">
        <f t="shared" si="110"/>
        <v>0</v>
      </c>
      <c r="V119" s="505">
        <f t="shared" si="110"/>
        <v>0</v>
      </c>
      <c r="W119" s="505">
        <f t="shared" si="110"/>
        <v>0</v>
      </c>
      <c r="X119" s="507"/>
    </row>
    <row r="120" spans="2:24" s="415" customFormat="1" ht="15.5">
      <c r="B120" s="1075" t="s">
        <v>847</v>
      </c>
      <c r="C120" s="1076" t="s">
        <v>1415</v>
      </c>
      <c r="D120" s="1077" t="s">
        <v>135</v>
      </c>
      <c r="E120" s="652"/>
      <c r="F120" s="505"/>
      <c r="G120" s="505"/>
      <c r="H120" s="505"/>
      <c r="I120" s="652"/>
      <c r="J120" s="505"/>
      <c r="K120" s="505"/>
      <c r="L120" s="505"/>
      <c r="M120" s="652"/>
      <c r="N120" s="505"/>
      <c r="O120" s="505"/>
      <c r="P120" s="505"/>
      <c r="Q120" s="505"/>
      <c r="R120" s="505"/>
      <c r="S120" s="505">
        <f t="shared" ref="S120:W120" si="111">S98*S77/10^7</f>
        <v>0</v>
      </c>
      <c r="T120" s="505">
        <f t="shared" si="111"/>
        <v>0</v>
      </c>
      <c r="U120" s="505">
        <f t="shared" si="111"/>
        <v>0</v>
      </c>
      <c r="V120" s="505">
        <f t="shared" si="111"/>
        <v>0</v>
      </c>
      <c r="W120" s="505">
        <f t="shared" si="111"/>
        <v>0</v>
      </c>
      <c r="X120" s="507"/>
    </row>
    <row r="121" spans="2:24" s="415" customFormat="1" ht="15.5">
      <c r="B121" s="1075" t="s">
        <v>848</v>
      </c>
      <c r="C121" s="1076" t="s">
        <v>716</v>
      </c>
      <c r="D121" s="1077" t="s">
        <v>135</v>
      </c>
      <c r="E121" s="652"/>
      <c r="F121" s="505">
        <f t="shared" ref="F121:G124" si="112">F99*F78/10^7</f>
        <v>13.215187173307648</v>
      </c>
      <c r="G121" s="505">
        <f t="shared" si="112"/>
        <v>53.584275704557498</v>
      </c>
      <c r="H121" s="505">
        <f>G121-F121</f>
        <v>40.369088531249851</v>
      </c>
      <c r="I121" s="652"/>
      <c r="J121" s="505">
        <f t="shared" ref="J121:K121" si="113">J99*J78/10^7</f>
        <v>15.617758686855501</v>
      </c>
      <c r="K121" s="505">
        <f t="shared" si="113"/>
        <v>30.631074031317549</v>
      </c>
      <c r="L121" s="505">
        <f>K121-J121</f>
        <v>15.013315344462049</v>
      </c>
      <c r="M121" s="652"/>
      <c r="N121" s="505">
        <f t="shared" ref="N121:O121" si="114">N99*N78/10^7</f>
        <v>15.686926422703165</v>
      </c>
      <c r="O121" s="505">
        <f t="shared" si="114"/>
        <v>10.477843149205924</v>
      </c>
      <c r="P121" s="505">
        <f t="shared" ref="P121" si="115">P99*P78/10^7</f>
        <v>8.8889287069173797</v>
      </c>
      <c r="Q121" s="505">
        <f t="shared" si="104"/>
        <v>19.366771856123304</v>
      </c>
      <c r="R121" s="505">
        <f t="shared" si="99"/>
        <v>3.6798454334201391</v>
      </c>
      <c r="S121" s="505">
        <f t="shared" ref="S121:W121" si="116">S99*S78/10^7</f>
        <v>18.466905941660599</v>
      </c>
      <c r="T121" s="505">
        <f t="shared" si="116"/>
        <v>19.39025123874363</v>
      </c>
      <c r="U121" s="505">
        <f t="shared" si="116"/>
        <v>20.35976380068081</v>
      </c>
      <c r="V121" s="505">
        <f t="shared" si="116"/>
        <v>21.377751990714852</v>
      </c>
      <c r="W121" s="505">
        <f t="shared" si="116"/>
        <v>22.446639590250594</v>
      </c>
      <c r="X121" s="507"/>
    </row>
    <row r="122" spans="2:24" s="415" customFormat="1" ht="15.5">
      <c r="B122" s="1075" t="s">
        <v>849</v>
      </c>
      <c r="C122" s="1076" t="s">
        <v>717</v>
      </c>
      <c r="D122" s="1077" t="s">
        <v>135</v>
      </c>
      <c r="E122" s="652"/>
      <c r="F122" s="505">
        <f t="shared" si="112"/>
        <v>4.622248586966621</v>
      </c>
      <c r="G122" s="505">
        <f t="shared" si="112"/>
        <v>18.742060888800001</v>
      </c>
      <c r="H122" s="505">
        <f>G122-F122</f>
        <v>14.119812301833381</v>
      </c>
      <c r="I122" s="652"/>
      <c r="J122" s="505">
        <f t="shared" ref="J122:K122" si="117">J100*J79/10^7</f>
        <v>2.403207678776337</v>
      </c>
      <c r="K122" s="505">
        <f t="shared" si="117"/>
        <v>4.7134056683296137</v>
      </c>
      <c r="L122" s="505">
        <f>K122-J122</f>
        <v>2.3101979895532767</v>
      </c>
      <c r="M122" s="652"/>
      <c r="N122" s="505">
        <f t="shared" ref="N122:O122" si="118">N100*N79/10^7</f>
        <v>3.2109091875200946</v>
      </c>
      <c r="O122" s="505">
        <f t="shared" si="118"/>
        <v>2.5963273722971718</v>
      </c>
      <c r="P122" s="505">
        <f t="shared" ref="P122" si="119">P100*P79/10^7</f>
        <v>1.3677981682825131</v>
      </c>
      <c r="Q122" s="505">
        <f t="shared" si="104"/>
        <v>3.9641255405796851</v>
      </c>
      <c r="R122" s="505">
        <f t="shared" si="99"/>
        <v>0.75321635305959056</v>
      </c>
      <c r="S122" s="505">
        <f t="shared" ref="S122:W122" si="120">S100*S79/10^7</f>
        <v>2.8535097221349774</v>
      </c>
      <c r="T122" s="505">
        <f t="shared" si="120"/>
        <v>2.9961852082417266</v>
      </c>
      <c r="U122" s="505">
        <f t="shared" si="120"/>
        <v>3.145994468653813</v>
      </c>
      <c r="V122" s="505">
        <f t="shared" si="120"/>
        <v>3.3032941920865038</v>
      </c>
      <c r="W122" s="505">
        <f t="shared" si="120"/>
        <v>3.4684589016908287</v>
      </c>
      <c r="X122" s="507"/>
    </row>
    <row r="123" spans="2:24" s="415" customFormat="1" ht="15.5">
      <c r="B123" s="1075" t="s">
        <v>1425</v>
      </c>
      <c r="C123" s="1076" t="s">
        <v>823</v>
      </c>
      <c r="D123" s="1077" t="s">
        <v>135</v>
      </c>
      <c r="E123" s="652"/>
      <c r="F123" s="505">
        <f t="shared" si="112"/>
        <v>0</v>
      </c>
      <c r="G123" s="505">
        <f t="shared" si="112"/>
        <v>0</v>
      </c>
      <c r="H123" s="505">
        <f t="shared" ref="H123:H124" si="121">G123-F123</f>
        <v>0</v>
      </c>
      <c r="I123" s="652"/>
      <c r="J123" s="505">
        <f t="shared" ref="J123:K123" si="122">J101*J80/10^7</f>
        <v>0</v>
      </c>
      <c r="K123" s="505">
        <f t="shared" si="122"/>
        <v>0</v>
      </c>
      <c r="L123" s="505">
        <f t="shared" ref="L123:L124" si="123">K123-J123</f>
        <v>0</v>
      </c>
      <c r="M123" s="652"/>
      <c r="N123" s="505">
        <f t="shared" ref="N123:O123" si="124">N101*N80/10^7</f>
        <v>0</v>
      </c>
      <c r="O123" s="505">
        <f t="shared" si="124"/>
        <v>0</v>
      </c>
      <c r="P123" s="505">
        <f t="shared" ref="P123" si="125">P101*P80/10^7</f>
        <v>0</v>
      </c>
      <c r="Q123" s="505">
        <f t="shared" si="104"/>
        <v>0</v>
      </c>
      <c r="R123" s="505">
        <f t="shared" si="99"/>
        <v>0</v>
      </c>
      <c r="S123" s="505">
        <f t="shared" ref="S123:W123" si="126">S101*S80/10^7</f>
        <v>0</v>
      </c>
      <c r="T123" s="505">
        <f t="shared" si="126"/>
        <v>0</v>
      </c>
      <c r="U123" s="505">
        <f t="shared" si="126"/>
        <v>0</v>
      </c>
      <c r="V123" s="505">
        <f t="shared" si="126"/>
        <v>0</v>
      </c>
      <c r="W123" s="505">
        <f t="shared" si="126"/>
        <v>0</v>
      </c>
      <c r="X123" s="507"/>
    </row>
    <row r="124" spans="2:24" s="415" customFormat="1" ht="15.5">
      <c r="B124" s="1075" t="s">
        <v>1426</v>
      </c>
      <c r="C124" s="1076" t="s">
        <v>824</v>
      </c>
      <c r="D124" s="1077" t="s">
        <v>135</v>
      </c>
      <c r="E124" s="652"/>
      <c r="F124" s="505">
        <f t="shared" si="112"/>
        <v>0</v>
      </c>
      <c r="G124" s="505">
        <f t="shared" si="112"/>
        <v>0</v>
      </c>
      <c r="H124" s="505">
        <f t="shared" si="121"/>
        <v>0</v>
      </c>
      <c r="I124" s="652"/>
      <c r="J124" s="505">
        <f t="shared" ref="J124:K124" si="127">J102*J81/10^7</f>
        <v>0</v>
      </c>
      <c r="K124" s="505">
        <f t="shared" si="127"/>
        <v>0</v>
      </c>
      <c r="L124" s="505">
        <f t="shared" si="123"/>
        <v>0</v>
      </c>
      <c r="M124" s="652"/>
      <c r="N124" s="505">
        <f t="shared" ref="N124:O124" si="128">N102*N81/10^7</f>
        <v>0</v>
      </c>
      <c r="O124" s="505">
        <f t="shared" si="128"/>
        <v>0</v>
      </c>
      <c r="P124" s="505">
        <f t="shared" ref="P124" si="129">P102*P81/10^7</f>
        <v>0</v>
      </c>
      <c r="Q124" s="505">
        <f t="shared" si="104"/>
        <v>0</v>
      </c>
      <c r="R124" s="505">
        <f t="shared" si="99"/>
        <v>0</v>
      </c>
      <c r="S124" s="505">
        <f t="shared" ref="S124:W124" si="130">S102*S81/10^7</f>
        <v>0</v>
      </c>
      <c r="T124" s="505">
        <f t="shared" si="130"/>
        <v>0</v>
      </c>
      <c r="U124" s="505">
        <f t="shared" si="130"/>
        <v>0</v>
      </c>
      <c r="V124" s="505">
        <f t="shared" si="130"/>
        <v>0</v>
      </c>
      <c r="W124" s="505">
        <f t="shared" si="130"/>
        <v>0</v>
      </c>
      <c r="X124" s="507"/>
    </row>
    <row r="125" spans="2:24" s="475" customFormat="1" ht="15.5">
      <c r="B125" s="459"/>
      <c r="C125" s="458" t="s">
        <v>134</v>
      </c>
      <c r="D125" s="387" t="s">
        <v>135</v>
      </c>
      <c r="E125" s="652"/>
      <c r="F125" s="505">
        <f t="shared" ref="F125:L125" si="131">SUM(F116:F124)</f>
        <v>2244.3775826234255</v>
      </c>
      <c r="G125" s="505">
        <f>SUM(G116:G124)</f>
        <v>2861.4377086544614</v>
      </c>
      <c r="H125" s="505">
        <f t="shared" si="131"/>
        <v>617.06012603103602</v>
      </c>
      <c r="I125" s="652"/>
      <c r="J125" s="505">
        <f t="shared" ref="J125:K125" si="132">SUM(J116:J124)</f>
        <v>2353.2059345800794</v>
      </c>
      <c r="K125" s="505">
        <f t="shared" si="132"/>
        <v>2580.3348862731868</v>
      </c>
      <c r="L125" s="505">
        <f t="shared" si="131"/>
        <v>227.12895169310738</v>
      </c>
      <c r="M125" s="652"/>
      <c r="N125" s="505">
        <f t="shared" ref="N125:O125" si="133">SUM(N116:N124)</f>
        <v>2473.9362198536901</v>
      </c>
      <c r="O125" s="505">
        <f t="shared" si="133"/>
        <v>1248.4104176237026</v>
      </c>
      <c r="P125" s="505">
        <f t="shared" ref="P125" si="134">SUM(P116:P124)</f>
        <v>1347.4777879673402</v>
      </c>
      <c r="Q125" s="505">
        <f>SUM(Q116:Q124)</f>
        <v>2595.8882055910422</v>
      </c>
      <c r="R125" s="505">
        <f>SUM(R116:R124)</f>
        <v>121.95198573735222</v>
      </c>
      <c r="S125" s="505">
        <f t="shared" ref="S125:W125" si="135">SUM(S116:S124)</f>
        <v>3070.8332223647185</v>
      </c>
      <c r="T125" s="505">
        <f t="shared" si="135"/>
        <v>3224.4339736843654</v>
      </c>
      <c r="U125" s="505">
        <f t="shared" si="135"/>
        <v>3385.6556723685849</v>
      </c>
      <c r="V125" s="505">
        <f t="shared" si="135"/>
        <v>3554.9976804843377</v>
      </c>
      <c r="W125" s="505">
        <f t="shared" si="135"/>
        <v>3732.7475645085547</v>
      </c>
      <c r="X125" s="510"/>
    </row>
    <row r="126" spans="2:24" s="415" customFormat="1" ht="15.5">
      <c r="B126" s="459"/>
      <c r="C126" s="458"/>
      <c r="D126" s="460"/>
      <c r="E126" s="649"/>
      <c r="F126" s="508"/>
      <c r="G126" s="508"/>
      <c r="H126" s="508"/>
      <c r="I126" s="649"/>
      <c r="J126" s="508"/>
      <c r="K126" s="508"/>
      <c r="L126" s="508"/>
      <c r="M126" s="649"/>
      <c r="N126" s="506"/>
      <c r="O126" s="506"/>
      <c r="P126" s="506"/>
      <c r="Q126" s="506"/>
      <c r="R126" s="506"/>
      <c r="S126" s="506"/>
      <c r="T126" s="506"/>
      <c r="U126" s="506"/>
      <c r="V126" s="506"/>
      <c r="W126" s="506"/>
      <c r="X126" s="507"/>
    </row>
    <row r="127" spans="2:24" s="415" customFormat="1" ht="15.5">
      <c r="B127" s="459">
        <v>5</v>
      </c>
      <c r="C127" s="458" t="s">
        <v>667</v>
      </c>
      <c r="D127" s="460"/>
      <c r="E127" s="649"/>
      <c r="F127" s="508"/>
      <c r="G127" s="508"/>
      <c r="H127" s="508"/>
      <c r="I127" s="649"/>
      <c r="J127" s="508"/>
      <c r="K127" s="508"/>
      <c r="L127" s="508"/>
      <c r="M127" s="649"/>
      <c r="N127" s="506"/>
      <c r="O127" s="506"/>
      <c r="P127" s="506"/>
      <c r="Q127" s="506"/>
      <c r="R127" s="506"/>
      <c r="S127" s="506"/>
      <c r="T127" s="506"/>
      <c r="U127" s="506"/>
      <c r="V127" s="506"/>
      <c r="W127" s="506"/>
      <c r="X127" s="507"/>
    </row>
    <row r="128" spans="2:24" s="415" customFormat="1" ht="15.5">
      <c r="B128" s="474">
        <v>5.0999999999999996</v>
      </c>
      <c r="C128" s="375" t="s">
        <v>714</v>
      </c>
      <c r="D128" s="386" t="s">
        <v>135</v>
      </c>
      <c r="E128" s="652"/>
      <c r="F128" s="505">
        <f>G128</f>
        <v>0</v>
      </c>
      <c r="G128" s="505"/>
      <c r="H128" s="505">
        <f>G128-F128</f>
        <v>0</v>
      </c>
      <c r="I128" s="652"/>
      <c r="J128" s="505">
        <f>K128</f>
        <v>0</v>
      </c>
      <c r="K128" s="505"/>
      <c r="L128" s="505">
        <f>K128-J128</f>
        <v>0</v>
      </c>
      <c r="M128" s="652"/>
      <c r="N128" s="505">
        <f>Q128</f>
        <v>0</v>
      </c>
      <c r="O128" s="505"/>
      <c r="P128" s="505"/>
      <c r="Q128" s="505">
        <f>SUM(O128:P128)</f>
        <v>0</v>
      </c>
      <c r="R128" s="505">
        <f t="shared" ref="R128:R131" si="136">Q128-N128</f>
        <v>0</v>
      </c>
      <c r="S128" s="505"/>
      <c r="T128" s="505"/>
      <c r="U128" s="505"/>
      <c r="V128" s="505"/>
      <c r="W128" s="505"/>
      <c r="X128" s="507"/>
    </row>
    <row r="129" spans="2:24" s="415" customFormat="1" ht="15.5">
      <c r="B129" s="474">
        <v>5.2</v>
      </c>
      <c r="C129" s="375" t="s">
        <v>112</v>
      </c>
      <c r="D129" s="386" t="s">
        <v>135</v>
      </c>
      <c r="E129" s="652"/>
      <c r="F129" s="505">
        <f t="shared" ref="F129:F130" si="137">G129</f>
        <v>0</v>
      </c>
      <c r="G129" s="505"/>
      <c r="H129" s="505">
        <f>G129-F129</f>
        <v>0</v>
      </c>
      <c r="I129" s="652"/>
      <c r="J129" s="505">
        <f t="shared" ref="J129:J130" si="138">K129</f>
        <v>0</v>
      </c>
      <c r="K129" s="505"/>
      <c r="L129" s="505">
        <f>K129-J129</f>
        <v>0</v>
      </c>
      <c r="M129" s="652"/>
      <c r="N129" s="505">
        <f t="shared" ref="N129:N130" si="139">Q129</f>
        <v>0</v>
      </c>
      <c r="O129" s="505"/>
      <c r="P129" s="505"/>
      <c r="Q129" s="505">
        <f t="shared" ref="Q129:Q130" si="140">SUM(O129:P129)</f>
        <v>0</v>
      </c>
      <c r="R129" s="505">
        <f t="shared" si="136"/>
        <v>0</v>
      </c>
      <c r="S129" s="505"/>
      <c r="T129" s="505"/>
      <c r="U129" s="505"/>
      <c r="V129" s="505"/>
      <c r="W129" s="505"/>
      <c r="X129" s="507"/>
    </row>
    <row r="130" spans="2:24" s="415" customFormat="1" ht="15.5">
      <c r="B130" s="474">
        <v>5.3</v>
      </c>
      <c r="C130" s="375" t="s">
        <v>114</v>
      </c>
      <c r="D130" s="386" t="s">
        <v>135</v>
      </c>
      <c r="E130" s="652"/>
      <c r="F130" s="505">
        <f t="shared" si="137"/>
        <v>0</v>
      </c>
      <c r="G130" s="505"/>
      <c r="H130" s="505">
        <f>G130-F130</f>
        <v>0</v>
      </c>
      <c r="I130" s="652"/>
      <c r="J130" s="505">
        <f t="shared" si="138"/>
        <v>0</v>
      </c>
      <c r="K130" s="505"/>
      <c r="L130" s="505">
        <f>K130-J130</f>
        <v>0</v>
      </c>
      <c r="M130" s="652"/>
      <c r="N130" s="505">
        <f t="shared" si="139"/>
        <v>0</v>
      </c>
      <c r="O130" s="505"/>
      <c r="P130" s="505"/>
      <c r="Q130" s="505">
        <f t="shared" si="140"/>
        <v>0</v>
      </c>
      <c r="R130" s="505">
        <f t="shared" si="136"/>
        <v>0</v>
      </c>
      <c r="S130" s="505"/>
      <c r="T130" s="505"/>
      <c r="U130" s="505"/>
      <c r="V130" s="505"/>
      <c r="W130" s="505"/>
      <c r="X130" s="507"/>
    </row>
    <row r="131" spans="2:24" s="415" customFormat="1" ht="15.5">
      <c r="B131" s="459"/>
      <c r="C131" s="458" t="s">
        <v>668</v>
      </c>
      <c r="D131" s="386" t="s">
        <v>135</v>
      </c>
      <c r="E131" s="491"/>
      <c r="F131" s="318">
        <f t="shared" ref="F131:Q131" si="141">SUM(F128:F130)</f>
        <v>0</v>
      </c>
      <c r="G131" s="318">
        <f t="shared" si="141"/>
        <v>0</v>
      </c>
      <c r="H131" s="318">
        <f t="shared" si="141"/>
        <v>0</v>
      </c>
      <c r="I131" s="491"/>
      <c r="J131" s="508">
        <f t="shared" si="141"/>
        <v>0</v>
      </c>
      <c r="K131" s="508">
        <f t="shared" si="141"/>
        <v>0</v>
      </c>
      <c r="L131" s="506">
        <f t="shared" si="141"/>
        <v>0</v>
      </c>
      <c r="M131" s="491"/>
      <c r="N131" s="508">
        <f t="shared" si="141"/>
        <v>0</v>
      </c>
      <c r="O131" s="508">
        <f t="shared" si="141"/>
        <v>0</v>
      </c>
      <c r="P131" s="508">
        <f t="shared" si="141"/>
        <v>0</v>
      </c>
      <c r="Q131" s="508">
        <f t="shared" si="141"/>
        <v>0</v>
      </c>
      <c r="R131" s="505">
        <f t="shared" si="136"/>
        <v>0</v>
      </c>
      <c r="S131" s="318">
        <f t="shared" ref="S131:W131" si="142">SUM(S128:S130)</f>
        <v>0</v>
      </c>
      <c r="T131" s="318">
        <f t="shared" si="142"/>
        <v>0</v>
      </c>
      <c r="U131" s="318">
        <f t="shared" si="142"/>
        <v>0</v>
      </c>
      <c r="V131" s="318">
        <f t="shared" si="142"/>
        <v>0</v>
      </c>
      <c r="W131" s="318">
        <f t="shared" si="142"/>
        <v>0</v>
      </c>
      <c r="X131" s="507"/>
    </row>
    <row r="132" spans="2:24" s="415" customFormat="1" ht="15.5">
      <c r="B132" s="459"/>
      <c r="C132" s="458"/>
      <c r="D132" s="460"/>
      <c r="E132" s="649"/>
      <c r="F132" s="508"/>
      <c r="G132" s="508"/>
      <c r="H132" s="508"/>
      <c r="I132" s="649"/>
      <c r="J132" s="508"/>
      <c r="K132" s="508"/>
      <c r="L132" s="508"/>
      <c r="M132" s="649"/>
      <c r="N132" s="506"/>
      <c r="O132" s="506"/>
      <c r="P132" s="506"/>
      <c r="Q132" s="506"/>
      <c r="R132" s="506"/>
      <c r="S132" s="508"/>
      <c r="T132" s="508"/>
      <c r="U132" s="508"/>
      <c r="V132" s="508"/>
      <c r="W132" s="508"/>
      <c r="X132" s="507"/>
    </row>
    <row r="133" spans="2:24" s="415" customFormat="1" ht="30">
      <c r="B133" s="459">
        <v>6</v>
      </c>
      <c r="C133" s="458" t="s">
        <v>669</v>
      </c>
      <c r="D133" s="460"/>
      <c r="E133" s="649"/>
      <c r="F133" s="508"/>
      <c r="G133" s="508"/>
      <c r="H133" s="508"/>
      <c r="I133" s="649"/>
      <c r="J133" s="508"/>
      <c r="K133" s="508"/>
      <c r="L133" s="508"/>
      <c r="M133" s="649"/>
      <c r="N133" s="506"/>
      <c r="O133" s="506"/>
      <c r="P133" s="506"/>
      <c r="Q133" s="506"/>
      <c r="R133" s="506"/>
      <c r="S133" s="508"/>
      <c r="T133" s="508"/>
      <c r="U133" s="508"/>
      <c r="V133" s="508"/>
      <c r="W133" s="508"/>
      <c r="X133" s="507"/>
    </row>
    <row r="134" spans="2:24" s="415" customFormat="1" ht="15.5">
      <c r="B134" s="474">
        <v>6.1</v>
      </c>
      <c r="C134" s="375" t="s">
        <v>714</v>
      </c>
      <c r="D134" s="386" t="s">
        <v>135</v>
      </c>
      <c r="E134" s="652"/>
      <c r="F134" s="505">
        <f t="shared" ref="F134:F136" si="143">G134</f>
        <v>0</v>
      </c>
      <c r="G134" s="505"/>
      <c r="H134" s="505"/>
      <c r="I134" s="652"/>
      <c r="J134" s="505">
        <f t="shared" ref="J134:J136" si="144">K134</f>
        <v>0</v>
      </c>
      <c r="K134" s="505"/>
      <c r="L134" s="505">
        <f>K134-J134</f>
        <v>0</v>
      </c>
      <c r="M134" s="652"/>
      <c r="N134" s="505">
        <f t="shared" ref="N134:N136" si="145">Q134</f>
        <v>0</v>
      </c>
      <c r="O134" s="505"/>
      <c r="P134" s="505"/>
      <c r="Q134" s="505">
        <f>SUM(O134:P134)</f>
        <v>0</v>
      </c>
      <c r="R134" s="505">
        <f t="shared" ref="R134:R137" si="146">Q134-N134</f>
        <v>0</v>
      </c>
      <c r="S134" s="505"/>
      <c r="T134" s="505"/>
      <c r="U134" s="505"/>
      <c r="V134" s="505"/>
      <c r="W134" s="505"/>
      <c r="X134" s="507"/>
    </row>
    <row r="135" spans="2:24" s="415" customFormat="1" ht="15.5">
      <c r="B135" s="474">
        <v>6.2</v>
      </c>
      <c r="C135" s="375" t="s">
        <v>112</v>
      </c>
      <c r="D135" s="386" t="s">
        <v>135</v>
      </c>
      <c r="E135" s="652"/>
      <c r="F135" s="505">
        <f t="shared" si="143"/>
        <v>0</v>
      </c>
      <c r="G135" s="505"/>
      <c r="H135" s="505"/>
      <c r="I135" s="652"/>
      <c r="J135" s="505">
        <f t="shared" si="144"/>
        <v>0</v>
      </c>
      <c r="K135" s="505"/>
      <c r="L135" s="505">
        <f>K135-J135</f>
        <v>0</v>
      </c>
      <c r="M135" s="652"/>
      <c r="N135" s="505">
        <f t="shared" si="145"/>
        <v>0</v>
      </c>
      <c r="O135" s="505"/>
      <c r="P135" s="505"/>
      <c r="Q135" s="505">
        <f t="shared" ref="Q135:Q136" si="147">SUM(O135:P135)</f>
        <v>0</v>
      </c>
      <c r="R135" s="505">
        <f t="shared" si="146"/>
        <v>0</v>
      </c>
      <c r="S135" s="505"/>
      <c r="T135" s="505"/>
      <c r="U135" s="505"/>
      <c r="V135" s="505"/>
      <c r="W135" s="505"/>
      <c r="X135" s="507"/>
    </row>
    <row r="136" spans="2:24" s="415" customFormat="1" ht="15.5">
      <c r="B136" s="474">
        <v>6.3</v>
      </c>
      <c r="C136" s="375" t="s">
        <v>114</v>
      </c>
      <c r="D136" s="386" t="s">
        <v>135</v>
      </c>
      <c r="E136" s="652"/>
      <c r="F136" s="505">
        <f t="shared" si="143"/>
        <v>0</v>
      </c>
      <c r="G136" s="505"/>
      <c r="H136" s="505"/>
      <c r="I136" s="652"/>
      <c r="J136" s="505">
        <f t="shared" si="144"/>
        <v>0</v>
      </c>
      <c r="K136" s="505"/>
      <c r="L136" s="505">
        <f>K136-J136</f>
        <v>0</v>
      </c>
      <c r="M136" s="652"/>
      <c r="N136" s="505">
        <f t="shared" si="145"/>
        <v>0</v>
      </c>
      <c r="O136" s="505"/>
      <c r="P136" s="505"/>
      <c r="Q136" s="505">
        <f t="shared" si="147"/>
        <v>0</v>
      </c>
      <c r="R136" s="505">
        <f t="shared" si="146"/>
        <v>0</v>
      </c>
      <c r="S136" s="505"/>
      <c r="T136" s="505"/>
      <c r="U136" s="505"/>
      <c r="V136" s="505"/>
      <c r="W136" s="505"/>
      <c r="X136" s="507"/>
    </row>
    <row r="137" spans="2:24" s="415" customFormat="1" ht="15.5">
      <c r="B137" s="459"/>
      <c r="C137" s="458" t="s">
        <v>670</v>
      </c>
      <c r="D137" s="387" t="s">
        <v>135</v>
      </c>
      <c r="E137" s="491"/>
      <c r="F137" s="318">
        <f t="shared" ref="F137:Q137" si="148">SUM(F134:F136)</f>
        <v>0</v>
      </c>
      <c r="G137" s="318">
        <f t="shared" si="148"/>
        <v>0</v>
      </c>
      <c r="H137" s="318">
        <f t="shared" si="148"/>
        <v>0</v>
      </c>
      <c r="I137" s="491"/>
      <c r="J137" s="508">
        <f t="shared" si="148"/>
        <v>0</v>
      </c>
      <c r="K137" s="508">
        <f t="shared" si="148"/>
        <v>0</v>
      </c>
      <c r="L137" s="506">
        <f t="shared" si="148"/>
        <v>0</v>
      </c>
      <c r="M137" s="491"/>
      <c r="N137" s="508">
        <f t="shared" si="148"/>
        <v>0</v>
      </c>
      <c r="O137" s="508">
        <f t="shared" si="148"/>
        <v>0</v>
      </c>
      <c r="P137" s="508">
        <f t="shared" si="148"/>
        <v>0</v>
      </c>
      <c r="Q137" s="508">
        <f t="shared" si="148"/>
        <v>0</v>
      </c>
      <c r="R137" s="505">
        <f t="shared" si="146"/>
        <v>0</v>
      </c>
      <c r="S137" s="318">
        <f t="shared" ref="S137:W137" si="149">SUM(S134:S136)</f>
        <v>0</v>
      </c>
      <c r="T137" s="318">
        <f t="shared" si="149"/>
        <v>0</v>
      </c>
      <c r="U137" s="318">
        <f t="shared" si="149"/>
        <v>0</v>
      </c>
      <c r="V137" s="318">
        <f t="shared" si="149"/>
        <v>0</v>
      </c>
      <c r="W137" s="318">
        <f t="shared" si="149"/>
        <v>0</v>
      </c>
      <c r="X137" s="507"/>
    </row>
    <row r="138" spans="2:24" s="415" customFormat="1" ht="15.5">
      <c r="B138" s="459"/>
      <c r="C138" s="458"/>
      <c r="D138" s="386"/>
      <c r="E138" s="649"/>
      <c r="F138" s="508"/>
      <c r="G138" s="508"/>
      <c r="H138" s="508"/>
      <c r="I138" s="649"/>
      <c r="J138" s="508"/>
      <c r="K138" s="508"/>
      <c r="L138" s="508"/>
      <c r="M138" s="649"/>
      <c r="N138" s="506"/>
      <c r="O138" s="506"/>
      <c r="P138" s="506"/>
      <c r="Q138" s="506"/>
      <c r="R138" s="506"/>
      <c r="S138" s="508"/>
      <c r="T138" s="508"/>
      <c r="U138" s="508"/>
      <c r="V138" s="508"/>
      <c r="W138" s="508"/>
      <c r="X138" s="507"/>
    </row>
    <row r="139" spans="2:24" s="415" customFormat="1" ht="30">
      <c r="B139" s="459">
        <v>7</v>
      </c>
      <c r="C139" s="458" t="s">
        <v>136</v>
      </c>
      <c r="D139" s="460"/>
      <c r="E139" s="649"/>
      <c r="F139" s="508"/>
      <c r="G139" s="508"/>
      <c r="H139" s="508"/>
      <c r="I139" s="649"/>
      <c r="J139" s="508"/>
      <c r="K139" s="508"/>
      <c r="L139" s="508"/>
      <c r="M139" s="649"/>
      <c r="N139" s="506"/>
      <c r="O139" s="506"/>
      <c r="P139" s="506"/>
      <c r="Q139" s="506"/>
      <c r="R139" s="506"/>
      <c r="S139" s="508"/>
      <c r="T139" s="508"/>
      <c r="U139" s="508"/>
      <c r="V139" s="508"/>
      <c r="W139" s="508"/>
      <c r="X139" s="507"/>
    </row>
    <row r="140" spans="2:24" s="415" customFormat="1" ht="15.5">
      <c r="B140" s="474" t="s">
        <v>735</v>
      </c>
      <c r="C140" s="375" t="s">
        <v>819</v>
      </c>
      <c r="D140" s="386" t="s">
        <v>135</v>
      </c>
      <c r="E140" s="652"/>
      <c r="F140" s="505">
        <f t="shared" ref="F140:F152" si="150">G140</f>
        <v>0</v>
      </c>
      <c r="G140" s="505">
        <v>0</v>
      </c>
      <c r="H140" s="505">
        <f>G140-F140</f>
        <v>0</v>
      </c>
      <c r="I140" s="652"/>
      <c r="J140" s="505">
        <f t="shared" ref="J140:J152" si="151">K140</f>
        <v>0</v>
      </c>
      <c r="K140" s="505">
        <v>0</v>
      </c>
      <c r="L140" s="505">
        <f>K140-J140</f>
        <v>0</v>
      </c>
      <c r="M140" s="652"/>
      <c r="N140" s="505">
        <f t="shared" ref="N140:N152" si="152">Q140</f>
        <v>0</v>
      </c>
      <c r="O140" s="505"/>
      <c r="P140" s="505"/>
      <c r="Q140" s="505">
        <f t="shared" ref="Q140" si="153">SUM(O140:P140)</f>
        <v>0</v>
      </c>
      <c r="R140" s="505">
        <f t="shared" ref="R140" si="154">Q140-N140</f>
        <v>0</v>
      </c>
      <c r="S140" s="846">
        <v>0</v>
      </c>
      <c r="T140" s="846">
        <v>0</v>
      </c>
      <c r="U140" s="846">
        <v>0</v>
      </c>
      <c r="V140" s="846">
        <v>0</v>
      </c>
      <c r="W140" s="846">
        <v>0</v>
      </c>
      <c r="X140" s="507"/>
    </row>
    <row r="141" spans="2:24" s="415" customFormat="1" ht="31">
      <c r="B141" s="474" t="s">
        <v>736</v>
      </c>
      <c r="C141" s="375" t="s">
        <v>820</v>
      </c>
      <c r="D141" s="386" t="s">
        <v>135</v>
      </c>
      <c r="E141" s="652"/>
      <c r="F141" s="505">
        <f t="shared" si="150"/>
        <v>0</v>
      </c>
      <c r="G141" s="505">
        <v>0</v>
      </c>
      <c r="H141" s="505">
        <f t="shared" ref="H141:H152" si="155">G141-F141</f>
        <v>0</v>
      </c>
      <c r="I141" s="652"/>
      <c r="J141" s="505">
        <f t="shared" si="151"/>
        <v>0</v>
      </c>
      <c r="K141" s="505">
        <v>0</v>
      </c>
      <c r="L141" s="505">
        <f t="shared" ref="L141:L152" si="156">K141-J141</f>
        <v>0</v>
      </c>
      <c r="M141" s="652"/>
      <c r="N141" s="505">
        <f t="shared" si="152"/>
        <v>0</v>
      </c>
      <c r="O141" s="505"/>
      <c r="P141" s="505"/>
      <c r="Q141" s="505">
        <f t="shared" ref="Q141:Q152" si="157">SUM(O141:P141)</f>
        <v>0</v>
      </c>
      <c r="R141" s="505">
        <f t="shared" ref="R141:R152" si="158">Q141-N141</f>
        <v>0</v>
      </c>
      <c r="S141" s="846"/>
      <c r="T141" s="846"/>
      <c r="U141" s="846"/>
      <c r="V141" s="846"/>
      <c r="W141" s="846"/>
      <c r="X141" s="507"/>
    </row>
    <row r="142" spans="2:24" s="415" customFormat="1" ht="15.5">
      <c r="B142" s="474" t="s">
        <v>737</v>
      </c>
      <c r="C142" s="375" t="s">
        <v>724</v>
      </c>
      <c r="D142" s="386" t="s">
        <v>135</v>
      </c>
      <c r="E142" s="652"/>
      <c r="F142" s="505">
        <f t="shared" si="150"/>
        <v>0</v>
      </c>
      <c r="G142" s="505">
        <v>0</v>
      </c>
      <c r="H142" s="505">
        <f t="shared" si="155"/>
        <v>0</v>
      </c>
      <c r="I142" s="652"/>
      <c r="J142" s="505">
        <f t="shared" si="151"/>
        <v>0</v>
      </c>
      <c r="K142" s="505">
        <v>0</v>
      </c>
      <c r="L142" s="505">
        <f t="shared" si="156"/>
        <v>0</v>
      </c>
      <c r="M142" s="652"/>
      <c r="N142" s="505">
        <f t="shared" si="152"/>
        <v>0</v>
      </c>
      <c r="O142" s="505"/>
      <c r="P142" s="505"/>
      <c r="Q142" s="505">
        <f t="shared" si="157"/>
        <v>0</v>
      </c>
      <c r="R142" s="505">
        <f t="shared" si="158"/>
        <v>0</v>
      </c>
      <c r="S142" s="846"/>
      <c r="T142" s="846"/>
      <c r="U142" s="846"/>
      <c r="V142" s="846"/>
      <c r="W142" s="846"/>
      <c r="X142" s="507"/>
    </row>
    <row r="143" spans="2:24" s="415" customFormat="1" ht="15.5">
      <c r="B143" s="474" t="s">
        <v>800</v>
      </c>
      <c r="C143" s="375" t="s">
        <v>725</v>
      </c>
      <c r="D143" s="386" t="s">
        <v>135</v>
      </c>
      <c r="E143" s="652"/>
      <c r="F143" s="505">
        <f t="shared" si="150"/>
        <v>0</v>
      </c>
      <c r="G143" s="505">
        <v>0</v>
      </c>
      <c r="H143" s="505">
        <f t="shared" si="155"/>
        <v>0</v>
      </c>
      <c r="I143" s="652"/>
      <c r="J143" s="505">
        <f t="shared" si="151"/>
        <v>0</v>
      </c>
      <c r="K143" s="505">
        <v>0</v>
      </c>
      <c r="L143" s="505">
        <f t="shared" si="156"/>
        <v>0</v>
      </c>
      <c r="M143" s="652"/>
      <c r="N143" s="505">
        <f t="shared" si="152"/>
        <v>0</v>
      </c>
      <c r="O143" s="505"/>
      <c r="P143" s="505"/>
      <c r="Q143" s="505">
        <f t="shared" si="157"/>
        <v>0</v>
      </c>
      <c r="R143" s="505">
        <f t="shared" si="158"/>
        <v>0</v>
      </c>
      <c r="S143" s="846"/>
      <c r="T143" s="846"/>
      <c r="U143" s="846"/>
      <c r="V143" s="846"/>
      <c r="W143" s="846"/>
      <c r="X143" s="507"/>
    </row>
    <row r="144" spans="2:24" s="415" customFormat="1" ht="15.5">
      <c r="B144" s="474" t="s">
        <v>801</v>
      </c>
      <c r="C144" s="375" t="s">
        <v>726</v>
      </c>
      <c r="D144" s="386" t="s">
        <v>135</v>
      </c>
      <c r="E144" s="652"/>
      <c r="F144" s="505">
        <f t="shared" si="150"/>
        <v>0</v>
      </c>
      <c r="G144" s="505">
        <v>0</v>
      </c>
      <c r="H144" s="505">
        <f t="shared" si="155"/>
        <v>0</v>
      </c>
      <c r="I144" s="652"/>
      <c r="J144" s="505">
        <f t="shared" si="151"/>
        <v>0</v>
      </c>
      <c r="K144" s="505">
        <v>0</v>
      </c>
      <c r="L144" s="505">
        <f t="shared" si="156"/>
        <v>0</v>
      </c>
      <c r="M144" s="652"/>
      <c r="N144" s="505">
        <f t="shared" si="152"/>
        <v>0</v>
      </c>
      <c r="O144" s="505"/>
      <c r="P144" s="505"/>
      <c r="Q144" s="505">
        <f t="shared" si="157"/>
        <v>0</v>
      </c>
      <c r="R144" s="505">
        <f t="shared" si="158"/>
        <v>0</v>
      </c>
      <c r="S144" s="846">
        <v>0</v>
      </c>
      <c r="T144" s="846">
        <v>0</v>
      </c>
      <c r="U144" s="846">
        <v>0</v>
      </c>
      <c r="V144" s="846">
        <v>0</v>
      </c>
      <c r="W144" s="846">
        <v>0</v>
      </c>
      <c r="X144" s="507"/>
    </row>
    <row r="145" spans="2:24" s="415" customFormat="1" ht="15.5">
      <c r="B145" s="474" t="s">
        <v>802</v>
      </c>
      <c r="C145" s="375" t="s">
        <v>727</v>
      </c>
      <c r="D145" s="386" t="s">
        <v>135</v>
      </c>
      <c r="E145" s="652"/>
      <c r="F145" s="505">
        <f t="shared" si="150"/>
        <v>0</v>
      </c>
      <c r="G145" s="505">
        <v>0</v>
      </c>
      <c r="H145" s="505">
        <f t="shared" si="155"/>
        <v>0</v>
      </c>
      <c r="I145" s="652"/>
      <c r="J145" s="505">
        <f t="shared" si="151"/>
        <v>0</v>
      </c>
      <c r="K145" s="505">
        <v>0</v>
      </c>
      <c r="L145" s="505">
        <f t="shared" si="156"/>
        <v>0</v>
      </c>
      <c r="M145" s="652"/>
      <c r="N145" s="505">
        <f t="shared" si="152"/>
        <v>0</v>
      </c>
      <c r="O145" s="505"/>
      <c r="P145" s="505"/>
      <c r="Q145" s="505">
        <f t="shared" si="157"/>
        <v>0</v>
      </c>
      <c r="R145" s="505">
        <f t="shared" si="158"/>
        <v>0</v>
      </c>
      <c r="S145" s="846">
        <v>0</v>
      </c>
      <c r="T145" s="846">
        <v>0</v>
      </c>
      <c r="U145" s="846">
        <v>0</v>
      </c>
      <c r="V145" s="846">
        <v>0</v>
      </c>
      <c r="W145" s="846">
        <v>0</v>
      </c>
      <c r="X145" s="507"/>
    </row>
    <row r="146" spans="2:24" s="415" customFormat="1" ht="15.5">
      <c r="B146" s="474" t="s">
        <v>803</v>
      </c>
      <c r="C146" s="375" t="s">
        <v>728</v>
      </c>
      <c r="D146" s="386" t="s">
        <v>135</v>
      </c>
      <c r="E146" s="652"/>
      <c r="F146" s="505">
        <f t="shared" si="150"/>
        <v>0</v>
      </c>
      <c r="G146" s="505">
        <v>0</v>
      </c>
      <c r="H146" s="505">
        <f t="shared" si="155"/>
        <v>0</v>
      </c>
      <c r="I146" s="652"/>
      <c r="J146" s="505">
        <f t="shared" si="151"/>
        <v>0</v>
      </c>
      <c r="K146" s="505">
        <v>0</v>
      </c>
      <c r="L146" s="505">
        <f t="shared" si="156"/>
        <v>0</v>
      </c>
      <c r="M146" s="652"/>
      <c r="N146" s="505">
        <f t="shared" si="152"/>
        <v>0</v>
      </c>
      <c r="O146" s="505"/>
      <c r="P146" s="505"/>
      <c r="Q146" s="505">
        <f t="shared" si="157"/>
        <v>0</v>
      </c>
      <c r="R146" s="505">
        <f t="shared" si="158"/>
        <v>0</v>
      </c>
      <c r="S146" s="846">
        <v>0</v>
      </c>
      <c r="T146" s="846">
        <v>0</v>
      </c>
      <c r="U146" s="846">
        <v>0</v>
      </c>
      <c r="V146" s="846">
        <v>0</v>
      </c>
      <c r="W146" s="846">
        <v>0</v>
      </c>
      <c r="X146" s="507"/>
    </row>
    <row r="147" spans="2:24" s="415" customFormat="1" ht="15.5">
      <c r="B147" s="474" t="s">
        <v>804</v>
      </c>
      <c r="C147" s="375" t="s">
        <v>729</v>
      </c>
      <c r="D147" s="386" t="s">
        <v>135</v>
      </c>
      <c r="E147" s="652"/>
      <c r="F147" s="505">
        <f t="shared" si="150"/>
        <v>0</v>
      </c>
      <c r="G147" s="505">
        <v>0</v>
      </c>
      <c r="H147" s="505">
        <f t="shared" si="155"/>
        <v>0</v>
      </c>
      <c r="I147" s="652"/>
      <c r="J147" s="505">
        <f t="shared" si="151"/>
        <v>0</v>
      </c>
      <c r="K147" s="505">
        <v>0</v>
      </c>
      <c r="L147" s="505">
        <f t="shared" si="156"/>
        <v>0</v>
      </c>
      <c r="M147" s="652"/>
      <c r="N147" s="505">
        <f t="shared" si="152"/>
        <v>0</v>
      </c>
      <c r="O147" s="505"/>
      <c r="P147" s="505"/>
      <c r="Q147" s="505">
        <f t="shared" si="157"/>
        <v>0</v>
      </c>
      <c r="R147" s="505">
        <f t="shared" si="158"/>
        <v>0</v>
      </c>
      <c r="S147" s="846">
        <v>0</v>
      </c>
      <c r="T147" s="846">
        <v>0</v>
      </c>
      <c r="U147" s="846">
        <v>0</v>
      </c>
      <c r="V147" s="846">
        <v>0</v>
      </c>
      <c r="W147" s="846">
        <v>0</v>
      </c>
      <c r="X147" s="507"/>
    </row>
    <row r="148" spans="2:24" s="415" customFormat="1" ht="31">
      <c r="B148" s="474" t="s">
        <v>805</v>
      </c>
      <c r="C148" s="375" t="s">
        <v>730</v>
      </c>
      <c r="D148" s="386" t="s">
        <v>135</v>
      </c>
      <c r="E148" s="652"/>
      <c r="F148" s="505">
        <f t="shared" si="150"/>
        <v>0</v>
      </c>
      <c r="G148" s="505">
        <v>0</v>
      </c>
      <c r="H148" s="505">
        <f t="shared" si="155"/>
        <v>0</v>
      </c>
      <c r="I148" s="652"/>
      <c r="J148" s="505">
        <f t="shared" si="151"/>
        <v>0</v>
      </c>
      <c r="K148" s="505">
        <v>0</v>
      </c>
      <c r="L148" s="505">
        <f t="shared" si="156"/>
        <v>0</v>
      </c>
      <c r="M148" s="652"/>
      <c r="N148" s="505">
        <f t="shared" si="152"/>
        <v>0</v>
      </c>
      <c r="O148" s="505"/>
      <c r="P148" s="505"/>
      <c r="Q148" s="505">
        <f t="shared" si="157"/>
        <v>0</v>
      </c>
      <c r="R148" s="505">
        <f t="shared" si="158"/>
        <v>0</v>
      </c>
      <c r="S148" s="846">
        <v>0</v>
      </c>
      <c r="T148" s="846">
        <v>0</v>
      </c>
      <c r="U148" s="846">
        <v>0</v>
      </c>
      <c r="V148" s="846">
        <v>0</v>
      </c>
      <c r="W148" s="846">
        <v>0</v>
      </c>
      <c r="X148" s="507"/>
    </row>
    <row r="149" spans="2:24" s="415" customFormat="1" ht="31">
      <c r="B149" s="474" t="s">
        <v>806</v>
      </c>
      <c r="C149" s="375" t="s">
        <v>731</v>
      </c>
      <c r="D149" s="386" t="s">
        <v>135</v>
      </c>
      <c r="E149" s="652"/>
      <c r="F149" s="505">
        <f t="shared" si="150"/>
        <v>0</v>
      </c>
      <c r="G149" s="505">
        <v>0</v>
      </c>
      <c r="H149" s="505">
        <f t="shared" si="155"/>
        <v>0</v>
      </c>
      <c r="I149" s="652"/>
      <c r="J149" s="505">
        <f t="shared" si="151"/>
        <v>0</v>
      </c>
      <c r="K149" s="505">
        <v>0</v>
      </c>
      <c r="L149" s="505">
        <f t="shared" si="156"/>
        <v>0</v>
      </c>
      <c r="M149" s="652"/>
      <c r="N149" s="505">
        <f t="shared" si="152"/>
        <v>0</v>
      </c>
      <c r="O149" s="505"/>
      <c r="P149" s="505"/>
      <c r="Q149" s="505">
        <f t="shared" si="157"/>
        <v>0</v>
      </c>
      <c r="R149" s="505">
        <f t="shared" si="158"/>
        <v>0</v>
      </c>
      <c r="S149" s="846">
        <v>0</v>
      </c>
      <c r="T149" s="846">
        <v>0</v>
      </c>
      <c r="U149" s="846">
        <v>0</v>
      </c>
      <c r="V149" s="846">
        <v>0</v>
      </c>
      <c r="W149" s="846">
        <v>0</v>
      </c>
      <c r="X149" s="507"/>
    </row>
    <row r="150" spans="2:24" s="415" customFormat="1" ht="15.5">
      <c r="B150" s="474" t="s">
        <v>807</v>
      </c>
      <c r="C150" s="375" t="s">
        <v>732</v>
      </c>
      <c r="D150" s="386" t="s">
        <v>135</v>
      </c>
      <c r="E150" s="652"/>
      <c r="F150" s="505">
        <f t="shared" si="150"/>
        <v>0</v>
      </c>
      <c r="G150" s="505">
        <v>0</v>
      </c>
      <c r="H150" s="505">
        <f t="shared" si="155"/>
        <v>0</v>
      </c>
      <c r="I150" s="652"/>
      <c r="J150" s="505">
        <f t="shared" si="151"/>
        <v>0</v>
      </c>
      <c r="K150" s="505">
        <v>0</v>
      </c>
      <c r="L150" s="505">
        <f t="shared" si="156"/>
        <v>0</v>
      </c>
      <c r="M150" s="652"/>
      <c r="N150" s="505">
        <f t="shared" si="152"/>
        <v>0</v>
      </c>
      <c r="O150" s="505"/>
      <c r="P150" s="505"/>
      <c r="Q150" s="505">
        <f t="shared" si="157"/>
        <v>0</v>
      </c>
      <c r="R150" s="505">
        <f t="shared" si="158"/>
        <v>0</v>
      </c>
      <c r="S150" s="846">
        <v>0</v>
      </c>
      <c r="T150" s="846">
        <v>0</v>
      </c>
      <c r="U150" s="846">
        <v>0</v>
      </c>
      <c r="V150" s="846">
        <v>0</v>
      </c>
      <c r="W150" s="846">
        <v>0</v>
      </c>
      <c r="X150" s="507"/>
    </row>
    <row r="151" spans="2:24" s="415" customFormat="1" ht="15.5">
      <c r="B151" s="474" t="s">
        <v>808</v>
      </c>
      <c r="C151" s="375" t="s">
        <v>733</v>
      </c>
      <c r="D151" s="386" t="s">
        <v>135</v>
      </c>
      <c r="E151" s="652"/>
      <c r="F151" s="505">
        <f t="shared" si="150"/>
        <v>0</v>
      </c>
      <c r="G151" s="505">
        <v>0</v>
      </c>
      <c r="H151" s="505">
        <f t="shared" si="155"/>
        <v>0</v>
      </c>
      <c r="I151" s="652"/>
      <c r="J151" s="505">
        <f t="shared" si="151"/>
        <v>0</v>
      </c>
      <c r="K151" s="505">
        <v>0</v>
      </c>
      <c r="L151" s="505">
        <f t="shared" si="156"/>
        <v>0</v>
      </c>
      <c r="M151" s="652"/>
      <c r="N151" s="505">
        <f t="shared" si="152"/>
        <v>0</v>
      </c>
      <c r="O151" s="505"/>
      <c r="P151" s="505"/>
      <c r="Q151" s="505">
        <f t="shared" si="157"/>
        <v>0</v>
      </c>
      <c r="R151" s="505">
        <f t="shared" si="158"/>
        <v>0</v>
      </c>
      <c r="S151" s="846">
        <v>0</v>
      </c>
      <c r="T151" s="846">
        <v>0</v>
      </c>
      <c r="U151" s="846">
        <v>0</v>
      </c>
      <c r="V151" s="846">
        <v>0</v>
      </c>
      <c r="W151" s="846">
        <v>0</v>
      </c>
      <c r="X151" s="507"/>
    </row>
    <row r="152" spans="2:24" s="415" customFormat="1" ht="15.5">
      <c r="B152" s="474" t="s">
        <v>809</v>
      </c>
      <c r="C152" s="375" t="s">
        <v>734</v>
      </c>
      <c r="D152" s="386" t="s">
        <v>135</v>
      </c>
      <c r="E152" s="652"/>
      <c r="F152" s="505">
        <f t="shared" si="150"/>
        <v>0</v>
      </c>
      <c r="G152" s="505">
        <v>0</v>
      </c>
      <c r="H152" s="505">
        <f t="shared" si="155"/>
        <v>0</v>
      </c>
      <c r="I152" s="652"/>
      <c r="J152" s="505">
        <f t="shared" si="151"/>
        <v>0</v>
      </c>
      <c r="K152" s="505">
        <v>0</v>
      </c>
      <c r="L152" s="505">
        <f t="shared" si="156"/>
        <v>0</v>
      </c>
      <c r="M152" s="652"/>
      <c r="N152" s="505">
        <f t="shared" si="152"/>
        <v>0</v>
      </c>
      <c r="O152" s="505"/>
      <c r="P152" s="505"/>
      <c r="Q152" s="505">
        <f t="shared" si="157"/>
        <v>0</v>
      </c>
      <c r="R152" s="505">
        <f t="shared" si="158"/>
        <v>0</v>
      </c>
      <c r="S152" s="846">
        <v>0</v>
      </c>
      <c r="T152" s="846">
        <v>0</v>
      </c>
      <c r="U152" s="846">
        <v>0</v>
      </c>
      <c r="V152" s="846">
        <v>0</v>
      </c>
      <c r="W152" s="846">
        <v>0</v>
      </c>
      <c r="X152" s="507"/>
    </row>
    <row r="153" spans="2:24" s="475" customFormat="1" ht="30">
      <c r="B153" s="459"/>
      <c r="C153" s="458" t="s">
        <v>137</v>
      </c>
      <c r="D153" s="387" t="s">
        <v>135</v>
      </c>
      <c r="E153" s="652"/>
      <c r="F153" s="505">
        <f>SUM(F140:F152)</f>
        <v>0</v>
      </c>
      <c r="G153" s="505">
        <f t="shared" ref="G153:R153" si="159">SUM(G140:G152)</f>
        <v>0</v>
      </c>
      <c r="H153" s="505">
        <f t="shared" si="159"/>
        <v>0</v>
      </c>
      <c r="I153" s="652"/>
      <c r="J153" s="505">
        <f t="shared" si="159"/>
        <v>0</v>
      </c>
      <c r="K153" s="505">
        <f t="shared" si="159"/>
        <v>0</v>
      </c>
      <c r="L153" s="505">
        <f t="shared" si="159"/>
        <v>0</v>
      </c>
      <c r="M153" s="652"/>
      <c r="N153" s="505">
        <f t="shared" si="159"/>
        <v>0</v>
      </c>
      <c r="O153" s="505">
        <f t="shared" si="159"/>
        <v>0</v>
      </c>
      <c r="P153" s="505">
        <f t="shared" si="159"/>
        <v>0</v>
      </c>
      <c r="Q153" s="505">
        <f t="shared" si="159"/>
        <v>0</v>
      </c>
      <c r="R153" s="505">
        <f t="shared" si="159"/>
        <v>0</v>
      </c>
      <c r="S153" s="505">
        <f t="shared" ref="S153:W153" si="160">SUM(S140:S152)</f>
        <v>0</v>
      </c>
      <c r="T153" s="505">
        <f t="shared" si="160"/>
        <v>0</v>
      </c>
      <c r="U153" s="505">
        <f t="shared" si="160"/>
        <v>0</v>
      </c>
      <c r="V153" s="505">
        <f t="shared" si="160"/>
        <v>0</v>
      </c>
      <c r="W153" s="505">
        <f t="shared" si="160"/>
        <v>0</v>
      </c>
      <c r="X153" s="510"/>
    </row>
    <row r="154" spans="2:24" s="415" customFormat="1" ht="15.5">
      <c r="B154" s="459"/>
      <c r="C154" s="458"/>
      <c r="D154" s="460"/>
      <c r="E154" s="653"/>
      <c r="F154" s="509"/>
      <c r="G154" s="509"/>
      <c r="H154" s="509"/>
      <c r="I154" s="653"/>
      <c r="J154" s="509"/>
      <c r="K154" s="509"/>
      <c r="L154" s="509"/>
      <c r="M154" s="653"/>
      <c r="N154" s="509"/>
      <c r="O154" s="509"/>
      <c r="P154" s="509"/>
      <c r="Q154" s="505"/>
      <c r="R154" s="505"/>
      <c r="S154" s="509"/>
      <c r="T154" s="509"/>
      <c r="U154" s="509"/>
      <c r="V154" s="509"/>
      <c r="W154" s="509"/>
      <c r="X154" s="507"/>
    </row>
    <row r="155" spans="2:24" s="418" customFormat="1" ht="15.5">
      <c r="B155" s="461">
        <v>8</v>
      </c>
      <c r="C155" s="462" t="s">
        <v>671</v>
      </c>
      <c r="D155" s="386" t="s">
        <v>135</v>
      </c>
      <c r="E155" s="654">
        <v>2291.4738948260842</v>
      </c>
      <c r="F155" s="817">
        <f>F125+F131+F137+F153</f>
        <v>2244.3775826234255</v>
      </c>
      <c r="G155" s="417">
        <f>G125+G131+G137+G4153</f>
        <v>2861.4377086544614</v>
      </c>
      <c r="H155" s="417">
        <f t="shared" ref="H155:Q155" si="161">H125+H131+H137+H153</f>
        <v>617.06012603103602</v>
      </c>
      <c r="I155" s="654">
        <v>2603.5826665898417</v>
      </c>
      <c r="J155" s="417">
        <f t="shared" si="161"/>
        <v>2353.2059345800794</v>
      </c>
      <c r="K155" s="417">
        <f t="shared" si="161"/>
        <v>2580.3348862731868</v>
      </c>
      <c r="L155" s="417">
        <f t="shared" si="161"/>
        <v>227.12895169310738</v>
      </c>
      <c r="M155" s="654">
        <v>2621.9950598721307</v>
      </c>
      <c r="N155" s="417">
        <f t="shared" si="161"/>
        <v>2473.9362198536901</v>
      </c>
      <c r="O155" s="417">
        <f t="shared" si="161"/>
        <v>1248.4104176237026</v>
      </c>
      <c r="P155" s="417">
        <f t="shared" si="161"/>
        <v>1347.4777879673402</v>
      </c>
      <c r="Q155" s="417">
        <f t="shared" si="161"/>
        <v>2595.8882055910422</v>
      </c>
      <c r="R155" s="729">
        <f>R125+R131+R137+R153</f>
        <v>121.95198573735222</v>
      </c>
      <c r="S155" s="417">
        <f>S125+S131+S137+S153</f>
        <v>3070.8332223647185</v>
      </c>
      <c r="T155" s="417">
        <f t="shared" ref="T155:W155" si="162">T125+T131+T137+T153</f>
        <v>3224.4339736843654</v>
      </c>
      <c r="U155" s="417">
        <f t="shared" si="162"/>
        <v>3385.6556723685849</v>
      </c>
      <c r="V155" s="417">
        <f t="shared" si="162"/>
        <v>3554.9976804843377</v>
      </c>
      <c r="W155" s="417">
        <f t="shared" si="162"/>
        <v>3732.7475645085547</v>
      </c>
      <c r="X155" s="400"/>
    </row>
    <row r="156" spans="2:24" s="6" customFormat="1" ht="15.5">
      <c r="B156" s="380"/>
      <c r="C156" s="381"/>
      <c r="D156" s="382"/>
      <c r="E156" s="496"/>
      <c r="F156" s="496"/>
      <c r="G156" s="496"/>
      <c r="H156" s="496"/>
      <c r="I156" s="496"/>
      <c r="J156" s="496"/>
      <c r="K156" s="496"/>
      <c r="L156" s="496"/>
      <c r="M156" s="496"/>
      <c r="N156" s="495"/>
      <c r="O156" s="495"/>
      <c r="P156" s="495"/>
      <c r="Q156" s="495"/>
      <c r="R156" s="495"/>
      <c r="S156" s="496"/>
      <c r="T156" s="496"/>
      <c r="U156" s="496"/>
      <c r="V156" s="496"/>
      <c r="W156" s="496"/>
      <c r="X156" s="390"/>
    </row>
    <row r="157" spans="2:24" s="6" customFormat="1" ht="15.5">
      <c r="B157" s="380">
        <v>9</v>
      </c>
      <c r="C157" s="381" t="s">
        <v>672</v>
      </c>
      <c r="D157" s="382" t="s">
        <v>138</v>
      </c>
      <c r="E157" s="496">
        <v>3.854003813632823</v>
      </c>
      <c r="F157" s="737">
        <f>F155/F37*10</f>
        <v>3.9016907065705357</v>
      </c>
      <c r="G157" s="496">
        <f>G155/G37*10</f>
        <v>4.9935617486605102</v>
      </c>
      <c r="H157" s="496">
        <f t="shared" ref="H157" si="163">G157-F157</f>
        <v>1.0918710420899744</v>
      </c>
      <c r="I157" s="496">
        <v>3.7096442653012334</v>
      </c>
      <c r="J157" s="496">
        <f>J155/J37*10</f>
        <v>3.8166430007069647</v>
      </c>
      <c r="K157" s="496">
        <f>K155/K37*10</f>
        <v>4.2215085828269796</v>
      </c>
      <c r="L157" s="496">
        <f t="shared" ref="L157" si="164">K157-J157</f>
        <v>0.40486558212001489</v>
      </c>
      <c r="M157" s="496">
        <v>3.746113949331829</v>
      </c>
      <c r="N157" s="496">
        <f t="shared" ref="N157:W157" si="165">N155/N37*10</f>
        <v>4.0043710622915354</v>
      </c>
      <c r="O157" s="496">
        <f t="shared" si="165"/>
        <v>4.6360305980435159</v>
      </c>
      <c r="P157" s="496">
        <f t="shared" si="165"/>
        <v>3.912418933506645</v>
      </c>
      <c r="Q157" s="496">
        <f t="shared" si="165"/>
        <v>4.229933934674083</v>
      </c>
      <c r="R157" s="737">
        <f t="shared" si="165"/>
        <v>-29.641762742546423</v>
      </c>
      <c r="S157" s="496">
        <f t="shared" si="165"/>
        <v>4.3876318399505845</v>
      </c>
      <c r="T157" s="496">
        <f t="shared" si="165"/>
        <v>4.6070095423016246</v>
      </c>
      <c r="U157" s="496">
        <f t="shared" si="165"/>
        <v>4.8999120886333039</v>
      </c>
      <c r="V157" s="496">
        <f t="shared" si="165"/>
        <v>5.1449037443114278</v>
      </c>
      <c r="W157" s="496">
        <f t="shared" si="165"/>
        <v>5.402148931526999</v>
      </c>
      <c r="X157" s="496"/>
    </row>
    <row r="158" spans="2:24" s="1" customFormat="1" ht="16">
      <c r="B158" s="680"/>
      <c r="C158" s="149"/>
      <c r="D158" s="681"/>
      <c r="E158" s="681"/>
      <c r="F158" s="681"/>
      <c r="G158" s="681"/>
      <c r="H158" s="681"/>
      <c r="I158" s="681"/>
      <c r="J158" s="681"/>
      <c r="K158" s="681"/>
      <c r="L158" s="681"/>
      <c r="M158" s="40"/>
      <c r="N158" s="40"/>
      <c r="O158" s="40"/>
      <c r="P158" s="40"/>
      <c r="Q158" s="40"/>
      <c r="R158" s="40"/>
      <c r="S158" s="4"/>
      <c r="T158" s="4"/>
      <c r="U158" s="4"/>
      <c r="V158" s="4"/>
      <c r="W158" s="4"/>
      <c r="X158" s="9"/>
    </row>
    <row r="159" spans="2:24">
      <c r="P159" s="52"/>
      <c r="S159" s="11"/>
      <c r="T159" s="11"/>
      <c r="U159" s="11"/>
      <c r="V159" s="11"/>
      <c r="W159" s="11"/>
    </row>
    <row r="160" spans="2:24">
      <c r="S160" s="11"/>
      <c r="T160" s="11"/>
      <c r="U160" s="11"/>
      <c r="V160" s="11"/>
      <c r="W160" s="11"/>
    </row>
    <row r="161" spans="2:23">
      <c r="S161" s="11"/>
      <c r="T161" s="11"/>
      <c r="U161" s="11"/>
      <c r="V161" s="11"/>
      <c r="W161" s="11"/>
    </row>
    <row r="162" spans="2:23">
      <c r="S162" s="11"/>
      <c r="T162" s="11"/>
      <c r="U162" s="11"/>
      <c r="V162" s="11"/>
      <c r="W162" s="11"/>
    </row>
    <row r="163" spans="2:23" ht="14.5" thickBot="1">
      <c r="S163" s="11"/>
      <c r="T163" s="11"/>
      <c r="U163" s="11"/>
      <c r="V163" s="11"/>
      <c r="W163" s="11"/>
    </row>
    <row r="164" spans="2:23" ht="14.5" thickBot="1">
      <c r="B164" s="1139" t="s">
        <v>574</v>
      </c>
      <c r="C164" s="1157"/>
      <c r="D164" s="1140"/>
      <c r="E164" s="1714" t="s">
        <v>1453</v>
      </c>
      <c r="F164" s="1715"/>
      <c r="G164" s="1716"/>
      <c r="H164" s="1717" t="s">
        <v>1454</v>
      </c>
      <c r="I164" s="1718"/>
      <c r="J164" s="1718"/>
      <c r="K164" s="1718" t="s">
        <v>1455</v>
      </c>
      <c r="L164" s="1718"/>
      <c r="M164" s="1718"/>
      <c r="N164" s="1718" t="s">
        <v>1456</v>
      </c>
      <c r="O164" s="1718"/>
      <c r="P164" s="1718"/>
      <c r="Q164" s="1718" t="s">
        <v>1457</v>
      </c>
      <c r="R164" s="1718"/>
      <c r="S164" s="1718"/>
      <c r="T164" s="11"/>
      <c r="U164" s="11"/>
      <c r="V164" s="11"/>
      <c r="W164" s="11"/>
    </row>
    <row r="165" spans="2:23" ht="42.5" thickBot="1">
      <c r="B165" s="1141" t="s">
        <v>1452</v>
      </c>
      <c r="C165" s="1157"/>
      <c r="D165" s="1140"/>
      <c r="E165" s="1158" t="s">
        <v>1482</v>
      </c>
      <c r="F165" s="1158" t="s">
        <v>1483</v>
      </c>
      <c r="G165" s="1186" t="s">
        <v>1484</v>
      </c>
      <c r="H165" s="1158" t="s">
        <v>1482</v>
      </c>
      <c r="I165" s="1158" t="s">
        <v>1483</v>
      </c>
      <c r="J165" s="1186" t="s">
        <v>1484</v>
      </c>
      <c r="K165" s="1158" t="s">
        <v>1482</v>
      </c>
      <c r="L165" s="1158" t="s">
        <v>1483</v>
      </c>
      <c r="M165" s="1186" t="s">
        <v>1484</v>
      </c>
      <c r="N165" s="1158" t="s">
        <v>1482</v>
      </c>
      <c r="O165" s="1158" t="s">
        <v>1483</v>
      </c>
      <c r="P165" s="1186" t="s">
        <v>1484</v>
      </c>
      <c r="Q165" s="1158" t="s">
        <v>1482</v>
      </c>
      <c r="R165" s="1158" t="s">
        <v>1483</v>
      </c>
      <c r="S165" s="1186" t="s">
        <v>1484</v>
      </c>
      <c r="T165" s="11"/>
      <c r="U165" s="11"/>
      <c r="V165" s="11"/>
      <c r="W165" s="11"/>
    </row>
    <row r="166" spans="2:23" ht="15.5">
      <c r="B166" s="1142"/>
      <c r="C166" s="1143"/>
      <c r="D166" s="1140"/>
      <c r="E166" s="1157"/>
      <c r="F166" s="1157"/>
      <c r="G166" s="1157"/>
      <c r="H166" s="1157"/>
      <c r="I166" s="1157"/>
      <c r="J166" s="1157"/>
      <c r="K166" s="1157"/>
      <c r="L166" s="1157"/>
      <c r="M166" s="1"/>
      <c r="N166" s="44"/>
      <c r="O166" s="1"/>
      <c r="P166" s="1"/>
      <c r="Q166" s="1"/>
      <c r="R166" s="1"/>
      <c r="S166" s="1"/>
      <c r="T166" s="11"/>
      <c r="U166" s="11"/>
      <c r="V166" s="11"/>
      <c r="W166" s="11"/>
    </row>
    <row r="167" spans="2:23">
      <c r="B167" s="1144" t="s">
        <v>426</v>
      </c>
      <c r="C167" s="1159" t="s">
        <v>37</v>
      </c>
      <c r="D167" s="1157"/>
      <c r="E167" s="1160"/>
      <c r="F167" s="132"/>
      <c r="G167" s="1187"/>
      <c r="H167" s="1161"/>
      <c r="I167" s="132"/>
      <c r="J167" s="132"/>
      <c r="K167" s="132"/>
      <c r="L167" s="132"/>
      <c r="M167" s="9"/>
      <c r="N167" s="40"/>
      <c r="O167" s="132"/>
      <c r="P167" s="9"/>
      <c r="Q167" s="132"/>
      <c r="R167" s="9"/>
      <c r="S167" s="9"/>
      <c r="T167" s="11"/>
      <c r="U167" s="11"/>
      <c r="V167" s="11"/>
      <c r="W167" s="11"/>
    </row>
    <row r="168" spans="2:23">
      <c r="B168" s="1144">
        <v>1</v>
      </c>
      <c r="C168" s="1159" t="s">
        <v>1458</v>
      </c>
      <c r="D168" s="1157"/>
      <c r="E168" s="1162">
        <f>S40</f>
        <v>2375</v>
      </c>
      <c r="F168" s="1164">
        <f>E168</f>
        <v>2375</v>
      </c>
      <c r="G168" s="1187"/>
      <c r="H168" s="1163">
        <f>$T$40</f>
        <v>2375</v>
      </c>
      <c r="I168" s="1164">
        <f>H168</f>
        <v>2375</v>
      </c>
      <c r="J168" s="132"/>
      <c r="K168" s="1164">
        <f>$U$40</f>
        <v>2375</v>
      </c>
      <c r="L168" s="1164">
        <f>K168</f>
        <v>2375</v>
      </c>
      <c r="M168" s="9"/>
      <c r="N168" s="1164">
        <f>$V$40</f>
        <v>2375</v>
      </c>
      <c r="O168" s="1164">
        <f>N168</f>
        <v>2375</v>
      </c>
      <c r="P168" s="9"/>
      <c r="Q168" s="1164">
        <f>$W$40</f>
        <v>2375</v>
      </c>
      <c r="R168" s="1164">
        <f>Q168</f>
        <v>2375</v>
      </c>
      <c r="S168" s="9"/>
      <c r="T168" s="11"/>
      <c r="U168" s="11"/>
      <c r="V168" s="11"/>
      <c r="W168" s="11"/>
    </row>
    <row r="169" spans="2:23">
      <c r="B169" s="1144">
        <f>B168+1</f>
        <v>2</v>
      </c>
      <c r="C169" s="1159" t="s">
        <v>1459</v>
      </c>
      <c r="D169" s="1157"/>
      <c r="E169" s="1165">
        <f>S68+85</f>
        <v>3363.6323183458312</v>
      </c>
      <c r="F169" s="1188">
        <f>E169</f>
        <v>3363.6323183458312</v>
      </c>
      <c r="G169" s="1187"/>
      <c r="H169" s="1166">
        <f>T68+85</f>
        <v>3363.6282951524145</v>
      </c>
      <c r="I169" s="1188">
        <f>H169</f>
        <v>3363.6282951524145</v>
      </c>
      <c r="J169" s="132"/>
      <c r="K169" s="1166">
        <f>U68+85</f>
        <v>3363.6282951524145</v>
      </c>
      <c r="L169" s="1188">
        <f>K169</f>
        <v>3363.6282951524145</v>
      </c>
      <c r="M169" s="9"/>
      <c r="N169" s="1166">
        <f>V68+85</f>
        <v>3363.6246378465489</v>
      </c>
      <c r="O169" s="1188">
        <f>N169</f>
        <v>3363.6246378465489</v>
      </c>
      <c r="P169" s="9"/>
      <c r="Q169" s="1166">
        <f>W68+85</f>
        <v>3363.6246378465489</v>
      </c>
      <c r="R169" s="1188">
        <f>Q169</f>
        <v>3363.6246378465489</v>
      </c>
      <c r="S169" s="9"/>
      <c r="T169" s="11"/>
      <c r="U169" s="11"/>
      <c r="V169" s="11"/>
      <c r="W169" s="11"/>
    </row>
    <row r="170" spans="2:23">
      <c r="B170" s="1144">
        <f t="shared" ref="B170:B176" si="166">B169+1</f>
        <v>3</v>
      </c>
      <c r="C170" s="1159" t="s">
        <v>1460</v>
      </c>
      <c r="D170" s="1157"/>
      <c r="E170" s="1167">
        <f>E169-85</f>
        <v>3278.6323183458312</v>
      </c>
      <c r="F170" s="1189">
        <f>F169-85</f>
        <v>3278.6323183458312</v>
      </c>
      <c r="G170" s="1187"/>
      <c r="H170" s="1168">
        <f t="shared" ref="H170:I170" si="167">H169-85</f>
        <v>3278.6282951524145</v>
      </c>
      <c r="I170" s="1189">
        <f t="shared" si="167"/>
        <v>3278.6282951524145</v>
      </c>
      <c r="J170" s="132"/>
      <c r="K170" s="1169">
        <f t="shared" ref="K170:L170" si="168">K169-85</f>
        <v>3278.6282951524145</v>
      </c>
      <c r="L170" s="1146">
        <f t="shared" si="168"/>
        <v>3278.6282951524145</v>
      </c>
      <c r="M170" s="9"/>
      <c r="N170" s="1169">
        <f t="shared" ref="N170:O170" si="169">N169-85</f>
        <v>3278.6246378465489</v>
      </c>
      <c r="O170" s="1146">
        <f t="shared" si="169"/>
        <v>3278.6246378465489</v>
      </c>
      <c r="P170" s="9"/>
      <c r="Q170" s="1169">
        <f t="shared" ref="Q170:R170" si="170">Q169-85</f>
        <v>3278.6246378465489</v>
      </c>
      <c r="R170" s="1146">
        <f t="shared" si="170"/>
        <v>3278.6246378465489</v>
      </c>
      <c r="S170" s="9"/>
      <c r="T170" s="11"/>
      <c r="U170" s="11"/>
      <c r="V170" s="11"/>
      <c r="W170" s="11"/>
    </row>
    <row r="171" spans="2:23">
      <c r="B171" s="1144">
        <f t="shared" si="166"/>
        <v>4</v>
      </c>
      <c r="C171" s="1159" t="s">
        <v>1461</v>
      </c>
      <c r="D171" s="1157"/>
      <c r="E171" s="1170">
        <v>7.4999999999999997E-3</v>
      </c>
      <c r="F171" s="1190">
        <v>7.4999999999999997E-3</v>
      </c>
      <c r="G171" s="1187"/>
      <c r="H171" s="1170">
        <v>7.4999999999999997E-3</v>
      </c>
      <c r="I171" s="1190">
        <v>7.4999999999999997E-3</v>
      </c>
      <c r="J171" s="132"/>
      <c r="K171" s="1170">
        <v>7.4999999999999997E-3</v>
      </c>
      <c r="L171" s="1190">
        <v>7.4999999999999997E-3</v>
      </c>
      <c r="M171" s="9"/>
      <c r="N171" s="1170">
        <v>7.4999999999999997E-3</v>
      </c>
      <c r="O171" s="1190">
        <v>7.4999999999999997E-3</v>
      </c>
      <c r="P171" s="9"/>
      <c r="Q171" s="1170">
        <v>7.4999999999999997E-3</v>
      </c>
      <c r="R171" s="1190">
        <v>7.4999999999999997E-3</v>
      </c>
      <c r="S171" s="9"/>
      <c r="T171" s="11"/>
      <c r="U171" s="11"/>
      <c r="V171" s="11"/>
      <c r="W171" s="11"/>
    </row>
    <row r="172" spans="2:23">
      <c r="B172" s="1144">
        <f t="shared" si="166"/>
        <v>5</v>
      </c>
      <c r="C172" s="1159" t="s">
        <v>1818</v>
      </c>
      <c r="D172" s="1157"/>
      <c r="E172" s="1171">
        <v>0.89</v>
      </c>
      <c r="F172" s="1191">
        <v>0.89</v>
      </c>
      <c r="G172" s="1187"/>
      <c r="H172" s="1171">
        <v>0.89</v>
      </c>
      <c r="I172" s="1191">
        <v>0.89</v>
      </c>
      <c r="J172" s="132"/>
      <c r="K172" s="1171">
        <v>0.89</v>
      </c>
      <c r="L172" s="1191">
        <v>0.89</v>
      </c>
      <c r="M172" s="9"/>
      <c r="N172" s="1171">
        <v>0.89</v>
      </c>
      <c r="O172" s="1191">
        <v>0.89</v>
      </c>
      <c r="P172" s="9"/>
      <c r="Q172" s="1171">
        <v>0.89</v>
      </c>
      <c r="R172" s="1191">
        <v>0.89</v>
      </c>
      <c r="S172" s="9"/>
      <c r="T172" s="11"/>
      <c r="U172" s="11"/>
      <c r="V172" s="11"/>
      <c r="W172" s="11"/>
    </row>
    <row r="173" spans="2:23" ht="37.5">
      <c r="B173" s="1144">
        <f t="shared" si="166"/>
        <v>6</v>
      </c>
      <c r="C173" s="1159" t="s">
        <v>1462</v>
      </c>
      <c r="D173" s="1157"/>
      <c r="E173" s="1172">
        <v>200</v>
      </c>
      <c r="F173" s="132">
        <v>200</v>
      </c>
      <c r="G173" s="1187"/>
      <c r="H173" s="1172">
        <v>200</v>
      </c>
      <c r="I173" s="132">
        <v>200</v>
      </c>
      <c r="J173" s="132"/>
      <c r="K173" s="1172">
        <v>200</v>
      </c>
      <c r="L173" s="132">
        <v>200</v>
      </c>
      <c r="M173" s="9"/>
      <c r="N173" s="1172">
        <v>200</v>
      </c>
      <c r="O173" s="132">
        <v>200</v>
      </c>
      <c r="P173" s="9"/>
      <c r="Q173" s="1172">
        <v>200</v>
      </c>
      <c r="R173" s="132">
        <v>200</v>
      </c>
      <c r="S173" s="9"/>
      <c r="T173" s="11"/>
      <c r="U173" s="11"/>
      <c r="V173" s="11"/>
      <c r="W173" s="11"/>
    </row>
    <row r="174" spans="2:23">
      <c r="B174" s="1144">
        <f t="shared" si="166"/>
        <v>7</v>
      </c>
      <c r="C174" s="1159" t="s">
        <v>1463</v>
      </c>
      <c r="D174" s="1157"/>
      <c r="E174" s="1172">
        <f>IF(E173&lt;=200,95%,73%)</f>
        <v>0.95</v>
      </c>
      <c r="F174" s="1145">
        <f>IF(F173&lt;=200,95%,73%)</f>
        <v>0.95</v>
      </c>
      <c r="G174" s="1187"/>
      <c r="H174" s="1172">
        <f>IF(H173&lt;=200,95%,73%)</f>
        <v>0.95</v>
      </c>
      <c r="I174" s="1145">
        <f>IF(I173&lt;=200,95%,73%)</f>
        <v>0.95</v>
      </c>
      <c r="J174" s="132"/>
      <c r="K174" s="1172">
        <f>IF(K173&lt;=200,95%,73%)</f>
        <v>0.95</v>
      </c>
      <c r="L174" s="1145">
        <f>IF(L173&lt;=200,95%,73%)</f>
        <v>0.95</v>
      </c>
      <c r="M174" s="9"/>
      <c r="N174" s="1172">
        <f>IF(N173&lt;=200,95%,73%)</f>
        <v>0.95</v>
      </c>
      <c r="O174" s="1145">
        <f>IF(O173&lt;=200,95%,73%)</f>
        <v>0.95</v>
      </c>
      <c r="P174" s="9"/>
      <c r="Q174" s="1172">
        <f>IF(Q173&lt;=200,95%,73%)</f>
        <v>0.95</v>
      </c>
      <c r="R174" s="1145">
        <f>IF(R173&lt;=200,95%,73%)</f>
        <v>0.95</v>
      </c>
      <c r="S174" s="9"/>
      <c r="T174" s="11"/>
      <c r="U174" s="11"/>
      <c r="V174" s="11"/>
      <c r="W174" s="11"/>
    </row>
    <row r="175" spans="2:23">
      <c r="B175" s="1144">
        <f t="shared" si="166"/>
        <v>8</v>
      </c>
      <c r="C175" s="1159" t="s">
        <v>1464</v>
      </c>
      <c r="D175" s="1157"/>
      <c r="E175" s="1172">
        <f>IF(E174=73%,26.8,35.2)</f>
        <v>35.200000000000003</v>
      </c>
      <c r="F175" s="1145">
        <f>IF(F174=73%,26.8,35.2)</f>
        <v>35.200000000000003</v>
      </c>
      <c r="G175" s="1187"/>
      <c r="H175" s="1172">
        <f>IF(H174=73%,26.8,35.2)</f>
        <v>35.200000000000003</v>
      </c>
      <c r="I175" s="1145">
        <f>IF(I174=73%,26.8,35.2)</f>
        <v>35.200000000000003</v>
      </c>
      <c r="J175" s="132"/>
      <c r="K175" s="1172">
        <f>IF(K174=73%,26.8,35.2)</f>
        <v>35.200000000000003</v>
      </c>
      <c r="L175" s="1145">
        <f>IF(L174=73%,26.8,35.2)</f>
        <v>35.200000000000003</v>
      </c>
      <c r="M175" s="9"/>
      <c r="N175" s="1172">
        <f>IF(N174=73%,26.8,35.2)</f>
        <v>35.200000000000003</v>
      </c>
      <c r="O175" s="1145">
        <f>IF(O174=73%,26.8,35.2)</f>
        <v>35.200000000000003</v>
      </c>
      <c r="P175" s="9"/>
      <c r="Q175" s="1172">
        <f>IF(Q174=73%,26.8,35.2)</f>
        <v>35.200000000000003</v>
      </c>
      <c r="R175" s="1145">
        <f>IF(R174=73%,26.8,35.2)</f>
        <v>35.200000000000003</v>
      </c>
      <c r="S175" s="9"/>
      <c r="T175" s="11"/>
      <c r="U175" s="11"/>
      <c r="V175" s="11"/>
      <c r="W175" s="11"/>
    </row>
    <row r="176" spans="2:23">
      <c r="B176" s="1144">
        <f t="shared" si="166"/>
        <v>9</v>
      </c>
      <c r="C176" s="1159" t="s">
        <v>1465</v>
      </c>
      <c r="D176" s="1157"/>
      <c r="E176" s="1171">
        <v>0.95</v>
      </c>
      <c r="F176" s="1191">
        <v>0.95</v>
      </c>
      <c r="G176" s="1187"/>
      <c r="H176" s="1171">
        <v>0.95</v>
      </c>
      <c r="I176" s="1191">
        <v>0.95</v>
      </c>
      <c r="J176" s="132"/>
      <c r="K176" s="1171">
        <v>0.95</v>
      </c>
      <c r="L176" s="1191">
        <v>0.95</v>
      </c>
      <c r="M176" s="9"/>
      <c r="N176" s="1171">
        <v>0.95</v>
      </c>
      <c r="O176" s="1191">
        <v>0.95</v>
      </c>
      <c r="P176" s="9"/>
      <c r="Q176" s="1171">
        <v>0.95</v>
      </c>
      <c r="R176" s="1191">
        <v>0.95</v>
      </c>
      <c r="S176" s="9"/>
      <c r="T176" s="11"/>
      <c r="U176" s="11"/>
      <c r="V176" s="11"/>
      <c r="W176" s="11"/>
    </row>
    <row r="177" spans="2:23">
      <c r="B177" s="1144">
        <f>B176+1</f>
        <v>10</v>
      </c>
      <c r="C177" s="1159" t="s">
        <v>1466</v>
      </c>
      <c r="D177" s="1157"/>
      <c r="E177" s="1173">
        <f>E175*E176/E174</f>
        <v>35.199999999999996</v>
      </c>
      <c r="F177" s="1147">
        <f>F175*F176/F174</f>
        <v>35.199999999999996</v>
      </c>
      <c r="G177" s="1187"/>
      <c r="H177" s="1173">
        <f>H175*H176/H174</f>
        <v>35.199999999999996</v>
      </c>
      <c r="I177" s="1147">
        <f>I175*I176/I174</f>
        <v>35.199999999999996</v>
      </c>
      <c r="J177" s="132"/>
      <c r="K177" s="1173">
        <f>K175*K176/K174</f>
        <v>35.199999999999996</v>
      </c>
      <c r="L177" s="1147">
        <f>L175*L176/L174</f>
        <v>35.199999999999996</v>
      </c>
      <c r="M177" s="9"/>
      <c r="N177" s="1173">
        <f>N175*N176/N174</f>
        <v>35.199999999999996</v>
      </c>
      <c r="O177" s="1147">
        <f>O175*O176/O174</f>
        <v>35.199999999999996</v>
      </c>
      <c r="P177" s="9"/>
      <c r="Q177" s="1173">
        <f>Q175*Q176/Q174</f>
        <v>35.199999999999996</v>
      </c>
      <c r="R177" s="1147">
        <f>R175*R176/R174</f>
        <v>35.199999999999996</v>
      </c>
      <c r="S177" s="9"/>
      <c r="T177" s="11"/>
      <c r="U177" s="11"/>
      <c r="V177" s="11"/>
      <c r="W177" s="11"/>
    </row>
    <row r="178" spans="2:23" ht="25">
      <c r="B178" s="1144">
        <f>B177+1</f>
        <v>11</v>
      </c>
      <c r="C178" s="1159" t="s">
        <v>1467</v>
      </c>
      <c r="D178" s="1157"/>
      <c r="E178" s="1174">
        <f>(E177*E168*E171/E170)*(85/E172)</f>
        <v>18.264329957597191</v>
      </c>
      <c r="F178" s="1192">
        <f>(F177*F168*F171/F170)*(85/F172)</f>
        <v>18.264329957597191</v>
      </c>
      <c r="G178" s="1187"/>
      <c r="H178" s="1174">
        <f>(H177*H168*H171/H170)*(85/H172)</f>
        <v>18.264352369693174</v>
      </c>
      <c r="I178" s="1192">
        <f>(I177*I168*I171/I170)*(85/I172)</f>
        <v>18.264352369693174</v>
      </c>
      <c r="J178" s="132"/>
      <c r="K178" s="1175">
        <f>(K177*K168*K171/K170)*(85/K172)</f>
        <v>18.264352369693174</v>
      </c>
      <c r="L178" s="1148">
        <f>(L177*L168*L171/L170)*(85/L172)</f>
        <v>18.264352369693174</v>
      </c>
      <c r="M178" s="9"/>
      <c r="N178" s="1175">
        <f>(N177*N168*N171/N170)*(85/N172)</f>
        <v>18.264372743578704</v>
      </c>
      <c r="O178" s="1148">
        <f>(O177*O168*O171/O170)*(85/O172)</f>
        <v>18.264372743578704</v>
      </c>
      <c r="P178" s="9"/>
      <c r="Q178" s="1175">
        <f>(Q177*Q168*Q171/Q170)*(85/Q172)</f>
        <v>18.264372743578704</v>
      </c>
      <c r="R178" s="1148">
        <f>(R177*R168*R171/R170)*(85/R172)</f>
        <v>18.264372743578704</v>
      </c>
      <c r="S178" s="9"/>
      <c r="T178" s="11"/>
      <c r="U178" s="11"/>
      <c r="V178" s="11"/>
      <c r="W178" s="11"/>
    </row>
    <row r="179" spans="2:23">
      <c r="B179" s="1149"/>
      <c r="C179" s="1149"/>
      <c r="D179" s="1157"/>
      <c r="E179" s="1176"/>
      <c r="F179" s="1157"/>
      <c r="G179" s="1193"/>
      <c r="H179" s="1161"/>
      <c r="I179" s="132"/>
      <c r="J179" s="132"/>
      <c r="K179" s="1161"/>
      <c r="L179" s="132"/>
      <c r="M179" s="9"/>
      <c r="N179" s="1161"/>
      <c r="O179" s="132"/>
      <c r="P179" s="9"/>
      <c r="Q179" s="1161"/>
      <c r="R179" s="132"/>
      <c r="S179" s="9"/>
      <c r="T179" s="11"/>
      <c r="U179" s="11"/>
      <c r="V179" s="11"/>
      <c r="W179" s="11"/>
    </row>
    <row r="180" spans="2:23">
      <c r="B180" s="1149"/>
      <c r="C180" s="1149"/>
      <c r="D180" s="1157"/>
      <c r="E180" s="1176"/>
      <c r="F180" s="1157"/>
      <c r="G180" s="1193"/>
      <c r="H180" s="1161"/>
      <c r="I180" s="132"/>
      <c r="J180" s="132"/>
      <c r="K180" s="1161"/>
      <c r="L180" s="132"/>
      <c r="M180" s="9"/>
      <c r="N180" s="1161"/>
      <c r="O180" s="132"/>
      <c r="P180" s="9"/>
      <c r="Q180" s="1161"/>
      <c r="R180" s="132"/>
      <c r="S180" s="9"/>
      <c r="T180" s="11"/>
      <c r="U180" s="11"/>
      <c r="V180" s="11"/>
      <c r="W180" s="11"/>
    </row>
    <row r="181" spans="2:23">
      <c r="B181" s="1144" t="s">
        <v>426</v>
      </c>
      <c r="C181" s="1159" t="s">
        <v>1468</v>
      </c>
      <c r="D181" s="1157"/>
      <c r="E181" s="1160"/>
      <c r="F181" s="132"/>
      <c r="G181" s="1187"/>
      <c r="H181" s="1161"/>
      <c r="I181" s="132"/>
      <c r="J181" s="132"/>
      <c r="K181" s="1161"/>
      <c r="L181" s="132"/>
      <c r="M181" s="9"/>
      <c r="N181" s="1161"/>
      <c r="O181" s="132"/>
      <c r="P181" s="9"/>
      <c r="Q181" s="1161"/>
      <c r="R181" s="132"/>
      <c r="S181" s="9"/>
      <c r="T181" s="11"/>
      <c r="U181" s="11"/>
      <c r="V181" s="11"/>
      <c r="W181" s="11"/>
    </row>
    <row r="182" spans="2:23">
      <c r="B182" s="1144">
        <v>1</v>
      </c>
      <c r="C182" s="1159" t="s">
        <v>1469</v>
      </c>
      <c r="D182" s="1157"/>
      <c r="E182" s="1177">
        <f>S23*500/1000*(59/365)*0</f>
        <v>0</v>
      </c>
      <c r="F182" s="1194">
        <f>S23*500/1000*(0/365)</f>
        <v>0</v>
      </c>
      <c r="G182" s="1187"/>
      <c r="H182" s="1178">
        <f>T23*500/1000*0</f>
        <v>0</v>
      </c>
      <c r="I182" s="1194">
        <f>T23*500/1000*(335/365)*0</f>
        <v>0</v>
      </c>
      <c r="J182" s="132"/>
      <c r="K182" s="1178">
        <f>U23*500/1000</f>
        <v>3722.858479755972</v>
      </c>
      <c r="L182" s="1194">
        <f>U23*500/1000*274/365</f>
        <v>2794.6937628853047</v>
      </c>
      <c r="M182" s="9"/>
      <c r="N182" s="1178">
        <f>V23*500/1000</f>
        <v>3722.9233591345424</v>
      </c>
      <c r="O182" s="1194">
        <f>V23*500/1000</f>
        <v>3722.9233591345424</v>
      </c>
      <c r="P182" s="9"/>
      <c r="Q182" s="1178">
        <f>W23*500/1000</f>
        <v>3722.9233591345424</v>
      </c>
      <c r="R182" s="1194">
        <f>W23*500/1000</f>
        <v>3722.9233591345424</v>
      </c>
      <c r="S182" s="9"/>
      <c r="T182" s="11"/>
      <c r="U182" s="11"/>
      <c r="V182" s="11"/>
      <c r="W182" s="11"/>
    </row>
    <row r="183" spans="2:23">
      <c r="B183" s="1144">
        <f>B182+1</f>
        <v>2</v>
      </c>
      <c r="C183" s="1159" t="s">
        <v>1470</v>
      </c>
      <c r="D183" s="1157"/>
      <c r="E183" s="1179" t="s">
        <v>1921</v>
      </c>
      <c r="F183" s="132" t="s">
        <v>1921</v>
      </c>
      <c r="G183" s="1187"/>
      <c r="H183" s="1179" t="s">
        <v>1921</v>
      </c>
      <c r="I183" s="132" t="s">
        <v>1921</v>
      </c>
      <c r="J183" s="132"/>
      <c r="K183" s="1179" t="s">
        <v>1921</v>
      </c>
      <c r="L183" s="132" t="s">
        <v>1921</v>
      </c>
      <c r="M183" s="9"/>
      <c r="N183" s="1179" t="s">
        <v>1921</v>
      </c>
      <c r="O183" s="132" t="s">
        <v>1921</v>
      </c>
      <c r="P183" s="9"/>
      <c r="Q183" s="1179" t="s">
        <v>1921</v>
      </c>
      <c r="R183" s="132" t="s">
        <v>1921</v>
      </c>
      <c r="S183" s="9"/>
      <c r="T183" s="11"/>
      <c r="U183" s="11"/>
      <c r="V183" s="11"/>
      <c r="W183" s="11"/>
    </row>
    <row r="184" spans="2:23" ht="25">
      <c r="B184" s="1144">
        <f t="shared" ref="B184:B187" si="171">B183+1</f>
        <v>3</v>
      </c>
      <c r="C184" s="1159" t="s">
        <v>1467</v>
      </c>
      <c r="D184" s="1157"/>
      <c r="E184" s="1147">
        <f>IF(E183="SBC",12*100%/E172,E178)</f>
        <v>18.264329957597191</v>
      </c>
      <c r="F184" s="1147">
        <f>IF(F183="SBC",12*100%/F172,F178)</f>
        <v>18.264329957597191</v>
      </c>
      <c r="G184" s="1187"/>
      <c r="H184" s="1147">
        <f>IF(H183="SBC",12*100%/H172,H178)</f>
        <v>18.264352369693174</v>
      </c>
      <c r="I184" s="1147">
        <f>IF(I183="SBC",12*100%/I172,I178)</f>
        <v>18.264352369693174</v>
      </c>
      <c r="J184" s="132"/>
      <c r="K184" s="1147">
        <f>IF(K183="SBC",12*100%/K172,K178)</f>
        <v>18.264352369693174</v>
      </c>
      <c r="L184" s="1147">
        <f>IF(L183="SBC",12*100%/L172,L178)</f>
        <v>18.264352369693174</v>
      </c>
      <c r="M184" s="9"/>
      <c r="N184" s="1147">
        <f>IF(N183="SBC",12*100%/N172,N178)</f>
        <v>18.264372743578704</v>
      </c>
      <c r="O184" s="1147">
        <f>IF(O183="SBC",12*100%/O172,O178)</f>
        <v>18.264372743578704</v>
      </c>
      <c r="P184" s="9"/>
      <c r="Q184" s="1147">
        <f>IF(Q183="SBC",12*100%/Q172,Q178)</f>
        <v>18.264372743578704</v>
      </c>
      <c r="R184" s="1147">
        <f>IF(R183="SBC",12*100%/R172,R178)</f>
        <v>18.264372743578704</v>
      </c>
      <c r="S184" s="9"/>
      <c r="T184" s="11"/>
      <c r="U184" s="11"/>
      <c r="V184" s="11"/>
      <c r="W184" s="11"/>
    </row>
    <row r="185" spans="2:23">
      <c r="B185" s="1144">
        <f t="shared" si="171"/>
        <v>4</v>
      </c>
      <c r="C185" s="1159" t="s">
        <v>1471</v>
      </c>
      <c r="D185" s="1157"/>
      <c r="E185" s="1167">
        <f t="shared" ref="E185:I185" si="172">E182*E184</f>
        <v>0</v>
      </c>
      <c r="F185" s="1189">
        <f t="shared" si="172"/>
        <v>0</v>
      </c>
      <c r="G185" s="1187"/>
      <c r="H185" s="1167">
        <f t="shared" si="172"/>
        <v>0</v>
      </c>
      <c r="I185" s="1189">
        <f t="shared" si="172"/>
        <v>0</v>
      </c>
      <c r="J185" s="132"/>
      <c r="K185" s="1180">
        <f t="shared" ref="K185:L185" si="173">K182*K184</f>
        <v>67995.599096763312</v>
      </c>
      <c r="L185" s="1146">
        <f t="shared" si="173"/>
        <v>51043.271650720948</v>
      </c>
      <c r="M185" s="9"/>
      <c r="N185" s="1180">
        <f t="shared" ref="N185:O185" si="174">N182*N184</f>
        <v>67996.859927009413</v>
      </c>
      <c r="O185" s="1146">
        <f t="shared" si="174"/>
        <v>67996.859927009413</v>
      </c>
      <c r="P185" s="9"/>
      <c r="Q185" s="1180">
        <f t="shared" ref="Q185:R185" si="175">Q182*Q184</f>
        <v>67996.859927009413</v>
      </c>
      <c r="R185" s="1146">
        <f t="shared" si="175"/>
        <v>67996.859927009413</v>
      </c>
      <c r="S185" s="9"/>
    </row>
    <row r="186" spans="2:23">
      <c r="B186" s="1144">
        <f t="shared" si="171"/>
        <v>5</v>
      </c>
      <c r="C186" s="1159" t="s">
        <v>1472</v>
      </c>
      <c r="D186" s="1157"/>
      <c r="E186" s="1179" t="str">
        <f>IF(E183="SBC","44895.46","3228.75")</f>
        <v>3228.75</v>
      </c>
      <c r="F186" s="1150" t="str">
        <f>IF(F183="SBC","44895.46","3228.75")</f>
        <v>3228.75</v>
      </c>
      <c r="G186" s="1187"/>
      <c r="H186" s="1179" t="str">
        <f>IF(H183="SBC","44895.46","3228.75")</f>
        <v>3228.75</v>
      </c>
      <c r="I186" s="1150" t="str">
        <f>IF(I183="SBC","44895.46","3228.75")</f>
        <v>3228.75</v>
      </c>
      <c r="J186" s="132"/>
      <c r="K186" s="1179" t="str">
        <f>IF(K183="SBC","44895.46","3228.75")</f>
        <v>3228.75</v>
      </c>
      <c r="L186" s="1150" t="str">
        <f>IF(L183="SBC","44895.46","3228.75")</f>
        <v>3228.75</v>
      </c>
      <c r="M186" s="9"/>
      <c r="N186" s="1179" t="str">
        <f>IF(N183="SBC","44895.46","3228.75")</f>
        <v>3228.75</v>
      </c>
      <c r="O186" s="1150" t="str">
        <f>IF(O183="SBC","44895.46","3228.75")</f>
        <v>3228.75</v>
      </c>
      <c r="P186" s="9"/>
      <c r="Q186" s="1179" t="str">
        <f>IF(Q183="SBC","44895.46","3228.75")</f>
        <v>3228.75</v>
      </c>
      <c r="R186" s="1150" t="str">
        <f>IF(R183="SBC","44895.46","3228.75")</f>
        <v>3228.75</v>
      </c>
      <c r="S186" s="9"/>
    </row>
    <row r="187" spans="2:23">
      <c r="B187" s="1144">
        <f t="shared" si="171"/>
        <v>6</v>
      </c>
      <c r="C187" s="1159" t="s">
        <v>1473</v>
      </c>
      <c r="D187" s="130"/>
      <c r="E187" s="1174">
        <f>E186*E185/10^7</f>
        <v>0</v>
      </c>
      <c r="F187" s="1192">
        <f>F186*F185/10^7</f>
        <v>0</v>
      </c>
      <c r="G187" s="1195">
        <f>SUM(E187:F187)</f>
        <v>0</v>
      </c>
      <c r="H187" s="1174">
        <f>H186*H185/10^7</f>
        <v>0</v>
      </c>
      <c r="I187" s="1192">
        <f>I186*I185/10^7</f>
        <v>0</v>
      </c>
      <c r="J187" s="1195">
        <f>SUM(H187:I187)</f>
        <v>0</v>
      </c>
      <c r="K187" s="1175">
        <f>K186*K185/10^7</f>
        <v>21.954079058367455</v>
      </c>
      <c r="L187" s="1148">
        <f>L186*L185/10^7</f>
        <v>16.480596334226526</v>
      </c>
      <c r="M187" s="1195">
        <f>SUM(K187:L187)</f>
        <v>38.434675392593981</v>
      </c>
      <c r="N187" s="1175">
        <f>N186*N185/10^7</f>
        <v>21.954486148933164</v>
      </c>
      <c r="O187" s="1148">
        <f>O186*O185/10^7</f>
        <v>21.954486148933164</v>
      </c>
      <c r="P187" s="1195">
        <f>SUM(N187:O187)</f>
        <v>43.908972297866327</v>
      </c>
      <c r="Q187" s="1175">
        <f>Q186*Q185/10^7</f>
        <v>21.954486148933164</v>
      </c>
      <c r="R187" s="1148">
        <f>R186*R185/10^7</f>
        <v>21.954486148933164</v>
      </c>
      <c r="S187" s="1195">
        <f>SUM(Q187:R187)</f>
        <v>43.908972297866327</v>
      </c>
    </row>
    <row r="188" spans="2:23">
      <c r="B188" s="1149"/>
      <c r="C188" s="1149"/>
      <c r="D188" s="1157"/>
      <c r="E188" s="1172"/>
      <c r="F188" s="132"/>
      <c r="G188" s="1196"/>
      <c r="H188" s="1161"/>
      <c r="I188" s="132"/>
      <c r="J188" s="1196"/>
      <c r="K188" s="1161"/>
      <c r="L188" s="132"/>
      <c r="M188" s="1196"/>
      <c r="N188" s="1161"/>
      <c r="O188" s="132"/>
      <c r="P188" s="1196"/>
      <c r="Q188" s="1161"/>
      <c r="R188" s="132"/>
      <c r="S188" s="1196"/>
    </row>
    <row r="189" spans="2:23">
      <c r="B189" s="1149"/>
      <c r="C189" s="1149"/>
      <c r="D189" s="1157"/>
      <c r="E189" s="1172"/>
      <c r="F189" s="132"/>
      <c r="G189" s="1196"/>
      <c r="H189" s="1161"/>
      <c r="I189" s="132"/>
      <c r="J189" s="1196"/>
      <c r="K189" s="1161"/>
      <c r="L189" s="132"/>
      <c r="M189" s="1196"/>
      <c r="N189" s="1161"/>
      <c r="O189" s="132"/>
      <c r="P189" s="1196"/>
      <c r="Q189" s="1161"/>
      <c r="R189" s="132"/>
      <c r="S189" s="1196"/>
    </row>
    <row r="190" spans="2:23" ht="25">
      <c r="B190" s="1144" t="s">
        <v>426</v>
      </c>
      <c r="C190" s="1144" t="s">
        <v>1474</v>
      </c>
      <c r="D190" s="1157"/>
      <c r="E190" s="1160"/>
      <c r="F190" s="132"/>
      <c r="G190" s="1196"/>
      <c r="H190" s="1161"/>
      <c r="I190" s="132"/>
      <c r="J190" s="1196"/>
      <c r="K190" s="1161"/>
      <c r="L190" s="132"/>
      <c r="M190" s="1196"/>
      <c r="N190" s="1161"/>
      <c r="O190" s="132"/>
      <c r="P190" s="1196"/>
      <c r="Q190" s="1161"/>
      <c r="R190" s="132"/>
      <c r="S190" s="1196"/>
    </row>
    <row r="191" spans="2:23">
      <c r="B191" s="1144">
        <v>1</v>
      </c>
      <c r="C191" s="1144" t="s">
        <v>1469</v>
      </c>
      <c r="D191" s="1157"/>
      <c r="E191" s="1167">
        <f>E182</f>
        <v>0</v>
      </c>
      <c r="F191" s="1189">
        <f>F182</f>
        <v>0</v>
      </c>
      <c r="G191" s="1196"/>
      <c r="H191" s="1167">
        <f>H182</f>
        <v>0</v>
      </c>
      <c r="I191" s="1189">
        <f>I182</f>
        <v>0</v>
      </c>
      <c r="J191" s="1196"/>
      <c r="K191" s="1181">
        <f>K182</f>
        <v>3722.858479755972</v>
      </c>
      <c r="L191" s="1151">
        <f>L182</f>
        <v>2794.6937628853047</v>
      </c>
      <c r="M191" s="1196"/>
      <c r="N191" s="1181">
        <f>N182</f>
        <v>3722.9233591345424</v>
      </c>
      <c r="O191" s="1151">
        <f>O182</f>
        <v>3722.9233591345424</v>
      </c>
      <c r="P191" s="1196"/>
      <c r="Q191" s="1181">
        <f>Q182</f>
        <v>3722.9233591345424</v>
      </c>
      <c r="R191" s="1151">
        <f>R182</f>
        <v>3722.9233591345424</v>
      </c>
      <c r="S191" s="1196"/>
    </row>
    <row r="192" spans="2:23">
      <c r="B192" s="1144">
        <f>B191+1</f>
        <v>2</v>
      </c>
      <c r="C192" s="1144" t="s">
        <v>1470</v>
      </c>
      <c r="D192" s="1157"/>
      <c r="E192" s="1179" t="s">
        <v>1922</v>
      </c>
      <c r="F192" s="132" t="s">
        <v>1922</v>
      </c>
      <c r="G192" s="1196"/>
      <c r="H192" s="1179" t="s">
        <v>1922</v>
      </c>
      <c r="I192" s="132" t="s">
        <v>1922</v>
      </c>
      <c r="J192" s="1196"/>
      <c r="K192" s="1179" t="s">
        <v>1922</v>
      </c>
      <c r="L192" s="132" t="s">
        <v>1922</v>
      </c>
      <c r="M192" s="1196"/>
      <c r="N192" s="1179" t="s">
        <v>1922</v>
      </c>
      <c r="O192" s="132" t="s">
        <v>1922</v>
      </c>
      <c r="P192" s="1196"/>
      <c r="Q192" s="1179" t="s">
        <v>1922</v>
      </c>
      <c r="R192" s="132" t="s">
        <v>1922</v>
      </c>
      <c r="S192" s="1196"/>
    </row>
    <row r="193" spans="2:19">
      <c r="B193" s="1144">
        <f t="shared" ref="B193:B196" si="176">B192+1</f>
        <v>3</v>
      </c>
      <c r="C193" s="1144" t="s">
        <v>1475</v>
      </c>
      <c r="D193" s="1157"/>
      <c r="E193" s="1167">
        <v>0.6</v>
      </c>
      <c r="F193" s="1197">
        <v>0.6</v>
      </c>
      <c r="G193" s="1196"/>
      <c r="H193" s="1167">
        <v>0.6</v>
      </c>
      <c r="I193" s="1197">
        <v>0.6</v>
      </c>
      <c r="J193" s="1196"/>
      <c r="K193" s="1167">
        <v>0.6</v>
      </c>
      <c r="L193" s="1197">
        <v>0.6</v>
      </c>
      <c r="M193" s="1196"/>
      <c r="N193" s="1167">
        <v>0.6</v>
      </c>
      <c r="O193" s="1197">
        <v>0.6</v>
      </c>
      <c r="P193" s="1196"/>
      <c r="Q193" s="1167">
        <v>0.6</v>
      </c>
      <c r="R193" s="1197">
        <v>0.6</v>
      </c>
      <c r="S193" s="1196"/>
    </row>
    <row r="194" spans="2:19">
      <c r="B194" s="1144">
        <f t="shared" si="176"/>
        <v>4</v>
      </c>
      <c r="C194" s="1144" t="s">
        <v>1476</v>
      </c>
      <c r="D194" s="1157"/>
      <c r="E194" s="1167">
        <f t="shared" ref="E194:I194" si="177">E191*E193</f>
        <v>0</v>
      </c>
      <c r="F194" s="1189">
        <f t="shared" si="177"/>
        <v>0</v>
      </c>
      <c r="G194" s="1196"/>
      <c r="H194" s="1167">
        <f t="shared" si="177"/>
        <v>0</v>
      </c>
      <c r="I194" s="1189">
        <f t="shared" si="177"/>
        <v>0</v>
      </c>
      <c r="J194" s="1196"/>
      <c r="K194" s="1180">
        <f t="shared" ref="K194:L194" si="178">K191*K193</f>
        <v>2233.7150878535831</v>
      </c>
      <c r="L194" s="1146">
        <f t="shared" si="178"/>
        <v>1676.8162577311828</v>
      </c>
      <c r="M194" s="1196"/>
      <c r="N194" s="1180">
        <f t="shared" ref="N194:O194" si="179">N191*N193</f>
        <v>2233.7540154807252</v>
      </c>
      <c r="O194" s="1146">
        <f t="shared" si="179"/>
        <v>2233.7540154807252</v>
      </c>
      <c r="P194" s="1196"/>
      <c r="Q194" s="1180">
        <f t="shared" ref="Q194:R194" si="180">Q191*Q193</f>
        <v>2233.7540154807252</v>
      </c>
      <c r="R194" s="1146">
        <f t="shared" si="180"/>
        <v>2233.7540154807252</v>
      </c>
      <c r="S194" s="1196"/>
    </row>
    <row r="195" spans="2:19">
      <c r="B195" s="1144">
        <f t="shared" si="176"/>
        <v>5</v>
      </c>
      <c r="C195" s="1144" t="s">
        <v>1477</v>
      </c>
      <c r="D195" s="1157"/>
      <c r="E195" s="1172">
        <v>116.82</v>
      </c>
      <c r="F195" s="132">
        <v>116.82</v>
      </c>
      <c r="G195" s="1196"/>
      <c r="H195" s="1172">
        <v>116.82</v>
      </c>
      <c r="I195" s="132">
        <v>116.82</v>
      </c>
      <c r="J195" s="1196"/>
      <c r="K195" s="1172">
        <v>116.82</v>
      </c>
      <c r="L195" s="132">
        <v>116.82</v>
      </c>
      <c r="M195" s="1196"/>
      <c r="N195" s="1172">
        <v>116.82</v>
      </c>
      <c r="O195" s="132">
        <v>116.82</v>
      </c>
      <c r="P195" s="1196"/>
      <c r="Q195" s="1172">
        <v>116.82</v>
      </c>
      <c r="R195" s="132">
        <v>116.82</v>
      </c>
      <c r="S195" s="1196"/>
    </row>
    <row r="196" spans="2:19">
      <c r="B196" s="1144">
        <f t="shared" si="176"/>
        <v>6</v>
      </c>
      <c r="C196" s="1144" t="s">
        <v>1478</v>
      </c>
      <c r="D196" s="1157"/>
      <c r="E196" s="1167">
        <f>E195*E194/10^7</f>
        <v>0</v>
      </c>
      <c r="F196" s="1189">
        <f>F195*F194/10^7</f>
        <v>0</v>
      </c>
      <c r="G196" s="1195">
        <f>SUM(E196:F196)</f>
        <v>0</v>
      </c>
      <c r="H196" s="1167">
        <f>H195*H194/10^7</f>
        <v>0</v>
      </c>
      <c r="I196" s="1189">
        <f>I195*I194/10^7</f>
        <v>0</v>
      </c>
      <c r="J196" s="1195">
        <f>SUM(H196:I196)</f>
        <v>0</v>
      </c>
      <c r="K196" s="1180">
        <f>K195*K194/10^7</f>
        <v>2.6094259656305557E-2</v>
      </c>
      <c r="L196" s="1146">
        <f>L195*L194/10^7</f>
        <v>1.9588567522815677E-2</v>
      </c>
      <c r="M196" s="1195">
        <f>SUM(K196:L196)</f>
        <v>4.5682827179121234E-2</v>
      </c>
      <c r="N196" s="1180">
        <f>N195*N194/10^7</f>
        <v>2.609471440884583E-2</v>
      </c>
      <c r="O196" s="1146">
        <f>O195*O194/10^7</f>
        <v>2.609471440884583E-2</v>
      </c>
      <c r="P196" s="1195">
        <f>SUM(N196:O196)</f>
        <v>5.218942881769166E-2</v>
      </c>
      <c r="Q196" s="1180">
        <f>Q195*Q194/10^7</f>
        <v>2.609471440884583E-2</v>
      </c>
      <c r="R196" s="1146">
        <f>R195*R194/10^7</f>
        <v>2.609471440884583E-2</v>
      </c>
      <c r="S196" s="1195">
        <f>SUM(Q196:R196)</f>
        <v>5.218942881769166E-2</v>
      </c>
    </row>
    <row r="197" spans="2:19">
      <c r="B197" s="1"/>
      <c r="C197" s="1157"/>
      <c r="D197" s="1157"/>
      <c r="E197" s="1182"/>
      <c r="F197" s="132"/>
      <c r="G197" s="1196"/>
      <c r="H197" s="1161"/>
      <c r="I197" s="132"/>
      <c r="J197" s="1196"/>
      <c r="K197" s="1161"/>
      <c r="L197" s="132"/>
      <c r="M197" s="1196"/>
      <c r="N197" s="1161"/>
      <c r="O197" s="132"/>
      <c r="P197" s="1196"/>
      <c r="Q197" s="1161"/>
      <c r="R197" s="132"/>
      <c r="S197" s="1196"/>
    </row>
    <row r="198" spans="2:19" ht="14.5" thickBot="1">
      <c r="B198" s="40"/>
      <c r="C198" s="1152" t="s">
        <v>1479</v>
      </c>
      <c r="D198" s="1183"/>
      <c r="E198" s="1184">
        <f>E187+E196</f>
        <v>0</v>
      </c>
      <c r="F198" s="1198">
        <f>F187+F196</f>
        <v>0</v>
      </c>
      <c r="G198" s="1199">
        <f>SUM(E198:F198)</f>
        <v>0</v>
      </c>
      <c r="H198" s="1184">
        <f>H187+H196</f>
        <v>0</v>
      </c>
      <c r="I198" s="1198">
        <f>I187+I196</f>
        <v>0</v>
      </c>
      <c r="J198" s="1199">
        <f>SUM(H198:I198)</f>
        <v>0</v>
      </c>
      <c r="K198" s="1185">
        <f>K187+K196</f>
        <v>21.980173318023759</v>
      </c>
      <c r="L198" s="1200">
        <f>L187+L196</f>
        <v>16.500184901749343</v>
      </c>
      <c r="M198" s="1199">
        <f>SUM(K198:L198)</f>
        <v>38.480358219773102</v>
      </c>
      <c r="N198" s="1185">
        <f>N187+N196</f>
        <v>21.980580863342009</v>
      </c>
      <c r="O198" s="1200">
        <f>O187+O196</f>
        <v>21.980580863342009</v>
      </c>
      <c r="P198" s="1199">
        <f>SUM(N198:O198)</f>
        <v>43.961161726684018</v>
      </c>
      <c r="Q198" s="1185">
        <f>Q187+Q196</f>
        <v>21.980580863342009</v>
      </c>
      <c r="R198" s="1200">
        <f>R187+R196</f>
        <v>21.980580863342009</v>
      </c>
      <c r="S198" s="1199">
        <f>SUM(Q198:R198)</f>
        <v>43.961161726684018</v>
      </c>
    </row>
    <row r="199" spans="2:19">
      <c r="B199" s="1"/>
      <c r="C199" s="1157"/>
      <c r="D199" s="1157"/>
      <c r="E199" s="1714" t="s">
        <v>1453</v>
      </c>
      <c r="F199" s="1715"/>
      <c r="G199" s="1716"/>
      <c r="H199" s="1717" t="s">
        <v>1454</v>
      </c>
      <c r="I199" s="1718"/>
      <c r="J199" s="1718"/>
      <c r="K199" s="1718" t="s">
        <v>1455</v>
      </c>
      <c r="L199" s="1718"/>
      <c r="M199" s="1718"/>
      <c r="N199" s="1718" t="s">
        <v>1456</v>
      </c>
      <c r="O199" s="1718"/>
      <c r="P199" s="1718"/>
      <c r="Q199" s="1718" t="s">
        <v>1457</v>
      </c>
      <c r="R199" s="1718"/>
      <c r="S199" s="1718"/>
    </row>
  </sheetData>
  <mergeCells count="24">
    <mergeCell ref="E199:G199"/>
    <mergeCell ref="H199:J199"/>
    <mergeCell ref="K199:M199"/>
    <mergeCell ref="N199:P199"/>
    <mergeCell ref="Q199:S199"/>
    <mergeCell ref="E164:G164"/>
    <mergeCell ref="H164:J164"/>
    <mergeCell ref="K164:M164"/>
    <mergeCell ref="N164:P164"/>
    <mergeCell ref="Q164:S164"/>
    <mergeCell ref="S6:W6"/>
    <mergeCell ref="N2:X2"/>
    <mergeCell ref="N3:X3"/>
    <mergeCell ref="N4:X4"/>
    <mergeCell ref="B6:B8"/>
    <mergeCell ref="C6:C8"/>
    <mergeCell ref="D6:D8"/>
    <mergeCell ref="X6:X8"/>
    <mergeCell ref="B2:L2"/>
    <mergeCell ref="B3:L3"/>
    <mergeCell ref="E6:H6"/>
    <mergeCell ref="I6:L6"/>
    <mergeCell ref="M6:R6"/>
    <mergeCell ref="B4:L4"/>
  </mergeCells>
  <phoneticPr fontId="20" type="noConversion"/>
  <dataValidations disablePrompts="1" count="1">
    <dataValidation type="list" allowBlank="1" showInputMessage="1" showErrorMessage="1" sqref="E173 H173 K173 N173 Q173" xr:uid="{00000000-0002-0000-0500-000000000000}">
      <formula1>$Y$3:$Y$5</formula1>
    </dataValidation>
  </dataValidations>
  <printOptions horizontalCentered="1" verticalCentered="1"/>
  <pageMargins left="0.19685039370078741" right="0.11811023622047245" top="3.937007874015748E-2" bottom="0" header="0.51181102362204722" footer="0.34"/>
  <pageSetup paperSize="9" scale="48" fitToHeight="0" orientation="landscape" r:id="rId1"/>
  <headerFooter alignWithMargins="0"/>
  <rowBreaks count="2" manualBreakCount="2">
    <brk id="67" max="16383" man="1"/>
    <brk id="12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K10" activePane="bottomRight" state="frozen"/>
      <selection activeCell="B28" sqref="B28"/>
      <selection pane="topRight" activeCell="B28" sqref="B28"/>
      <selection pane="bottomLeft" activeCell="B28" sqref="B28"/>
      <selection pane="bottomRight" activeCell="C81" sqref="C81"/>
    </sheetView>
  </sheetViews>
  <sheetFormatPr defaultColWidth="9.36328125" defaultRowHeight="14"/>
  <cols>
    <col min="1" max="1" width="3.36328125" style="5" customWidth="1"/>
    <col min="2" max="2" width="8" style="5" customWidth="1"/>
    <col min="3" max="3" width="28.54296875" style="5" customWidth="1"/>
    <col min="4" max="5" width="15.6328125" style="5" customWidth="1"/>
    <col min="6" max="6" width="30.36328125" style="5" customWidth="1"/>
    <col min="7" max="7" width="26" style="5" bestFit="1" customWidth="1"/>
    <col min="8" max="8" width="19.81640625" style="5" bestFit="1" customWidth="1"/>
    <col min="9" max="10" width="15.6328125" style="5" customWidth="1"/>
    <col min="11" max="11" width="16.36328125" style="5" customWidth="1"/>
    <col min="12" max="14" width="15.6328125" style="5" customWidth="1"/>
    <col min="15" max="15" width="25.08984375" style="5" bestFit="1" customWidth="1"/>
    <col min="16" max="21" width="15.6328125" style="5" customWidth="1"/>
    <col min="22" max="16384" width="9.36328125" style="5"/>
  </cols>
  <sheetData>
    <row r="2" spans="2:21">
      <c r="B2" s="1682" t="str">
        <f>Index!B2</f>
        <v xml:space="preserve">      Maharashtra State Power Generation Company Ltd.</v>
      </c>
      <c r="C2" s="1682"/>
      <c r="D2" s="1682"/>
      <c r="E2" s="1682"/>
      <c r="F2" s="1682"/>
      <c r="G2" s="1682"/>
      <c r="H2" s="1682"/>
      <c r="I2" s="1682"/>
      <c r="J2" s="1682"/>
      <c r="K2" s="1712" t="str">
        <f>B2</f>
        <v xml:space="preserve">      Maharashtra State Power Generation Company Ltd.</v>
      </c>
      <c r="L2" s="1712"/>
      <c r="M2" s="1712"/>
      <c r="N2" s="1712"/>
      <c r="O2" s="1712"/>
      <c r="P2" s="1712"/>
      <c r="Q2" s="1712"/>
      <c r="R2" s="1712"/>
      <c r="S2" s="1712"/>
      <c r="T2" s="1712"/>
      <c r="U2" s="1712"/>
    </row>
    <row r="3" spans="2:21">
      <c r="B3" s="1682" t="str">
        <f>Index!B3</f>
        <v>MYT Petition Formats for Bhusawal Units 4&amp;5</v>
      </c>
      <c r="C3" s="1682"/>
      <c r="D3" s="1682"/>
      <c r="E3" s="1682"/>
      <c r="F3" s="1682"/>
      <c r="G3" s="1682"/>
      <c r="H3" s="1682"/>
      <c r="I3" s="1682"/>
      <c r="J3" s="1682"/>
      <c r="K3" s="1712" t="str">
        <f>B3</f>
        <v>MYT Petition Formats for Bhusawal Units 4&amp;5</v>
      </c>
      <c r="L3" s="1712"/>
      <c r="M3" s="1712"/>
      <c r="N3" s="1712"/>
      <c r="O3" s="1712"/>
      <c r="P3" s="1712"/>
      <c r="Q3" s="1712"/>
      <c r="R3" s="1712"/>
      <c r="S3" s="1712"/>
      <c r="T3" s="1712"/>
      <c r="U3" s="1712"/>
    </row>
    <row r="4" spans="2:21">
      <c r="B4" s="1682" t="s">
        <v>384</v>
      </c>
      <c r="C4" s="1682"/>
      <c r="D4" s="1682"/>
      <c r="E4" s="1682"/>
      <c r="F4" s="1682"/>
      <c r="G4" s="1682"/>
      <c r="H4" s="1682"/>
      <c r="I4" s="1682"/>
      <c r="J4" s="1682"/>
      <c r="K4" s="1712" t="str">
        <f>B4</f>
        <v>Form 2.3: Fuel Cost Details for Thermal Generation</v>
      </c>
      <c r="L4" s="1712"/>
      <c r="M4" s="1712"/>
      <c r="N4" s="1712"/>
      <c r="O4" s="1712"/>
      <c r="P4" s="1712"/>
      <c r="Q4" s="1712"/>
      <c r="R4" s="1712"/>
      <c r="S4" s="1712"/>
      <c r="T4" s="1712"/>
      <c r="U4" s="1712"/>
    </row>
    <row r="5" spans="2:21">
      <c r="B5" s="188"/>
      <c r="C5" s="117"/>
      <c r="D5" s="117"/>
      <c r="E5" s="117"/>
      <c r="F5" s="117"/>
      <c r="G5" s="117"/>
      <c r="H5" s="117"/>
      <c r="I5" s="117"/>
      <c r="J5" s="117"/>
      <c r="K5" s="117"/>
      <c r="L5" s="117"/>
      <c r="M5" s="117"/>
      <c r="N5" s="117"/>
      <c r="O5" s="117"/>
      <c r="P5" s="117"/>
      <c r="Q5" s="117"/>
      <c r="R5" s="117"/>
      <c r="S5" s="117"/>
      <c r="T5" s="117"/>
      <c r="U5" s="117"/>
    </row>
    <row r="6" spans="2:21">
      <c r="B6" s="53"/>
      <c r="C6" s="17"/>
      <c r="D6" s="18"/>
      <c r="E6" s="18"/>
      <c r="F6" s="18"/>
      <c r="G6" s="18"/>
      <c r="H6" s="18"/>
      <c r="I6" s="18"/>
      <c r="J6" s="18"/>
      <c r="K6" s="18"/>
      <c r="L6" s="18"/>
      <c r="M6" s="18"/>
    </row>
    <row r="7" spans="2:21" s="35" customFormat="1" ht="15">
      <c r="B7" s="1719" t="s">
        <v>341</v>
      </c>
      <c r="C7" s="1721" t="s">
        <v>37</v>
      </c>
      <c r="D7" s="1721" t="s">
        <v>139</v>
      </c>
      <c r="E7" s="1678" t="s">
        <v>509</v>
      </c>
      <c r="F7" s="1679"/>
      <c r="G7" s="1680"/>
      <c r="H7" s="1678" t="s">
        <v>510</v>
      </c>
      <c r="I7" s="1679"/>
      <c r="J7" s="1680"/>
      <c r="K7" s="1678" t="s">
        <v>511</v>
      </c>
      <c r="L7" s="1679"/>
      <c r="M7" s="1679"/>
      <c r="N7" s="1679"/>
      <c r="O7" s="1680"/>
      <c r="P7" s="1681" t="s">
        <v>946</v>
      </c>
      <c r="Q7" s="1681"/>
      <c r="R7" s="1681"/>
      <c r="S7" s="1681"/>
      <c r="T7" s="1681"/>
      <c r="U7" s="1684" t="s">
        <v>27</v>
      </c>
    </row>
    <row r="8" spans="2:21" s="36" customFormat="1" ht="44.25" customHeight="1">
      <c r="B8" s="1719"/>
      <c r="C8" s="1721"/>
      <c r="D8" s="1721"/>
      <c r="E8" s="288" t="s">
        <v>882</v>
      </c>
      <c r="F8" s="289" t="s">
        <v>79</v>
      </c>
      <c r="G8" s="289" t="s">
        <v>452</v>
      </c>
      <c r="H8" s="742" t="s">
        <v>882</v>
      </c>
      <c r="I8" s="289" t="s">
        <v>79</v>
      </c>
      <c r="J8" s="289" t="s">
        <v>452</v>
      </c>
      <c r="K8" s="742" t="s">
        <v>882</v>
      </c>
      <c r="L8" s="289" t="s">
        <v>445</v>
      </c>
      <c r="M8" s="289" t="s">
        <v>449</v>
      </c>
      <c r="N8" s="289" t="s">
        <v>80</v>
      </c>
      <c r="O8" s="289" t="s">
        <v>453</v>
      </c>
      <c r="P8" s="702" t="s">
        <v>947</v>
      </c>
      <c r="Q8" s="702" t="s">
        <v>948</v>
      </c>
      <c r="R8" s="702" t="s">
        <v>949</v>
      </c>
      <c r="S8" s="702" t="s">
        <v>950</v>
      </c>
      <c r="T8" s="702" t="s">
        <v>951</v>
      </c>
      <c r="U8" s="1685"/>
    </row>
    <row r="9" spans="2:21" s="36" customFormat="1" ht="15">
      <c r="B9" s="1720"/>
      <c r="C9" s="1688"/>
      <c r="D9" s="1688"/>
      <c r="E9" s="289" t="s">
        <v>81</v>
      </c>
      <c r="F9" s="289" t="s">
        <v>82</v>
      </c>
      <c r="G9" s="289" t="s">
        <v>644</v>
      </c>
      <c r="H9" s="289" t="s">
        <v>392</v>
      </c>
      <c r="I9" s="289" t="s">
        <v>410</v>
      </c>
      <c r="J9" s="289" t="s">
        <v>457</v>
      </c>
      <c r="K9" s="289" t="s">
        <v>411</v>
      </c>
      <c r="L9" s="289" t="s">
        <v>412</v>
      </c>
      <c r="M9" s="289" t="s">
        <v>557</v>
      </c>
      <c r="N9" s="289" t="s">
        <v>645</v>
      </c>
      <c r="O9" s="289" t="s">
        <v>963</v>
      </c>
      <c r="P9" s="702" t="s">
        <v>21</v>
      </c>
      <c r="Q9" s="702" t="s">
        <v>21</v>
      </c>
      <c r="R9" s="702" t="s">
        <v>21</v>
      </c>
      <c r="S9" s="702" t="s">
        <v>21</v>
      </c>
      <c r="T9" s="702" t="s">
        <v>21</v>
      </c>
      <c r="U9" s="1722"/>
    </row>
    <row r="10" spans="2:21" s="36" customFormat="1" ht="15.5">
      <c r="B10" s="339" t="s">
        <v>172</v>
      </c>
      <c r="C10" s="340" t="s">
        <v>749</v>
      </c>
      <c r="D10" s="395"/>
      <c r="E10" s="395"/>
      <c r="F10" s="395"/>
      <c r="G10" s="395"/>
      <c r="H10" s="395"/>
      <c r="I10" s="395"/>
      <c r="J10" s="395"/>
      <c r="K10" s="385"/>
      <c r="L10" s="385"/>
      <c r="M10" s="385"/>
      <c r="N10" s="385"/>
      <c r="O10" s="385"/>
      <c r="P10" s="385"/>
      <c r="Q10" s="385"/>
      <c r="R10" s="385"/>
      <c r="S10" s="385"/>
      <c r="T10" s="385"/>
      <c r="U10" s="385"/>
    </row>
    <row r="11" spans="2:21" s="418" customFormat="1" ht="15.5">
      <c r="B11" s="416">
        <v>1</v>
      </c>
      <c r="C11" s="396" t="s">
        <v>140</v>
      </c>
      <c r="D11" s="461" t="s">
        <v>117</v>
      </c>
      <c r="E11" s="753">
        <f>F11</f>
        <v>1728.920348751778</v>
      </c>
      <c r="F11" s="748">
        <v>1728.920348751778</v>
      </c>
      <c r="G11" s="748">
        <f>F11-E11</f>
        <v>0</v>
      </c>
      <c r="H11" s="753">
        <f>I11</f>
        <v>1862.279</v>
      </c>
      <c r="I11" s="861">
        <v>1862.279</v>
      </c>
      <c r="J11" s="748">
        <f>I11-H11</f>
        <v>0</v>
      </c>
      <c r="K11" s="652"/>
      <c r="L11" s="1204">
        <v>2056.9358997690219</v>
      </c>
      <c r="M11" s="1204"/>
      <c r="N11" s="1205"/>
      <c r="O11" s="506">
        <f>N11-K11</f>
        <v>0</v>
      </c>
      <c r="P11" s="1154"/>
      <c r="Q11" s="1154"/>
      <c r="R11" s="1154"/>
      <c r="S11" s="1154"/>
      <c r="T11" s="1154"/>
      <c r="U11" s="417"/>
    </row>
    <row r="12" spans="2:21" s="418" customFormat="1" ht="15.5">
      <c r="B12" s="416">
        <f>B11+1</f>
        <v>2</v>
      </c>
      <c r="C12" s="397" t="s">
        <v>750</v>
      </c>
      <c r="D12" s="461" t="s">
        <v>117</v>
      </c>
      <c r="E12" s="753">
        <f t="shared" ref="E12:E22" si="0">F12</f>
        <v>1270.9293119927299</v>
      </c>
      <c r="F12" s="748">
        <v>1270.9293119927299</v>
      </c>
      <c r="G12" s="748">
        <f t="shared" ref="G12:G25" si="1">F12-E12</f>
        <v>0</v>
      </c>
      <c r="H12" s="753">
        <f t="shared" ref="H12:H22" si="2">I12</f>
        <v>1583.2236920612493</v>
      </c>
      <c r="I12" s="861">
        <v>1583.2236920612493</v>
      </c>
      <c r="J12" s="748">
        <f t="shared" ref="J12:J25" si="3">I12-H12</f>
        <v>0</v>
      </c>
      <c r="K12" s="652"/>
      <c r="L12" s="1204">
        <v>1746.6254111661194</v>
      </c>
      <c r="M12" s="1204"/>
      <c r="N12" s="580"/>
      <c r="O12" s="506">
        <f t="shared" ref="O12:O25" si="4">N12-K12</f>
        <v>0</v>
      </c>
      <c r="P12" s="1154"/>
      <c r="Q12" s="1154"/>
      <c r="R12" s="1154"/>
      <c r="S12" s="1154"/>
      <c r="T12" s="1154"/>
      <c r="U12" s="417"/>
    </row>
    <row r="13" spans="2:21" s="418" customFormat="1" ht="15.5">
      <c r="B13" s="416">
        <f t="shared" ref="B13:B26" si="5">B12+1</f>
        <v>3</v>
      </c>
      <c r="C13" s="397" t="s">
        <v>228</v>
      </c>
      <c r="D13" s="461" t="s">
        <v>117</v>
      </c>
      <c r="E13" s="753">
        <f t="shared" si="0"/>
        <v>0</v>
      </c>
      <c r="F13" s="748">
        <v>0</v>
      </c>
      <c r="G13" s="748">
        <f t="shared" si="1"/>
        <v>0</v>
      </c>
      <c r="H13" s="753">
        <f t="shared" si="2"/>
        <v>0</v>
      </c>
      <c r="I13" s="861">
        <v>0</v>
      </c>
      <c r="J13" s="748">
        <f t="shared" si="3"/>
        <v>0</v>
      </c>
      <c r="K13" s="652"/>
      <c r="L13" s="1204">
        <v>0</v>
      </c>
      <c r="M13" s="1204"/>
      <c r="N13" s="580"/>
      <c r="O13" s="506">
        <f t="shared" si="4"/>
        <v>0</v>
      </c>
      <c r="P13" s="1154"/>
      <c r="Q13" s="1154"/>
      <c r="R13" s="1154"/>
      <c r="S13" s="1154"/>
      <c r="T13" s="1154"/>
      <c r="U13" s="417"/>
    </row>
    <row r="14" spans="2:21" s="418" customFormat="1" ht="15.5">
      <c r="B14" s="416">
        <f t="shared" si="5"/>
        <v>4</v>
      </c>
      <c r="C14" s="397" t="s">
        <v>759</v>
      </c>
      <c r="D14" s="461" t="s">
        <v>117</v>
      </c>
      <c r="E14" s="753">
        <f t="shared" si="0"/>
        <v>0</v>
      </c>
      <c r="F14" s="748">
        <v>0</v>
      </c>
      <c r="G14" s="748">
        <f t="shared" si="1"/>
        <v>0</v>
      </c>
      <c r="H14" s="753">
        <f t="shared" si="2"/>
        <v>0</v>
      </c>
      <c r="I14" s="861">
        <v>0</v>
      </c>
      <c r="J14" s="748">
        <f t="shared" si="3"/>
        <v>0</v>
      </c>
      <c r="K14" s="652"/>
      <c r="L14" s="1204">
        <v>0</v>
      </c>
      <c r="M14" s="1204"/>
      <c r="N14" s="580"/>
      <c r="O14" s="748">
        <f t="shared" si="4"/>
        <v>0</v>
      </c>
      <c r="P14" s="1154"/>
      <c r="Q14" s="1154"/>
      <c r="R14" s="1154"/>
      <c r="S14" s="1154"/>
      <c r="T14" s="1154"/>
      <c r="U14" s="400"/>
    </row>
    <row r="15" spans="2:21" s="418" customFormat="1" ht="15.5">
      <c r="B15" s="416">
        <f t="shared" si="5"/>
        <v>5</v>
      </c>
      <c r="C15" s="397" t="s">
        <v>790</v>
      </c>
      <c r="D15" s="461" t="s">
        <v>117</v>
      </c>
      <c r="E15" s="753">
        <f t="shared" si="0"/>
        <v>123.03577822536641</v>
      </c>
      <c r="F15" s="748">
        <v>123.03577822536641</v>
      </c>
      <c r="G15" s="748">
        <f t="shared" si="1"/>
        <v>0</v>
      </c>
      <c r="H15" s="753">
        <f t="shared" si="2"/>
        <v>120.68961896940637</v>
      </c>
      <c r="I15" s="861">
        <v>120.68961896940637</v>
      </c>
      <c r="J15" s="748">
        <f t="shared" si="3"/>
        <v>0</v>
      </c>
      <c r="K15" s="652"/>
      <c r="L15" s="1204">
        <v>133.14520618308515</v>
      </c>
      <c r="M15" s="1204"/>
      <c r="N15" s="580"/>
      <c r="O15" s="748">
        <f t="shared" si="4"/>
        <v>0</v>
      </c>
      <c r="P15" s="1154"/>
      <c r="Q15" s="1154"/>
      <c r="R15" s="1154"/>
      <c r="S15" s="1154"/>
      <c r="T15" s="1154"/>
      <c r="U15" s="400"/>
    </row>
    <row r="16" spans="2:21" s="418" customFormat="1" ht="15.5">
      <c r="B16" s="416">
        <f t="shared" si="5"/>
        <v>6</v>
      </c>
      <c r="C16" s="397" t="s">
        <v>751</v>
      </c>
      <c r="D16" s="461" t="s">
        <v>117</v>
      </c>
      <c r="E16" s="753">
        <f t="shared" si="0"/>
        <v>0</v>
      </c>
      <c r="F16" s="748">
        <v>0</v>
      </c>
      <c r="G16" s="748">
        <f t="shared" si="1"/>
        <v>0</v>
      </c>
      <c r="H16" s="753">
        <f t="shared" si="2"/>
        <v>0</v>
      </c>
      <c r="I16" s="861">
        <v>0</v>
      </c>
      <c r="J16" s="748">
        <f t="shared" si="3"/>
        <v>0</v>
      </c>
      <c r="K16" s="652"/>
      <c r="L16" s="1204">
        <v>0</v>
      </c>
      <c r="M16" s="1204"/>
      <c r="N16" s="580"/>
      <c r="O16" s="748">
        <f t="shared" si="4"/>
        <v>0</v>
      </c>
      <c r="P16" s="1154"/>
      <c r="Q16" s="1154"/>
      <c r="R16" s="1154"/>
      <c r="S16" s="1154"/>
      <c r="T16" s="1154"/>
      <c r="U16" s="400"/>
    </row>
    <row r="17" spans="2:21" s="418" customFormat="1" ht="15.5">
      <c r="B17" s="416">
        <f t="shared" si="5"/>
        <v>7</v>
      </c>
      <c r="C17" s="397" t="s">
        <v>752</v>
      </c>
      <c r="D17" s="461" t="s">
        <v>117</v>
      </c>
      <c r="E17" s="753">
        <f t="shared" si="0"/>
        <v>232.52893477385626</v>
      </c>
      <c r="F17" s="748">
        <v>232.52893477385626</v>
      </c>
      <c r="G17" s="748">
        <f t="shared" si="1"/>
        <v>0</v>
      </c>
      <c r="H17" s="753">
        <f t="shared" si="2"/>
        <v>241.30433726284829</v>
      </c>
      <c r="I17" s="861">
        <v>241.30433726284829</v>
      </c>
      <c r="J17" s="748">
        <f t="shared" si="3"/>
        <v>0</v>
      </c>
      <c r="K17" s="652"/>
      <c r="L17" s="1204">
        <v>266.20778168070041</v>
      </c>
      <c r="M17" s="1204"/>
      <c r="N17" s="580"/>
      <c r="O17" s="748">
        <f t="shared" si="4"/>
        <v>0</v>
      </c>
      <c r="P17" s="1154"/>
      <c r="Q17" s="1154"/>
      <c r="R17" s="1154"/>
      <c r="S17" s="1154"/>
      <c r="T17" s="1154"/>
      <c r="U17" s="400"/>
    </row>
    <row r="18" spans="2:21" s="418" customFormat="1" ht="15.5">
      <c r="B18" s="416">
        <f t="shared" si="5"/>
        <v>8</v>
      </c>
      <c r="C18" s="397" t="s">
        <v>753</v>
      </c>
      <c r="D18" s="461" t="s">
        <v>117</v>
      </c>
      <c r="E18" s="753">
        <f t="shared" si="0"/>
        <v>190.036980826052</v>
      </c>
      <c r="F18" s="748">
        <v>190.036980826052</v>
      </c>
      <c r="G18" s="748">
        <f t="shared" si="1"/>
        <v>0</v>
      </c>
      <c r="H18" s="753">
        <f t="shared" si="2"/>
        <v>220.36813071124752</v>
      </c>
      <c r="I18" s="861">
        <v>220.36813071124752</v>
      </c>
      <c r="J18" s="748">
        <f t="shared" si="3"/>
        <v>0</v>
      </c>
      <c r="K18" s="652"/>
      <c r="L18" s="1204">
        <v>243.1108860089098</v>
      </c>
      <c r="M18" s="1204"/>
      <c r="N18" s="580"/>
      <c r="O18" s="748">
        <f t="shared" si="4"/>
        <v>0</v>
      </c>
      <c r="P18" s="1154"/>
      <c r="Q18" s="1154"/>
      <c r="R18" s="1154"/>
      <c r="S18" s="1154"/>
      <c r="T18" s="1154"/>
      <c r="U18" s="400"/>
    </row>
    <row r="19" spans="2:21" s="418" customFormat="1" ht="15.5">
      <c r="B19" s="416">
        <f t="shared" si="5"/>
        <v>9</v>
      </c>
      <c r="C19" s="397" t="s">
        <v>754</v>
      </c>
      <c r="D19" s="461" t="s">
        <v>117</v>
      </c>
      <c r="E19" s="753">
        <f t="shared" si="0"/>
        <v>400.00000034021838</v>
      </c>
      <c r="F19" s="748">
        <v>400.00000034021838</v>
      </c>
      <c r="G19" s="748">
        <f t="shared" si="1"/>
        <v>0</v>
      </c>
      <c r="H19" s="753">
        <f t="shared" si="2"/>
        <v>399.99993700160309</v>
      </c>
      <c r="I19" s="861">
        <v>399.99993700160309</v>
      </c>
      <c r="J19" s="748">
        <f t="shared" si="3"/>
        <v>0</v>
      </c>
      <c r="K19" s="652"/>
      <c r="L19" s="1204">
        <v>400</v>
      </c>
      <c r="M19" s="1204"/>
      <c r="N19" s="580"/>
      <c r="O19" s="748">
        <f t="shared" si="4"/>
        <v>0</v>
      </c>
      <c r="P19" s="1154"/>
      <c r="Q19" s="1154"/>
      <c r="R19" s="1154"/>
      <c r="S19" s="1154"/>
      <c r="T19" s="1154"/>
      <c r="U19" s="400"/>
    </row>
    <row r="20" spans="2:21" s="418" customFormat="1" ht="15.5">
      <c r="B20" s="416">
        <f t="shared" si="5"/>
        <v>10</v>
      </c>
      <c r="C20" s="397" t="s">
        <v>755</v>
      </c>
      <c r="D20" s="461" t="s">
        <v>117</v>
      </c>
      <c r="E20" s="753">
        <f t="shared" si="0"/>
        <v>0</v>
      </c>
      <c r="F20" s="748">
        <v>0</v>
      </c>
      <c r="G20" s="748">
        <f t="shared" si="1"/>
        <v>0</v>
      </c>
      <c r="H20" s="753">
        <f t="shared" si="2"/>
        <v>0</v>
      </c>
      <c r="I20" s="861">
        <v>0</v>
      </c>
      <c r="J20" s="748">
        <f t="shared" si="3"/>
        <v>0</v>
      </c>
      <c r="K20" s="652"/>
      <c r="L20" s="1204">
        <v>0</v>
      </c>
      <c r="M20" s="1204"/>
      <c r="N20" s="580"/>
      <c r="O20" s="748">
        <f t="shared" si="4"/>
        <v>0</v>
      </c>
      <c r="P20" s="1154"/>
      <c r="Q20" s="1154"/>
      <c r="R20" s="1154"/>
      <c r="S20" s="1154"/>
      <c r="T20" s="1154"/>
      <c r="U20" s="400"/>
    </row>
    <row r="21" spans="2:21" s="418" customFormat="1" ht="15.5">
      <c r="B21" s="416">
        <f t="shared" si="5"/>
        <v>11</v>
      </c>
      <c r="C21" s="397" t="s">
        <v>786</v>
      </c>
      <c r="D21" s="461" t="s">
        <v>117</v>
      </c>
      <c r="E21" s="753">
        <f t="shared" si="0"/>
        <v>74.462537028474927</v>
      </c>
      <c r="F21" s="748">
        <v>74.462537028474927</v>
      </c>
      <c r="G21" s="748">
        <f t="shared" si="1"/>
        <v>0</v>
      </c>
      <c r="H21" s="753">
        <f t="shared" si="2"/>
        <v>77.217387925165482</v>
      </c>
      <c r="I21" s="861">
        <v>77.217387925165482</v>
      </c>
      <c r="J21" s="748">
        <f t="shared" si="3"/>
        <v>0</v>
      </c>
      <c r="K21" s="652"/>
      <c r="L21" s="1204">
        <v>85.186490138986969</v>
      </c>
      <c r="M21" s="1204"/>
      <c r="N21" s="580"/>
      <c r="O21" s="748">
        <f t="shared" si="4"/>
        <v>0</v>
      </c>
      <c r="P21" s="1154"/>
      <c r="Q21" s="1154"/>
      <c r="R21" s="1154"/>
      <c r="S21" s="1154"/>
      <c r="T21" s="1154"/>
      <c r="U21" s="400"/>
    </row>
    <row r="22" spans="2:21" s="418" customFormat="1" ht="15.5">
      <c r="B22" s="416">
        <f t="shared" si="5"/>
        <v>12</v>
      </c>
      <c r="C22" s="397" t="s">
        <v>775</v>
      </c>
      <c r="D22" s="461" t="s">
        <v>117</v>
      </c>
      <c r="E22" s="753">
        <f t="shared" si="0"/>
        <v>131.34936705021681</v>
      </c>
      <c r="F22" s="1088">
        <v>131.34936705021681</v>
      </c>
      <c r="G22" s="1088">
        <f t="shared" si="1"/>
        <v>0</v>
      </c>
      <c r="H22" s="753">
        <f t="shared" si="2"/>
        <v>80.190361477038138</v>
      </c>
      <c r="I22" s="1088">
        <v>80.190361477038138</v>
      </c>
      <c r="J22" s="1088">
        <f t="shared" si="3"/>
        <v>0</v>
      </c>
      <c r="K22" s="652"/>
      <c r="L22" s="1233">
        <v>68.366548691730841</v>
      </c>
      <c r="M22" s="1233"/>
      <c r="N22" s="580"/>
      <c r="O22" s="1088">
        <f t="shared" si="4"/>
        <v>0</v>
      </c>
      <c r="P22" s="1233"/>
      <c r="Q22" s="1233"/>
      <c r="R22" s="1233"/>
      <c r="S22" s="1233"/>
      <c r="T22" s="1233"/>
      <c r="U22" s="400"/>
    </row>
    <row r="23" spans="2:21" s="418" customFormat="1" ht="45">
      <c r="B23" s="476">
        <f t="shared" si="5"/>
        <v>13</v>
      </c>
      <c r="C23" s="419" t="s">
        <v>673</v>
      </c>
      <c r="D23" s="461" t="s">
        <v>117</v>
      </c>
      <c r="E23" s="454">
        <f>SUM(E11:E22)</f>
        <v>4151.2632589886925</v>
      </c>
      <c r="F23" s="454">
        <f>SUM(F11:F22)</f>
        <v>4151.2632589886925</v>
      </c>
      <c r="G23" s="454">
        <f t="shared" si="1"/>
        <v>0</v>
      </c>
      <c r="H23" s="454">
        <f>SUM(H11:H22)</f>
        <v>4585.2724654085578</v>
      </c>
      <c r="I23" s="454">
        <f>SUM(I11:I22)</f>
        <v>4585.2724654085578</v>
      </c>
      <c r="J23" s="454">
        <f>SUM(J11:J22)</f>
        <v>0</v>
      </c>
      <c r="K23" s="1060"/>
      <c r="L23" s="1060">
        <f t="shared" ref="L23" si="6">SUM(L11:L22)</f>
        <v>4999.5782236385548</v>
      </c>
      <c r="M23" s="1060"/>
      <c r="N23" s="1206"/>
      <c r="O23" s="454">
        <f t="shared" ref="O23" si="7">SUM(O11:O22)</f>
        <v>0</v>
      </c>
      <c r="P23" s="1060"/>
      <c r="Q23" s="1060"/>
      <c r="R23" s="1060"/>
      <c r="S23" s="1060"/>
      <c r="T23" s="1060"/>
      <c r="U23" s="400"/>
    </row>
    <row r="24" spans="2:21" s="418" customFormat="1" ht="15.5">
      <c r="B24" s="416">
        <f t="shared" si="5"/>
        <v>14</v>
      </c>
      <c r="C24" s="420" t="s">
        <v>143</v>
      </c>
      <c r="D24" s="461" t="s">
        <v>99</v>
      </c>
      <c r="E24" s="453">
        <f>'F2.2'!$F$43</f>
        <v>8.0000000000000002E-3</v>
      </c>
      <c r="F24" s="453">
        <f>'F2.2'!$G$44</f>
        <v>8.0000000000000002E-3</v>
      </c>
      <c r="G24" s="453">
        <f t="shared" si="1"/>
        <v>0</v>
      </c>
      <c r="H24" s="453">
        <f>'F2.2'!$J$43</f>
        <v>8.0000000000000002E-3</v>
      </c>
      <c r="I24" s="453">
        <f>'F2.2'!$K$44</f>
        <v>9.92E-3</v>
      </c>
      <c r="J24" s="453">
        <f t="shared" si="3"/>
        <v>1.9199999999999998E-3</v>
      </c>
      <c r="K24" s="453"/>
      <c r="L24" s="453">
        <f>'F2.2'!O44</f>
        <v>1.0156399890765262E-2</v>
      </c>
      <c r="M24" s="453"/>
      <c r="N24" s="1207"/>
      <c r="O24" s="453">
        <f t="shared" si="4"/>
        <v>0</v>
      </c>
      <c r="P24" s="453"/>
      <c r="Q24" s="453"/>
      <c r="R24" s="453"/>
      <c r="S24" s="453"/>
      <c r="T24" s="453"/>
      <c r="U24" s="401"/>
    </row>
    <row r="25" spans="2:21" s="418" customFormat="1" ht="15.5">
      <c r="B25" s="416">
        <f t="shared" si="5"/>
        <v>15</v>
      </c>
      <c r="C25" s="420" t="s">
        <v>653</v>
      </c>
      <c r="D25" s="461" t="s">
        <v>117</v>
      </c>
      <c r="E25" s="748"/>
      <c r="F25" s="754"/>
      <c r="G25" s="748">
        <f t="shared" si="1"/>
        <v>0</v>
      </c>
      <c r="H25" s="748"/>
      <c r="I25" s="748"/>
      <c r="J25" s="748">
        <f t="shared" si="3"/>
        <v>0</v>
      </c>
      <c r="K25" s="1204"/>
      <c r="L25" s="1204"/>
      <c r="M25" s="1204"/>
      <c r="N25" s="1204"/>
      <c r="O25" s="748">
        <f t="shared" si="4"/>
        <v>0</v>
      </c>
      <c r="P25" s="1154"/>
      <c r="Q25" s="1061"/>
      <c r="R25" s="1154"/>
      <c r="S25" s="1061"/>
      <c r="T25" s="1061"/>
      <c r="U25" s="401"/>
    </row>
    <row r="26" spans="2:21" s="418" customFormat="1" ht="45">
      <c r="B26" s="476">
        <f t="shared" si="5"/>
        <v>16</v>
      </c>
      <c r="C26" s="419" t="s">
        <v>674</v>
      </c>
      <c r="D26" s="421" t="s">
        <v>117</v>
      </c>
      <c r="E26" s="454">
        <f t="shared" ref="E26:J26" si="8">(E23-E22)/(1-E24)+E25+E22</f>
        <v>4183.6819194075515</v>
      </c>
      <c r="F26" s="454">
        <f>(F23-F22)/(1-F24)+F25+F22</f>
        <v>4183.6819194075515</v>
      </c>
      <c r="G26" s="454">
        <f t="shared" si="8"/>
        <v>0</v>
      </c>
      <c r="H26" s="454">
        <f t="shared" si="8"/>
        <v>4621.6037726983277</v>
      </c>
      <c r="I26" s="454">
        <f t="shared" si="8"/>
        <v>4630.410650677426</v>
      </c>
      <c r="J26" s="454">
        <f t="shared" si="8"/>
        <v>0</v>
      </c>
      <c r="K26" s="1060">
        <f>N26</f>
        <v>4832.8019011435654</v>
      </c>
      <c r="L26" s="1060">
        <f>(L23-L22)/(1-L24)+L25+L22</f>
        <v>5050.1754671942472</v>
      </c>
      <c r="M26" s="1060">
        <v>4630.410650677426</v>
      </c>
      <c r="N26" s="1060">
        <f>SUMPRODUCT(L26:M26,'F2.2'!O94:P94)/SUM('F2.2'!O94:P94)</f>
        <v>4832.8019011435654</v>
      </c>
      <c r="O26" s="736">
        <f>O23/(1-O24)+O25</f>
        <v>0</v>
      </c>
      <c r="P26" s="1060">
        <v>5116.0347542656718</v>
      </c>
      <c r="Q26" s="1060">
        <v>5371.8364919789537</v>
      </c>
      <c r="R26" s="1060">
        <v>5640.4283165779025</v>
      </c>
      <c r="S26" s="1060">
        <v>5922.449732406797</v>
      </c>
      <c r="T26" s="1060">
        <v>6218.5722190271372</v>
      </c>
      <c r="U26" s="454"/>
    </row>
    <row r="27" spans="2:21" s="6" customFormat="1" ht="15.5">
      <c r="B27" s="403"/>
      <c r="C27" s="399"/>
      <c r="D27" s="402"/>
      <c r="E27" s="422"/>
      <c r="F27" s="422"/>
      <c r="G27" s="748"/>
      <c r="H27" s="422"/>
      <c r="I27" s="422"/>
      <c r="J27" s="748"/>
      <c r="K27" s="422"/>
      <c r="L27" s="422"/>
      <c r="M27" s="422"/>
      <c r="N27" s="1204"/>
      <c r="O27" s="748"/>
      <c r="P27" s="422"/>
      <c r="Q27" s="422"/>
      <c r="R27" s="422"/>
      <c r="S27" s="422"/>
      <c r="T27" s="422"/>
      <c r="U27" s="390"/>
    </row>
    <row r="28" spans="2:21" s="6" customFormat="1" ht="15">
      <c r="B28" s="342" t="s">
        <v>185</v>
      </c>
      <c r="C28" s="343" t="s">
        <v>756</v>
      </c>
      <c r="D28" s="402"/>
      <c r="E28" s="422"/>
      <c r="F28" s="422"/>
      <c r="G28" s="748"/>
      <c r="H28" s="422"/>
      <c r="I28" s="422"/>
      <c r="J28" s="748"/>
      <c r="K28" s="422"/>
      <c r="L28" s="422"/>
      <c r="M28" s="422"/>
      <c r="N28" s="1204"/>
      <c r="O28" s="748"/>
      <c r="P28" s="422"/>
      <c r="Q28" s="422"/>
      <c r="R28" s="422"/>
      <c r="S28" s="422"/>
      <c r="T28" s="422"/>
      <c r="U28" s="390"/>
    </row>
    <row r="29" spans="2:21" s="6" customFormat="1" ht="15.5">
      <c r="B29" s="344">
        <v>1</v>
      </c>
      <c r="C29" s="397" t="s">
        <v>757</v>
      </c>
      <c r="D29" s="402" t="s">
        <v>117</v>
      </c>
      <c r="E29" s="748">
        <f>F29</f>
        <v>12459.933779999999</v>
      </c>
      <c r="F29" s="748">
        <v>12459.933779999999</v>
      </c>
      <c r="G29" s="748">
        <f t="shared" ref="G29:G39" si="9">F29-E29</f>
        <v>0</v>
      </c>
      <c r="H29" s="748">
        <f>I29</f>
        <v>6830.130365162885</v>
      </c>
      <c r="I29" s="861">
        <v>6830.130365162885</v>
      </c>
      <c r="J29" s="748">
        <f t="shared" ref="J29:J39" si="10">I29-H29</f>
        <v>0</v>
      </c>
      <c r="K29" s="537">
        <f>N29</f>
        <v>0</v>
      </c>
      <c r="L29" s="1204">
        <v>6457.8763554045963</v>
      </c>
      <c r="M29" s="1204"/>
      <c r="N29" s="1204"/>
      <c r="O29" s="748">
        <f t="shared" ref="O29:O38" si="11">N29-K29</f>
        <v>0</v>
      </c>
      <c r="P29" s="1154"/>
      <c r="Q29" s="1154"/>
      <c r="R29" s="1154"/>
      <c r="S29" s="1154"/>
      <c r="T29" s="1154"/>
      <c r="U29" s="390"/>
    </row>
    <row r="30" spans="2:21" s="6" customFormat="1" ht="15.5">
      <c r="B30" s="344">
        <v>2</v>
      </c>
      <c r="C30" s="397" t="s">
        <v>758</v>
      </c>
      <c r="D30" s="402" t="s">
        <v>117</v>
      </c>
      <c r="E30" s="748">
        <f t="shared" ref="E30:E38" si="12">F30</f>
        <v>1054.7</v>
      </c>
      <c r="F30" s="748">
        <v>1054.7</v>
      </c>
      <c r="G30" s="748">
        <f t="shared" si="9"/>
        <v>0</v>
      </c>
      <c r="H30" s="748">
        <f t="shared" ref="H30:H38" si="13">I30</f>
        <v>4162.6030638094871</v>
      </c>
      <c r="I30" s="861">
        <v>4162.6030638094871</v>
      </c>
      <c r="J30" s="748">
        <f t="shared" si="10"/>
        <v>0</v>
      </c>
      <c r="K30" s="537">
        <f t="shared" ref="K30:K38" si="14">N30</f>
        <v>0</v>
      </c>
      <c r="L30" s="1204">
        <v>3948.9563577499484</v>
      </c>
      <c r="M30" s="1204"/>
      <c r="N30" s="1204"/>
      <c r="O30" s="748">
        <f t="shared" si="11"/>
        <v>0</v>
      </c>
      <c r="P30" s="1154"/>
      <c r="Q30" s="1154"/>
      <c r="R30" s="1154"/>
      <c r="S30" s="1154"/>
      <c r="T30" s="1154"/>
      <c r="U30" s="390"/>
    </row>
    <row r="31" spans="2:21" s="6" customFormat="1" ht="15.5">
      <c r="B31" s="344">
        <v>3</v>
      </c>
      <c r="C31" s="397" t="s">
        <v>228</v>
      </c>
      <c r="D31" s="402" t="s">
        <v>117</v>
      </c>
      <c r="E31" s="748">
        <f t="shared" si="12"/>
        <v>14</v>
      </c>
      <c r="F31" s="748">
        <v>14</v>
      </c>
      <c r="G31" s="748">
        <f t="shared" si="9"/>
        <v>0</v>
      </c>
      <c r="H31" s="748">
        <f t="shared" si="13"/>
        <v>15.429977702790342</v>
      </c>
      <c r="I31" s="861">
        <v>15.429977702790342</v>
      </c>
      <c r="J31" s="748">
        <f t="shared" si="10"/>
        <v>0</v>
      </c>
      <c r="K31" s="537">
        <f t="shared" si="14"/>
        <v>0</v>
      </c>
      <c r="L31" s="1204">
        <v>14.638030005582729</v>
      </c>
      <c r="M31" s="1204"/>
      <c r="N31" s="1204"/>
      <c r="O31" s="748">
        <f t="shared" si="11"/>
        <v>0</v>
      </c>
      <c r="P31" s="1154"/>
      <c r="Q31" s="1154"/>
      <c r="R31" s="1154"/>
      <c r="S31" s="1154"/>
      <c r="T31" s="1154"/>
      <c r="U31" s="390"/>
    </row>
    <row r="32" spans="2:21" s="6" customFormat="1" ht="15.5">
      <c r="B32" s="344">
        <v>4</v>
      </c>
      <c r="C32" s="397" t="s">
        <v>759</v>
      </c>
      <c r="D32" s="402" t="s">
        <v>117</v>
      </c>
      <c r="E32" s="748">
        <f t="shared" si="12"/>
        <v>0</v>
      </c>
      <c r="F32" s="748">
        <v>0</v>
      </c>
      <c r="G32" s="748">
        <f t="shared" si="9"/>
        <v>0</v>
      </c>
      <c r="H32" s="748">
        <f t="shared" si="13"/>
        <v>0</v>
      </c>
      <c r="I32" s="861">
        <v>0</v>
      </c>
      <c r="J32" s="748">
        <f t="shared" si="10"/>
        <v>0</v>
      </c>
      <c r="K32" s="537">
        <f t="shared" si="14"/>
        <v>0</v>
      </c>
      <c r="L32" s="1204">
        <v>0</v>
      </c>
      <c r="M32" s="1204"/>
      <c r="N32" s="1204"/>
      <c r="O32" s="748">
        <f t="shared" si="11"/>
        <v>0</v>
      </c>
      <c r="P32" s="1154"/>
      <c r="Q32" s="1154"/>
      <c r="R32" s="1154"/>
      <c r="S32" s="1154"/>
      <c r="T32" s="1154"/>
      <c r="U32" s="390"/>
    </row>
    <row r="33" spans="2:21" s="6" customFormat="1" ht="15.5">
      <c r="B33" s="344">
        <v>5</v>
      </c>
      <c r="C33" s="397" t="s">
        <v>760</v>
      </c>
      <c r="D33" s="402" t="s">
        <v>117</v>
      </c>
      <c r="E33" s="748">
        <f t="shared" si="12"/>
        <v>1100</v>
      </c>
      <c r="F33" s="748">
        <v>1100</v>
      </c>
      <c r="G33" s="748">
        <f t="shared" si="9"/>
        <v>0</v>
      </c>
      <c r="H33" s="748">
        <f t="shared" si="13"/>
        <v>548.59339514375802</v>
      </c>
      <c r="I33" s="861">
        <v>548.59339514375802</v>
      </c>
      <c r="J33" s="748">
        <f t="shared" si="10"/>
        <v>0</v>
      </c>
      <c r="K33" s="537">
        <f t="shared" si="14"/>
        <v>0</v>
      </c>
      <c r="L33" s="1204">
        <v>520.43669366590427</v>
      </c>
      <c r="M33" s="1204"/>
      <c r="N33" s="1204"/>
      <c r="O33" s="748">
        <f t="shared" si="11"/>
        <v>0</v>
      </c>
      <c r="P33" s="1154"/>
      <c r="Q33" s="1154"/>
      <c r="R33" s="1154"/>
      <c r="S33" s="1154"/>
      <c r="T33" s="1154"/>
      <c r="U33" s="390"/>
    </row>
    <row r="34" spans="2:21" s="6" customFormat="1" ht="15.5">
      <c r="B34" s="344">
        <v>6</v>
      </c>
      <c r="C34" s="397" t="s">
        <v>751</v>
      </c>
      <c r="D34" s="402" t="s">
        <v>117</v>
      </c>
      <c r="E34" s="748">
        <f t="shared" si="12"/>
        <v>0</v>
      </c>
      <c r="F34" s="748">
        <v>0</v>
      </c>
      <c r="G34" s="748">
        <f t="shared" si="9"/>
        <v>0</v>
      </c>
      <c r="H34" s="748">
        <f t="shared" si="13"/>
        <v>0</v>
      </c>
      <c r="I34" s="861">
        <v>0</v>
      </c>
      <c r="J34" s="748">
        <f t="shared" si="10"/>
        <v>0</v>
      </c>
      <c r="K34" s="537">
        <f t="shared" si="14"/>
        <v>0</v>
      </c>
      <c r="L34" s="1204">
        <v>0</v>
      </c>
      <c r="M34" s="1204"/>
      <c r="N34" s="1204"/>
      <c r="O34" s="748">
        <f t="shared" si="11"/>
        <v>0</v>
      </c>
      <c r="P34" s="1154"/>
      <c r="Q34" s="1154"/>
      <c r="R34" s="1154"/>
      <c r="S34" s="1154"/>
      <c r="T34" s="1154"/>
      <c r="U34" s="390"/>
    </row>
    <row r="35" spans="2:21" s="6" customFormat="1" ht="15.5">
      <c r="B35" s="344">
        <v>7</v>
      </c>
      <c r="C35" s="397" t="s">
        <v>752</v>
      </c>
      <c r="D35" s="402" t="s">
        <v>117</v>
      </c>
      <c r="E35" s="748">
        <f t="shared" si="12"/>
        <v>0</v>
      </c>
      <c r="F35" s="748">
        <v>0</v>
      </c>
      <c r="G35" s="748">
        <f t="shared" si="9"/>
        <v>0</v>
      </c>
      <c r="H35" s="748">
        <f t="shared" si="13"/>
        <v>0</v>
      </c>
      <c r="I35" s="861">
        <v>0</v>
      </c>
      <c r="J35" s="748">
        <f t="shared" si="10"/>
        <v>0</v>
      </c>
      <c r="K35" s="537">
        <f t="shared" si="14"/>
        <v>0</v>
      </c>
      <c r="L35" s="1204">
        <v>0</v>
      </c>
      <c r="M35" s="1204"/>
      <c r="N35" s="1204"/>
      <c r="O35" s="748">
        <f t="shared" si="11"/>
        <v>0</v>
      </c>
      <c r="P35" s="1154"/>
      <c r="Q35" s="1154"/>
      <c r="R35" s="1154"/>
      <c r="S35" s="1154"/>
      <c r="T35" s="1154"/>
      <c r="U35" s="390"/>
    </row>
    <row r="36" spans="2:21" s="6" customFormat="1" ht="15.5">
      <c r="B36" s="344">
        <v>8</v>
      </c>
      <c r="C36" s="397" t="s">
        <v>753</v>
      </c>
      <c r="D36" s="402" t="s">
        <v>117</v>
      </c>
      <c r="E36" s="748">
        <f t="shared" si="12"/>
        <v>0</v>
      </c>
      <c r="F36" s="748">
        <v>0</v>
      </c>
      <c r="G36" s="748">
        <f t="shared" si="9"/>
        <v>0</v>
      </c>
      <c r="H36" s="748">
        <f t="shared" si="13"/>
        <v>0</v>
      </c>
      <c r="I36" s="861">
        <v>0</v>
      </c>
      <c r="J36" s="748">
        <f t="shared" si="10"/>
        <v>0</v>
      </c>
      <c r="K36" s="537">
        <f t="shared" si="14"/>
        <v>0</v>
      </c>
      <c r="L36" s="1204">
        <v>0</v>
      </c>
      <c r="M36" s="1204"/>
      <c r="N36" s="1204"/>
      <c r="O36" s="748">
        <f t="shared" si="11"/>
        <v>0</v>
      </c>
      <c r="P36" s="1154"/>
      <c r="Q36" s="1154"/>
      <c r="R36" s="1154"/>
      <c r="S36" s="1154"/>
      <c r="T36" s="1154"/>
      <c r="U36" s="390"/>
    </row>
    <row r="37" spans="2:21" s="6" customFormat="1" ht="15.5">
      <c r="B37" s="344">
        <v>9</v>
      </c>
      <c r="C37" s="397" t="s">
        <v>210</v>
      </c>
      <c r="D37" s="402" t="s">
        <v>117</v>
      </c>
      <c r="E37" s="748">
        <f t="shared" si="12"/>
        <v>0</v>
      </c>
      <c r="F37" s="748">
        <v>0</v>
      </c>
      <c r="G37" s="748">
        <f t="shared" si="9"/>
        <v>0</v>
      </c>
      <c r="H37" s="748">
        <f t="shared" si="13"/>
        <v>400</v>
      </c>
      <c r="I37" s="861">
        <v>400</v>
      </c>
      <c r="J37" s="748">
        <f t="shared" si="10"/>
        <v>0</v>
      </c>
      <c r="K37" s="537">
        <f t="shared" si="14"/>
        <v>0</v>
      </c>
      <c r="L37" s="1204">
        <v>400</v>
      </c>
      <c r="M37" s="1204"/>
      <c r="N37" s="1204"/>
      <c r="O37" s="748">
        <f t="shared" si="11"/>
        <v>0</v>
      </c>
      <c r="P37" s="1154"/>
      <c r="Q37" s="1154"/>
      <c r="R37" s="1154"/>
      <c r="S37" s="1154"/>
      <c r="T37" s="1154"/>
      <c r="U37" s="390"/>
    </row>
    <row r="38" spans="2:21" s="6" customFormat="1" ht="15.5">
      <c r="B38" s="344">
        <v>10</v>
      </c>
      <c r="C38" s="397" t="s">
        <v>210</v>
      </c>
      <c r="D38" s="402" t="s">
        <v>117</v>
      </c>
      <c r="E38" s="748">
        <f t="shared" si="12"/>
        <v>1134.96</v>
      </c>
      <c r="F38" s="748">
        <v>1134.96</v>
      </c>
      <c r="G38" s="748">
        <f t="shared" si="9"/>
        <v>0</v>
      </c>
      <c r="H38" s="748">
        <f t="shared" si="13"/>
        <v>0</v>
      </c>
      <c r="I38" s="861">
        <v>0</v>
      </c>
      <c r="J38" s="748">
        <f t="shared" si="10"/>
        <v>0</v>
      </c>
      <c r="K38" s="537">
        <f t="shared" si="14"/>
        <v>0</v>
      </c>
      <c r="L38" s="1204">
        <v>0</v>
      </c>
      <c r="M38" s="1204"/>
      <c r="N38" s="1204"/>
      <c r="O38" s="748">
        <f t="shared" si="11"/>
        <v>0</v>
      </c>
      <c r="P38" s="1154"/>
      <c r="Q38" s="1154"/>
      <c r="R38" s="1154"/>
      <c r="S38" s="1154"/>
      <c r="T38" s="1154"/>
      <c r="U38" s="390"/>
    </row>
    <row r="39" spans="2:21" s="418" customFormat="1" ht="15.5">
      <c r="B39" s="416">
        <v>11</v>
      </c>
      <c r="C39" s="397" t="s">
        <v>775</v>
      </c>
      <c r="D39" s="421" t="s">
        <v>117</v>
      </c>
      <c r="E39" s="1088">
        <f>F39</f>
        <v>131.34936705021678</v>
      </c>
      <c r="F39" s="1088">
        <v>131.34936705021678</v>
      </c>
      <c r="G39" s="1088">
        <f t="shared" si="9"/>
        <v>0</v>
      </c>
      <c r="H39" s="1088">
        <f>I39</f>
        <v>80.190361477038124</v>
      </c>
      <c r="I39" s="1088">
        <v>80.190361477038124</v>
      </c>
      <c r="J39" s="1088">
        <f t="shared" si="10"/>
        <v>0</v>
      </c>
      <c r="K39" s="537"/>
      <c r="L39" s="1233">
        <v>68.366548691730827</v>
      </c>
      <c r="M39" s="1233"/>
      <c r="N39" s="1233"/>
      <c r="O39" s="1088"/>
      <c r="P39" s="1233"/>
      <c r="Q39" s="1233"/>
      <c r="R39" s="1233"/>
      <c r="S39" s="1233"/>
      <c r="T39" s="1233"/>
      <c r="U39" s="401"/>
    </row>
    <row r="40" spans="2:21" s="6" customFormat="1" ht="15">
      <c r="B40" s="342"/>
      <c r="C40" s="343" t="s">
        <v>761</v>
      </c>
      <c r="D40" s="402" t="s">
        <v>117</v>
      </c>
      <c r="E40" s="454">
        <f t="shared" ref="E40:J40" si="15">SUM(E29:E39)</f>
        <v>15894.943147050217</v>
      </c>
      <c r="F40" s="454">
        <f t="shared" si="15"/>
        <v>15894.943147050217</v>
      </c>
      <c r="G40" s="454">
        <f t="shared" si="15"/>
        <v>0</v>
      </c>
      <c r="H40" s="454">
        <f t="shared" si="15"/>
        <v>12036.947163295959</v>
      </c>
      <c r="I40" s="454">
        <f t="shared" si="15"/>
        <v>12036.947163295959</v>
      </c>
      <c r="J40" s="454">
        <f t="shared" si="15"/>
        <v>0</v>
      </c>
      <c r="K40" s="1060">
        <f>N40</f>
        <v>11760.096613443216</v>
      </c>
      <c r="L40" s="1060">
        <f>SUM(L29:L39)</f>
        <v>11410.273985517762</v>
      </c>
      <c r="M40" s="1060">
        <v>12036.947163295959</v>
      </c>
      <c r="N40" s="1060">
        <f>IFERROR(SUMPRODUCT(L40:M40,'F2.2'!O95:P95)/SUM('F2.2'!O95:P95),0)</f>
        <v>11760.096613443216</v>
      </c>
      <c r="O40" s="454">
        <f t="shared" ref="O40" si="16">SUM(O29:O38)</f>
        <v>0</v>
      </c>
      <c r="P40" s="1060">
        <v>12301.892094916149</v>
      </c>
      <c r="Q40" s="1060">
        <v>12916.986699661957</v>
      </c>
      <c r="R40" s="1060">
        <v>13562.836034645057</v>
      </c>
      <c r="S40" s="1060">
        <v>14240.977836377309</v>
      </c>
      <c r="T40" s="1060">
        <v>14953.026728196175</v>
      </c>
      <c r="U40" s="398">
        <f t="shared" ref="U40" si="17">SUM(U29:U38)</f>
        <v>0</v>
      </c>
    </row>
    <row r="41" spans="2:21" s="6" customFormat="1" ht="15.5">
      <c r="B41" s="403"/>
      <c r="C41" s="399"/>
      <c r="D41" s="402"/>
      <c r="E41" s="748"/>
      <c r="F41" s="748"/>
      <c r="G41" s="748"/>
      <c r="H41" s="748"/>
      <c r="I41" s="748"/>
      <c r="J41" s="748"/>
      <c r="K41" s="1204"/>
      <c r="L41" s="1204"/>
      <c r="M41" s="1204"/>
      <c r="N41" s="1204"/>
      <c r="O41" s="748"/>
      <c r="P41" s="1154"/>
      <c r="Q41" s="1154"/>
      <c r="R41" s="1154"/>
      <c r="S41" s="1154"/>
      <c r="T41" s="1154"/>
      <c r="U41" s="390"/>
    </row>
    <row r="42" spans="2:21" s="418" customFormat="1" ht="15">
      <c r="B42" s="476" t="s">
        <v>186</v>
      </c>
      <c r="C42" s="343" t="s">
        <v>850</v>
      </c>
      <c r="D42" s="421"/>
      <c r="E42" s="748"/>
      <c r="F42" s="748"/>
      <c r="G42" s="748"/>
      <c r="H42" s="748"/>
      <c r="I42" s="748"/>
      <c r="J42" s="748"/>
      <c r="K42" s="1204"/>
      <c r="L42" s="1204"/>
      <c r="M42" s="1204"/>
      <c r="N42" s="1204"/>
      <c r="O42" s="748"/>
      <c r="P42" s="1154"/>
      <c r="Q42" s="1154"/>
      <c r="R42" s="1154"/>
      <c r="S42" s="1154"/>
      <c r="T42" s="1154"/>
      <c r="U42" s="401"/>
    </row>
    <row r="43" spans="2:21" s="418" customFormat="1" ht="15.5">
      <c r="B43" s="476">
        <v>1</v>
      </c>
      <c r="C43" s="397" t="s">
        <v>757</v>
      </c>
      <c r="D43" s="421" t="s">
        <v>851</v>
      </c>
      <c r="E43" s="748">
        <f>F43</f>
        <v>1706.1058052557933</v>
      </c>
      <c r="F43" s="748">
        <v>1706.1058052557933</v>
      </c>
      <c r="G43" s="748">
        <f t="shared" ref="G43:G52" si="18">F43-E43</f>
        <v>0</v>
      </c>
      <c r="H43" s="748">
        <f>I43</f>
        <v>1722.333477004931</v>
      </c>
      <c r="I43" s="861">
        <v>1722.333477004931</v>
      </c>
      <c r="J43" s="748">
        <f t="shared" ref="J43:J53" si="19">I43-H43</f>
        <v>0</v>
      </c>
      <c r="K43" s="1204"/>
      <c r="L43" s="1204">
        <v>0</v>
      </c>
      <c r="M43" s="1204"/>
      <c r="N43" s="1204"/>
      <c r="O43" s="748">
        <f t="shared" ref="O43:O52" si="20">N43-K43</f>
        <v>0</v>
      </c>
      <c r="P43" s="1154"/>
      <c r="Q43" s="1154"/>
      <c r="R43" s="1154"/>
      <c r="S43" s="1154"/>
      <c r="T43" s="1154"/>
      <c r="U43" s="401"/>
    </row>
    <row r="44" spans="2:21" s="418" customFormat="1" ht="15.5">
      <c r="B44" s="476">
        <f>+B43+1</f>
        <v>2</v>
      </c>
      <c r="C44" s="397" t="s">
        <v>758</v>
      </c>
      <c r="D44" s="421" t="s">
        <v>851</v>
      </c>
      <c r="E44" s="748">
        <f t="shared" ref="E44:E52" si="21">F44</f>
        <v>1279.1454299075654</v>
      </c>
      <c r="F44" s="748">
        <v>1279.1454299075654</v>
      </c>
      <c r="G44" s="748">
        <f t="shared" si="18"/>
        <v>0</v>
      </c>
      <c r="H44" s="748">
        <f t="shared" ref="H44:H52" si="22">I44</f>
        <v>1485.2933507821679</v>
      </c>
      <c r="I44" s="861">
        <v>1485.2933507821679</v>
      </c>
      <c r="J44" s="748">
        <f t="shared" si="19"/>
        <v>0</v>
      </c>
      <c r="K44" s="1204"/>
      <c r="L44" s="1204">
        <v>0</v>
      </c>
      <c r="M44" s="1204"/>
      <c r="N44" s="1204"/>
      <c r="O44" s="748">
        <f t="shared" si="20"/>
        <v>0</v>
      </c>
      <c r="P44" s="1154"/>
      <c r="Q44" s="1154"/>
      <c r="R44" s="1154"/>
      <c r="S44" s="1154"/>
      <c r="T44" s="1154"/>
      <c r="U44" s="401"/>
    </row>
    <row r="45" spans="2:21" s="418" customFormat="1" ht="15.5">
      <c r="B45" s="476">
        <f t="shared" ref="B45:B53" si="23">+B44+1</f>
        <v>3</v>
      </c>
      <c r="C45" s="397" t="s">
        <v>228</v>
      </c>
      <c r="D45" s="421" t="s">
        <v>851</v>
      </c>
      <c r="E45" s="748">
        <f t="shared" si="21"/>
        <v>0</v>
      </c>
      <c r="F45" s="748">
        <v>0</v>
      </c>
      <c r="G45" s="748">
        <f t="shared" si="18"/>
        <v>0</v>
      </c>
      <c r="H45" s="748">
        <f t="shared" si="22"/>
        <v>0</v>
      </c>
      <c r="I45" s="861">
        <v>0</v>
      </c>
      <c r="J45" s="748">
        <f t="shared" si="19"/>
        <v>0</v>
      </c>
      <c r="K45" s="1204"/>
      <c r="L45" s="1204">
        <v>0</v>
      </c>
      <c r="M45" s="1204"/>
      <c r="N45" s="1204"/>
      <c r="O45" s="748">
        <f t="shared" si="20"/>
        <v>0</v>
      </c>
      <c r="P45" s="1154"/>
      <c r="Q45" s="1154"/>
      <c r="R45" s="1154"/>
      <c r="S45" s="1154"/>
      <c r="T45" s="1154"/>
      <c r="U45" s="401"/>
    </row>
    <row r="46" spans="2:21" s="418" customFormat="1" ht="15.5">
      <c r="B46" s="476">
        <f t="shared" si="23"/>
        <v>4</v>
      </c>
      <c r="C46" s="397" t="s">
        <v>759</v>
      </c>
      <c r="D46" s="421" t="s">
        <v>851</v>
      </c>
      <c r="E46" s="748">
        <f t="shared" si="21"/>
        <v>0</v>
      </c>
      <c r="F46" s="748">
        <v>0</v>
      </c>
      <c r="G46" s="748">
        <f t="shared" si="18"/>
        <v>0</v>
      </c>
      <c r="H46" s="748">
        <f t="shared" si="22"/>
        <v>0</v>
      </c>
      <c r="I46" s="861">
        <v>0</v>
      </c>
      <c r="J46" s="748">
        <f t="shared" si="19"/>
        <v>0</v>
      </c>
      <c r="K46" s="1204"/>
      <c r="L46" s="1204">
        <v>0</v>
      </c>
      <c r="M46" s="1204"/>
      <c r="N46" s="1204"/>
      <c r="O46" s="748">
        <f t="shared" si="20"/>
        <v>0</v>
      </c>
      <c r="P46" s="1154"/>
      <c r="Q46" s="1154"/>
      <c r="R46" s="1154"/>
      <c r="S46" s="1154"/>
      <c r="T46" s="1154"/>
      <c r="U46" s="401"/>
    </row>
    <row r="47" spans="2:21" s="418" customFormat="1" ht="15.5">
      <c r="B47" s="476">
        <f t="shared" si="23"/>
        <v>5</v>
      </c>
      <c r="C47" s="397" t="s">
        <v>760</v>
      </c>
      <c r="D47" s="421" t="s">
        <v>851</v>
      </c>
      <c r="E47" s="748">
        <f t="shared" si="21"/>
        <v>523.78902297819695</v>
      </c>
      <c r="F47" s="748">
        <v>523.78902297819695</v>
      </c>
      <c r="G47" s="748">
        <f t="shared" si="18"/>
        <v>0</v>
      </c>
      <c r="H47" s="748">
        <f t="shared" si="22"/>
        <v>113.22387053800198</v>
      </c>
      <c r="I47" s="861">
        <v>113.22387053800198</v>
      </c>
      <c r="J47" s="748">
        <f t="shared" si="19"/>
        <v>0</v>
      </c>
      <c r="K47" s="1204"/>
      <c r="L47" s="1204">
        <v>0</v>
      </c>
      <c r="M47" s="1204"/>
      <c r="N47" s="1204"/>
      <c r="O47" s="748">
        <f t="shared" si="20"/>
        <v>0</v>
      </c>
      <c r="P47" s="1154"/>
      <c r="Q47" s="1154"/>
      <c r="R47" s="1154"/>
      <c r="S47" s="1154"/>
      <c r="T47" s="1154"/>
      <c r="U47" s="401"/>
    </row>
    <row r="48" spans="2:21" s="418" customFormat="1" ht="15.5">
      <c r="B48" s="476">
        <f t="shared" si="23"/>
        <v>6</v>
      </c>
      <c r="C48" s="397" t="s">
        <v>751</v>
      </c>
      <c r="D48" s="421" t="s">
        <v>851</v>
      </c>
      <c r="E48" s="748">
        <f t="shared" si="21"/>
        <v>0</v>
      </c>
      <c r="F48" s="748">
        <v>0</v>
      </c>
      <c r="G48" s="748">
        <f t="shared" si="18"/>
        <v>0</v>
      </c>
      <c r="H48" s="748">
        <f t="shared" si="22"/>
        <v>400</v>
      </c>
      <c r="I48" s="861">
        <v>400</v>
      </c>
      <c r="J48" s="748">
        <f t="shared" si="19"/>
        <v>0</v>
      </c>
      <c r="K48" s="1204"/>
      <c r="L48" s="1204">
        <v>0</v>
      </c>
      <c r="M48" s="1204"/>
      <c r="N48" s="1204"/>
      <c r="O48" s="748">
        <f t="shared" si="20"/>
        <v>0</v>
      </c>
      <c r="P48" s="1154"/>
      <c r="Q48" s="1154"/>
      <c r="R48" s="1154"/>
      <c r="S48" s="1154"/>
      <c r="T48" s="1154"/>
      <c r="U48" s="401"/>
    </row>
    <row r="49" spans="2:21" s="418" customFormat="1" ht="15.5">
      <c r="B49" s="476">
        <f t="shared" si="23"/>
        <v>7</v>
      </c>
      <c r="C49" s="397" t="s">
        <v>752</v>
      </c>
      <c r="D49" s="421" t="s">
        <v>851</v>
      </c>
      <c r="E49" s="748">
        <f t="shared" si="21"/>
        <v>233.95251417918053</v>
      </c>
      <c r="F49" s="748">
        <v>233.95251417918053</v>
      </c>
      <c r="G49" s="748">
        <f t="shared" si="18"/>
        <v>0</v>
      </c>
      <c r="H49" s="748">
        <f t="shared" si="22"/>
        <v>226.37747368672038</v>
      </c>
      <c r="I49" s="861">
        <v>226.37747368672038</v>
      </c>
      <c r="J49" s="748">
        <f t="shared" si="19"/>
        <v>0</v>
      </c>
      <c r="K49" s="1204"/>
      <c r="L49" s="1204">
        <v>0</v>
      </c>
      <c r="M49" s="1204"/>
      <c r="N49" s="1204"/>
      <c r="O49" s="748">
        <f t="shared" si="20"/>
        <v>0</v>
      </c>
      <c r="P49" s="1154"/>
      <c r="Q49" s="1154"/>
      <c r="R49" s="1154"/>
      <c r="S49" s="1154"/>
      <c r="T49" s="1154"/>
      <c r="U49" s="401"/>
    </row>
    <row r="50" spans="2:21" s="418" customFormat="1" ht="15.5">
      <c r="B50" s="476">
        <f t="shared" si="23"/>
        <v>8</v>
      </c>
      <c r="C50" s="397" t="s">
        <v>753</v>
      </c>
      <c r="D50" s="421" t="s">
        <v>851</v>
      </c>
      <c r="E50" s="748">
        <f t="shared" si="21"/>
        <v>191.20041767926372</v>
      </c>
      <c r="F50" s="748">
        <v>191.20041767926372</v>
      </c>
      <c r="G50" s="748">
        <f t="shared" si="18"/>
        <v>0</v>
      </c>
      <c r="H50" s="748">
        <f t="shared" si="22"/>
        <v>206.73636154801849</v>
      </c>
      <c r="I50" s="861">
        <v>206.73636154801849</v>
      </c>
      <c r="J50" s="748">
        <f t="shared" si="19"/>
        <v>0</v>
      </c>
      <c r="K50" s="1204"/>
      <c r="L50" s="1204">
        <v>0</v>
      </c>
      <c r="M50" s="1204"/>
      <c r="N50" s="1204"/>
      <c r="O50" s="748">
        <f t="shared" si="20"/>
        <v>0</v>
      </c>
      <c r="P50" s="1154"/>
      <c r="Q50" s="1154"/>
      <c r="R50" s="1154"/>
      <c r="S50" s="1154"/>
      <c r="T50" s="1154"/>
      <c r="U50" s="401"/>
    </row>
    <row r="51" spans="2:21" s="418" customFormat="1" ht="15.5">
      <c r="B51" s="476">
        <f t="shared" si="23"/>
        <v>9</v>
      </c>
      <c r="C51" s="397" t="s">
        <v>852</v>
      </c>
      <c r="D51" s="421" t="s">
        <v>851</v>
      </c>
      <c r="E51" s="748">
        <f t="shared" si="21"/>
        <v>311.65833769958516</v>
      </c>
      <c r="F51" s="748">
        <v>311.65833769958516</v>
      </c>
      <c r="G51" s="748">
        <f t="shared" si="18"/>
        <v>0</v>
      </c>
      <c r="H51" s="748">
        <f t="shared" si="22"/>
        <v>216.64056884646214</v>
      </c>
      <c r="I51" s="861">
        <v>216.64056884646214</v>
      </c>
      <c r="J51" s="748">
        <f t="shared" si="19"/>
        <v>0</v>
      </c>
      <c r="K51" s="1204"/>
      <c r="L51" s="1204">
        <v>0</v>
      </c>
      <c r="M51" s="1204"/>
      <c r="N51" s="1204"/>
      <c r="O51" s="748">
        <f t="shared" si="20"/>
        <v>0</v>
      </c>
      <c r="P51" s="1154"/>
      <c r="Q51" s="1154"/>
      <c r="R51" s="1154"/>
      <c r="S51" s="1154"/>
      <c r="T51" s="1154"/>
      <c r="U51" s="401"/>
    </row>
    <row r="52" spans="2:21" s="418" customFormat="1" ht="15.5">
      <c r="B52" s="476">
        <f t="shared" si="23"/>
        <v>10</v>
      </c>
      <c r="C52" s="397" t="s">
        <v>210</v>
      </c>
      <c r="D52" s="421" t="s">
        <v>851</v>
      </c>
      <c r="E52" s="748">
        <f t="shared" si="21"/>
        <v>0</v>
      </c>
      <c r="F52" s="748">
        <v>0</v>
      </c>
      <c r="G52" s="748">
        <f t="shared" si="18"/>
        <v>0</v>
      </c>
      <c r="H52" s="748">
        <f t="shared" si="22"/>
        <v>72.440791580739358</v>
      </c>
      <c r="I52" s="861">
        <v>72.440791580739358</v>
      </c>
      <c r="J52" s="748">
        <f t="shared" si="19"/>
        <v>0</v>
      </c>
      <c r="K52" s="1204"/>
      <c r="L52" s="1204">
        <v>0</v>
      </c>
      <c r="M52" s="1204"/>
      <c r="N52" s="1204"/>
      <c r="O52" s="748">
        <f t="shared" si="20"/>
        <v>0</v>
      </c>
      <c r="P52" s="1154"/>
      <c r="Q52" s="1154"/>
      <c r="R52" s="1154"/>
      <c r="S52" s="1154"/>
      <c r="T52" s="1154"/>
      <c r="U52" s="401"/>
    </row>
    <row r="53" spans="2:21" s="418" customFormat="1" ht="15.5">
      <c r="B53" s="476">
        <f t="shared" si="23"/>
        <v>11</v>
      </c>
      <c r="C53" s="397" t="s">
        <v>775</v>
      </c>
      <c r="D53" s="421" t="s">
        <v>117</v>
      </c>
      <c r="E53" s="1088">
        <f>F53</f>
        <v>131.34936705021678</v>
      </c>
      <c r="F53" s="1088">
        <v>131.34936705021678</v>
      </c>
      <c r="G53" s="1088"/>
      <c r="H53" s="1088">
        <f>I53</f>
        <v>80.190361477038124</v>
      </c>
      <c r="I53" s="1088">
        <v>80.190361477038124</v>
      </c>
      <c r="J53" s="1088">
        <f t="shared" si="19"/>
        <v>0</v>
      </c>
      <c r="K53" s="1233"/>
      <c r="L53" s="1233">
        <v>0</v>
      </c>
      <c r="M53" s="1233"/>
      <c r="N53" s="1233"/>
      <c r="O53" s="1088"/>
      <c r="P53" s="1233"/>
      <c r="Q53" s="1233"/>
      <c r="R53" s="1233"/>
      <c r="S53" s="1233"/>
      <c r="T53" s="1233"/>
      <c r="U53" s="401"/>
    </row>
    <row r="54" spans="2:21" s="418" customFormat="1" ht="15">
      <c r="B54" s="476"/>
      <c r="C54" s="343" t="s">
        <v>853</v>
      </c>
      <c r="D54" s="421" t="s">
        <v>851</v>
      </c>
      <c r="E54" s="454">
        <f>SUM(E43:E53)</f>
        <v>4377.2008947498016</v>
      </c>
      <c r="F54" s="454">
        <f>SUM(F43:F53)</f>
        <v>4377.2008947498016</v>
      </c>
      <c r="G54" s="454">
        <f t="shared" ref="G54:O54" si="24">SUM(G43:G52)</f>
        <v>0</v>
      </c>
      <c r="H54" s="454">
        <f>SUM(H43:H53)</f>
        <v>4523.2362554640786</v>
      </c>
      <c r="I54" s="454">
        <f>SUM(I43:I53)</f>
        <v>4523.2362554640786</v>
      </c>
      <c r="J54" s="454">
        <f>SUM(J43:J53)</f>
        <v>0</v>
      </c>
      <c r="K54" s="1060">
        <f>N54</f>
        <v>4523.2362554640786</v>
      </c>
      <c r="L54" s="1060">
        <f>SUM(L43:L53)</f>
        <v>0</v>
      </c>
      <c r="M54" s="1060">
        <v>4523.2362554640786</v>
      </c>
      <c r="N54" s="1060">
        <f>IFERROR(SUMPRODUCT(L54:M54,'F2.2'!O96:P96)/SUM('F2.2'!O96:P96),0)</f>
        <v>4523.2362554640786</v>
      </c>
      <c r="O54" s="454">
        <f t="shared" si="24"/>
        <v>0</v>
      </c>
      <c r="P54" s="1060">
        <v>4813.7197153556799</v>
      </c>
      <c r="Q54" s="1060">
        <v>5054.4057011234636</v>
      </c>
      <c r="R54" s="1060">
        <v>5307.1259861796379</v>
      </c>
      <c r="S54" s="1060">
        <v>5572.4822854886197</v>
      </c>
      <c r="T54" s="1060">
        <v>5851.1063997630508</v>
      </c>
      <c r="U54" s="401"/>
    </row>
    <row r="55" spans="2:21" s="6" customFormat="1" ht="15.5">
      <c r="B55" s="403"/>
      <c r="C55" s="399"/>
      <c r="D55" s="402"/>
      <c r="E55" s="551"/>
      <c r="F55" s="551"/>
      <c r="G55" s="551"/>
      <c r="H55" s="551"/>
      <c r="I55" s="551"/>
      <c r="J55" s="551"/>
      <c r="K55" s="1062"/>
      <c r="L55" s="1062"/>
      <c r="M55" s="1062"/>
      <c r="N55" s="1062"/>
      <c r="O55" s="551"/>
      <c r="P55" s="1062"/>
      <c r="Q55" s="1062"/>
      <c r="R55" s="1062"/>
      <c r="S55" s="1062"/>
      <c r="T55" s="1062"/>
      <c r="U55" s="390"/>
    </row>
    <row r="56" spans="2:21" s="6" customFormat="1" ht="15">
      <c r="B56" s="1078" t="s">
        <v>767</v>
      </c>
      <c r="C56" s="1079" t="s">
        <v>1427</v>
      </c>
      <c r="D56" s="1080"/>
      <c r="E56" s="551"/>
      <c r="F56" s="551"/>
      <c r="G56" s="551"/>
      <c r="H56" s="551"/>
      <c r="I56" s="551"/>
      <c r="J56" s="551"/>
      <c r="K56" s="1062"/>
      <c r="L56" s="1062"/>
      <c r="M56" s="1062"/>
      <c r="N56" s="1062"/>
      <c r="O56" s="551"/>
      <c r="P56" s="1062"/>
      <c r="Q56" s="1062"/>
      <c r="R56" s="1062"/>
      <c r="S56" s="1062"/>
      <c r="T56" s="1062"/>
      <c r="U56" s="390"/>
    </row>
    <row r="57" spans="2:21" s="6" customFormat="1" ht="15.5">
      <c r="B57" s="1078">
        <v>1</v>
      </c>
      <c r="C57" s="1081" t="s">
        <v>757</v>
      </c>
      <c r="D57" s="1080" t="s">
        <v>851</v>
      </c>
      <c r="E57" s="551"/>
      <c r="F57" s="551"/>
      <c r="G57" s="551"/>
      <c r="H57" s="551"/>
      <c r="I57" s="551"/>
      <c r="J57" s="551"/>
      <c r="K57" s="1062"/>
      <c r="L57" s="1062"/>
      <c r="M57" s="1062"/>
      <c r="N57" s="1062"/>
      <c r="O57" s="551"/>
      <c r="P57" s="1062"/>
      <c r="Q57" s="1062"/>
      <c r="R57" s="1062"/>
      <c r="S57" s="1062"/>
      <c r="T57" s="1062"/>
      <c r="U57" s="390"/>
    </row>
    <row r="58" spans="2:21" s="6" customFormat="1" ht="15.5">
      <c r="B58" s="1078">
        <f>+B57+1</f>
        <v>2</v>
      </c>
      <c r="C58" s="1081" t="s">
        <v>758</v>
      </c>
      <c r="D58" s="1080" t="s">
        <v>851</v>
      </c>
      <c r="E58" s="551"/>
      <c r="F58" s="551"/>
      <c r="G58" s="551"/>
      <c r="H58" s="551"/>
      <c r="I58" s="551"/>
      <c r="J58" s="551"/>
      <c r="K58" s="1062"/>
      <c r="L58" s="1062"/>
      <c r="M58" s="1062"/>
      <c r="N58" s="1062"/>
      <c r="O58" s="551"/>
      <c r="P58" s="1062"/>
      <c r="Q58" s="1062"/>
      <c r="R58" s="1062"/>
      <c r="S58" s="1062"/>
      <c r="T58" s="1062"/>
      <c r="U58" s="390"/>
    </row>
    <row r="59" spans="2:21" s="6" customFormat="1" ht="15.5">
      <c r="B59" s="1078">
        <f t="shared" ref="B59:B67" si="25">+B58+1</f>
        <v>3</v>
      </c>
      <c r="C59" s="1081" t="s">
        <v>228</v>
      </c>
      <c r="D59" s="1080" t="s">
        <v>851</v>
      </c>
      <c r="E59" s="551"/>
      <c r="F59" s="551"/>
      <c r="G59" s="551"/>
      <c r="H59" s="551"/>
      <c r="I59" s="551"/>
      <c r="J59" s="551"/>
      <c r="K59" s="1062"/>
      <c r="L59" s="1062"/>
      <c r="M59" s="1062"/>
      <c r="N59" s="1062"/>
      <c r="O59" s="551"/>
      <c r="P59" s="1062"/>
      <c r="Q59" s="1062"/>
      <c r="R59" s="1062"/>
      <c r="S59" s="1062"/>
      <c r="T59" s="1062"/>
      <c r="U59" s="390"/>
    </row>
    <row r="60" spans="2:21" s="6" customFormat="1" ht="15.5">
      <c r="B60" s="1078">
        <f t="shared" si="25"/>
        <v>4</v>
      </c>
      <c r="C60" s="1081" t="s">
        <v>759</v>
      </c>
      <c r="D60" s="1080" t="s">
        <v>851</v>
      </c>
      <c r="E60" s="551"/>
      <c r="F60" s="551"/>
      <c r="G60" s="551"/>
      <c r="H60" s="551"/>
      <c r="I60" s="551"/>
      <c r="J60" s="551"/>
      <c r="K60" s="1062"/>
      <c r="L60" s="1062"/>
      <c r="M60" s="1062"/>
      <c r="N60" s="1062"/>
      <c r="O60" s="551"/>
      <c r="P60" s="1062"/>
      <c r="Q60" s="1062"/>
      <c r="R60" s="1062"/>
      <c r="S60" s="1062"/>
      <c r="T60" s="1062"/>
      <c r="U60" s="390"/>
    </row>
    <row r="61" spans="2:21" s="6" customFormat="1" ht="15.5">
      <c r="B61" s="1078">
        <f t="shared" si="25"/>
        <v>5</v>
      </c>
      <c r="C61" s="1081" t="s">
        <v>760</v>
      </c>
      <c r="D61" s="1080" t="s">
        <v>851</v>
      </c>
      <c r="E61" s="551"/>
      <c r="F61" s="551"/>
      <c r="G61" s="551"/>
      <c r="H61" s="551"/>
      <c r="I61" s="551"/>
      <c r="J61" s="551"/>
      <c r="K61" s="1062"/>
      <c r="L61" s="1062"/>
      <c r="M61" s="1062"/>
      <c r="N61" s="1062"/>
      <c r="O61" s="551"/>
      <c r="P61" s="1062"/>
      <c r="Q61" s="1062"/>
      <c r="R61" s="1062"/>
      <c r="S61" s="1062"/>
      <c r="T61" s="1062"/>
      <c r="U61" s="390"/>
    </row>
    <row r="62" spans="2:21" s="6" customFormat="1" ht="15.5">
      <c r="B62" s="1078">
        <f t="shared" si="25"/>
        <v>6</v>
      </c>
      <c r="C62" s="1081" t="s">
        <v>751</v>
      </c>
      <c r="D62" s="1080" t="s">
        <v>851</v>
      </c>
      <c r="E62" s="551"/>
      <c r="F62" s="551"/>
      <c r="G62" s="551"/>
      <c r="H62" s="551"/>
      <c r="I62" s="551"/>
      <c r="J62" s="551"/>
      <c r="K62" s="1062"/>
      <c r="L62" s="1062"/>
      <c r="M62" s="1062"/>
      <c r="N62" s="1062"/>
      <c r="O62" s="551"/>
      <c r="P62" s="1062"/>
      <c r="Q62" s="1062"/>
      <c r="R62" s="1062"/>
      <c r="S62" s="1062"/>
      <c r="T62" s="1062"/>
      <c r="U62" s="390"/>
    </row>
    <row r="63" spans="2:21" s="6" customFormat="1" ht="15.5">
      <c r="B63" s="1078">
        <f t="shared" si="25"/>
        <v>7</v>
      </c>
      <c r="C63" s="1081" t="s">
        <v>752</v>
      </c>
      <c r="D63" s="1080" t="s">
        <v>851</v>
      </c>
      <c r="E63" s="551"/>
      <c r="F63" s="551"/>
      <c r="G63" s="551"/>
      <c r="H63" s="551"/>
      <c r="I63" s="551"/>
      <c r="J63" s="551"/>
      <c r="K63" s="1062"/>
      <c r="L63" s="1062"/>
      <c r="M63" s="1062"/>
      <c r="N63" s="1062"/>
      <c r="O63" s="551"/>
      <c r="P63" s="1062"/>
      <c r="Q63" s="1062"/>
      <c r="R63" s="1062"/>
      <c r="S63" s="1062"/>
      <c r="T63" s="1062"/>
      <c r="U63" s="390"/>
    </row>
    <row r="64" spans="2:21" s="6" customFormat="1" ht="15.5">
      <c r="B64" s="1078">
        <f t="shared" si="25"/>
        <v>8</v>
      </c>
      <c r="C64" s="1081" t="s">
        <v>753</v>
      </c>
      <c r="D64" s="1080" t="s">
        <v>851</v>
      </c>
      <c r="E64" s="551"/>
      <c r="F64" s="551"/>
      <c r="G64" s="551"/>
      <c r="H64" s="551"/>
      <c r="I64" s="551"/>
      <c r="J64" s="551"/>
      <c r="K64" s="1062"/>
      <c r="L64" s="1062"/>
      <c r="M64" s="1062"/>
      <c r="N64" s="1062"/>
      <c r="O64" s="551"/>
      <c r="P64" s="1062"/>
      <c r="Q64" s="1062"/>
      <c r="R64" s="1062"/>
      <c r="S64" s="1062"/>
      <c r="T64" s="1062"/>
      <c r="U64" s="390"/>
    </row>
    <row r="65" spans="2:21" s="6" customFormat="1" ht="15.5">
      <c r="B65" s="1078">
        <f t="shared" si="25"/>
        <v>9</v>
      </c>
      <c r="C65" s="1081" t="s">
        <v>852</v>
      </c>
      <c r="D65" s="1080" t="s">
        <v>851</v>
      </c>
      <c r="E65" s="551"/>
      <c r="F65" s="551"/>
      <c r="G65" s="551"/>
      <c r="H65" s="551"/>
      <c r="I65" s="551"/>
      <c r="J65" s="551"/>
      <c r="K65" s="1062"/>
      <c r="L65" s="1062"/>
      <c r="M65" s="1062"/>
      <c r="N65" s="1062"/>
      <c r="O65" s="551"/>
      <c r="P65" s="1062"/>
      <c r="Q65" s="1062"/>
      <c r="R65" s="1062"/>
      <c r="S65" s="1062"/>
      <c r="T65" s="1062"/>
      <c r="U65" s="390"/>
    </row>
    <row r="66" spans="2:21" s="6" customFormat="1" ht="15.5">
      <c r="B66" s="1078">
        <f t="shared" si="25"/>
        <v>10</v>
      </c>
      <c r="C66" s="1081" t="s">
        <v>210</v>
      </c>
      <c r="D66" s="1080" t="s">
        <v>851</v>
      </c>
      <c r="E66" s="551"/>
      <c r="F66" s="551"/>
      <c r="G66" s="551"/>
      <c r="H66" s="551"/>
      <c r="I66" s="551"/>
      <c r="J66" s="551"/>
      <c r="K66" s="1062"/>
      <c r="L66" s="1062"/>
      <c r="M66" s="1062"/>
      <c r="N66" s="1062"/>
      <c r="O66" s="551"/>
      <c r="P66" s="1062"/>
      <c r="Q66" s="1062"/>
      <c r="R66" s="1062"/>
      <c r="S66" s="1062"/>
      <c r="T66" s="1062"/>
      <c r="U66" s="390"/>
    </row>
    <row r="67" spans="2:21" s="6" customFormat="1" ht="15.5">
      <c r="B67" s="1078">
        <f t="shared" si="25"/>
        <v>11</v>
      </c>
      <c r="C67" s="1081" t="s">
        <v>775</v>
      </c>
      <c r="D67" s="1080" t="s">
        <v>851</v>
      </c>
      <c r="E67" s="551"/>
      <c r="F67" s="551"/>
      <c r="G67" s="551"/>
      <c r="H67" s="551"/>
      <c r="I67" s="551"/>
      <c r="J67" s="551"/>
      <c r="K67" s="1062"/>
      <c r="L67" s="1062"/>
      <c r="M67" s="1062"/>
      <c r="N67" s="1062"/>
      <c r="O67" s="551"/>
      <c r="P67" s="1062"/>
      <c r="Q67" s="1062"/>
      <c r="R67" s="1062"/>
      <c r="S67" s="1062"/>
      <c r="T67" s="1062"/>
      <c r="U67" s="390"/>
    </row>
    <row r="68" spans="2:21" s="6" customFormat="1" ht="15">
      <c r="B68" s="1078"/>
      <c r="C68" s="1079" t="s">
        <v>1428</v>
      </c>
      <c r="D68" s="1080" t="s">
        <v>851</v>
      </c>
      <c r="E68" s="551"/>
      <c r="F68" s="551"/>
      <c r="G68" s="551"/>
      <c r="H68" s="551"/>
      <c r="I68" s="551"/>
      <c r="J68" s="551"/>
      <c r="K68" s="1062"/>
      <c r="L68" s="1062"/>
      <c r="M68" s="1062"/>
      <c r="N68" s="1062"/>
      <c r="O68" s="551"/>
      <c r="P68" s="1062">
        <v>0</v>
      </c>
      <c r="Q68" s="1062">
        <v>0</v>
      </c>
      <c r="R68" s="1062">
        <v>0</v>
      </c>
      <c r="S68" s="1062">
        <v>0</v>
      </c>
      <c r="T68" s="1062">
        <v>0</v>
      </c>
      <c r="U68" s="390"/>
    </row>
    <row r="69" spans="2:21" s="6" customFormat="1" ht="15">
      <c r="B69" s="1078"/>
      <c r="C69" s="1079"/>
      <c r="D69" s="1080"/>
      <c r="E69" s="551"/>
      <c r="F69" s="551"/>
      <c r="G69" s="551"/>
      <c r="H69" s="551"/>
      <c r="I69" s="551"/>
      <c r="J69" s="551"/>
      <c r="K69" s="1062"/>
      <c r="L69" s="1062"/>
      <c r="M69" s="1062"/>
      <c r="N69" s="1062"/>
      <c r="O69" s="551"/>
      <c r="P69" s="1062"/>
      <c r="Q69" s="1062"/>
      <c r="R69" s="1062"/>
      <c r="S69" s="1062"/>
      <c r="T69" s="1062"/>
      <c r="U69" s="390"/>
    </row>
    <row r="70" spans="2:21" s="6" customFormat="1" ht="15">
      <c r="B70" s="1078" t="s">
        <v>854</v>
      </c>
      <c r="C70" s="1079" t="s">
        <v>1429</v>
      </c>
      <c r="D70" s="1080"/>
      <c r="E70" s="551"/>
      <c r="F70" s="551"/>
      <c r="G70" s="551"/>
      <c r="H70" s="551"/>
      <c r="I70" s="551"/>
      <c r="J70" s="551"/>
      <c r="K70" s="1062"/>
      <c r="L70" s="1062"/>
      <c r="M70" s="1062"/>
      <c r="N70" s="1062"/>
      <c r="O70" s="551"/>
      <c r="P70" s="1062"/>
      <c r="Q70" s="1062"/>
      <c r="R70" s="1062"/>
      <c r="S70" s="1062"/>
      <c r="T70" s="1062"/>
      <c r="U70" s="390"/>
    </row>
    <row r="71" spans="2:21" s="6" customFormat="1" ht="15.5">
      <c r="B71" s="1078">
        <v>1</v>
      </c>
      <c r="C71" s="1081" t="s">
        <v>757</v>
      </c>
      <c r="D71" s="1080" t="s">
        <v>851</v>
      </c>
      <c r="E71" s="551"/>
      <c r="F71" s="551"/>
      <c r="G71" s="551"/>
      <c r="H71" s="551"/>
      <c r="I71" s="551"/>
      <c r="J71" s="551"/>
      <c r="K71" s="1062"/>
      <c r="L71" s="1062"/>
      <c r="M71" s="1062"/>
      <c r="N71" s="1062"/>
      <c r="O71" s="551"/>
      <c r="P71" s="1062"/>
      <c r="Q71" s="1062"/>
      <c r="R71" s="1062"/>
      <c r="S71" s="1062"/>
      <c r="T71" s="1062"/>
      <c r="U71" s="390"/>
    </row>
    <row r="72" spans="2:21" s="6" customFormat="1" ht="15.5">
      <c r="B72" s="1078">
        <f>+B71+1</f>
        <v>2</v>
      </c>
      <c r="C72" s="1081" t="s">
        <v>758</v>
      </c>
      <c r="D72" s="1080" t="s">
        <v>851</v>
      </c>
      <c r="E72" s="551"/>
      <c r="F72" s="551"/>
      <c r="G72" s="551"/>
      <c r="H72" s="551"/>
      <c r="I72" s="551"/>
      <c r="J72" s="551"/>
      <c r="K72" s="1062"/>
      <c r="L72" s="1062"/>
      <c r="M72" s="1062"/>
      <c r="N72" s="1062"/>
      <c r="O72" s="551"/>
      <c r="P72" s="1062"/>
      <c r="Q72" s="1062"/>
      <c r="R72" s="1062"/>
      <c r="S72" s="1062"/>
      <c r="T72" s="1062"/>
      <c r="U72" s="390"/>
    </row>
    <row r="73" spans="2:21" s="6" customFormat="1" ht="15.5">
      <c r="B73" s="1078">
        <f t="shared" ref="B73:B81" si="26">+B72+1</f>
        <v>3</v>
      </c>
      <c r="C73" s="1081" t="s">
        <v>228</v>
      </c>
      <c r="D73" s="1080" t="s">
        <v>851</v>
      </c>
      <c r="E73" s="551"/>
      <c r="F73" s="551"/>
      <c r="G73" s="551"/>
      <c r="H73" s="551"/>
      <c r="I73" s="551"/>
      <c r="J73" s="551"/>
      <c r="K73" s="1062"/>
      <c r="L73" s="1062"/>
      <c r="M73" s="1062"/>
      <c r="N73" s="1062"/>
      <c r="O73" s="551"/>
      <c r="P73" s="1062"/>
      <c r="Q73" s="1062"/>
      <c r="R73" s="1062"/>
      <c r="S73" s="1062"/>
      <c r="T73" s="1062"/>
      <c r="U73" s="390"/>
    </row>
    <row r="74" spans="2:21" s="6" customFormat="1" ht="15.5">
      <c r="B74" s="1078">
        <f t="shared" si="26"/>
        <v>4</v>
      </c>
      <c r="C74" s="1081" t="s">
        <v>759</v>
      </c>
      <c r="D74" s="1080" t="s">
        <v>851</v>
      </c>
      <c r="E74" s="551"/>
      <c r="F74" s="551"/>
      <c r="G74" s="551"/>
      <c r="H74" s="551"/>
      <c r="I74" s="551"/>
      <c r="J74" s="551"/>
      <c r="K74" s="1062"/>
      <c r="L74" s="1062"/>
      <c r="M74" s="1062"/>
      <c r="N74" s="1062"/>
      <c r="O74" s="551"/>
      <c r="P74" s="1062"/>
      <c r="Q74" s="1062"/>
      <c r="R74" s="1062"/>
      <c r="S74" s="1062"/>
      <c r="T74" s="1062"/>
      <c r="U74" s="390"/>
    </row>
    <row r="75" spans="2:21" s="6" customFormat="1" ht="15.5">
      <c r="B75" s="1078">
        <f t="shared" si="26"/>
        <v>5</v>
      </c>
      <c r="C75" s="1081" t="s">
        <v>760</v>
      </c>
      <c r="D75" s="1080" t="s">
        <v>851</v>
      </c>
      <c r="E75" s="551"/>
      <c r="F75" s="551"/>
      <c r="G75" s="551"/>
      <c r="H75" s="551"/>
      <c r="I75" s="551"/>
      <c r="J75" s="551"/>
      <c r="K75" s="1062"/>
      <c r="L75" s="1062"/>
      <c r="M75" s="1062"/>
      <c r="N75" s="1062"/>
      <c r="O75" s="551"/>
      <c r="P75" s="1062"/>
      <c r="Q75" s="1062"/>
      <c r="R75" s="1062"/>
      <c r="S75" s="1062"/>
      <c r="T75" s="1062"/>
      <c r="U75" s="390"/>
    </row>
    <row r="76" spans="2:21" s="6" customFormat="1" ht="15.5">
      <c r="B76" s="1078">
        <f t="shared" si="26"/>
        <v>6</v>
      </c>
      <c r="C76" s="1081" t="s">
        <v>751</v>
      </c>
      <c r="D76" s="1080" t="s">
        <v>851</v>
      </c>
      <c r="E76" s="551"/>
      <c r="F76" s="551"/>
      <c r="G76" s="551"/>
      <c r="H76" s="551"/>
      <c r="I76" s="551"/>
      <c r="J76" s="551"/>
      <c r="K76" s="1062"/>
      <c r="L76" s="1062"/>
      <c r="M76" s="1062"/>
      <c r="N76" s="1062"/>
      <c r="O76" s="551"/>
      <c r="P76" s="1062"/>
      <c r="Q76" s="1062"/>
      <c r="R76" s="1062"/>
      <c r="S76" s="1062"/>
      <c r="T76" s="1062"/>
      <c r="U76" s="390"/>
    </row>
    <row r="77" spans="2:21" s="6" customFormat="1" ht="15.5">
      <c r="B77" s="1078">
        <f t="shared" si="26"/>
        <v>7</v>
      </c>
      <c r="C77" s="1081" t="s">
        <v>752</v>
      </c>
      <c r="D77" s="1080" t="s">
        <v>851</v>
      </c>
      <c r="E77" s="551"/>
      <c r="F77" s="551"/>
      <c r="G77" s="551"/>
      <c r="H77" s="551"/>
      <c r="I77" s="551"/>
      <c r="J77" s="551"/>
      <c r="K77" s="1062"/>
      <c r="L77" s="1062"/>
      <c r="M77" s="1062"/>
      <c r="N77" s="1062"/>
      <c r="O77" s="551"/>
      <c r="P77" s="1062"/>
      <c r="Q77" s="1062"/>
      <c r="R77" s="1062"/>
      <c r="S77" s="1062"/>
      <c r="T77" s="1062"/>
      <c r="U77" s="390"/>
    </row>
    <row r="78" spans="2:21" s="6" customFormat="1" ht="15.5">
      <c r="B78" s="1078">
        <f t="shared" si="26"/>
        <v>8</v>
      </c>
      <c r="C78" s="1081" t="s">
        <v>753</v>
      </c>
      <c r="D78" s="1080" t="s">
        <v>851</v>
      </c>
      <c r="E78" s="551"/>
      <c r="F78" s="551"/>
      <c r="G78" s="551"/>
      <c r="H78" s="551"/>
      <c r="I78" s="551"/>
      <c r="J78" s="551"/>
      <c r="K78" s="1062"/>
      <c r="L78" s="1062"/>
      <c r="M78" s="1062"/>
      <c r="N78" s="1062"/>
      <c r="O78" s="551"/>
      <c r="P78" s="1062"/>
      <c r="Q78" s="1062"/>
      <c r="R78" s="1062"/>
      <c r="S78" s="1062"/>
      <c r="T78" s="1062"/>
      <c r="U78" s="390"/>
    </row>
    <row r="79" spans="2:21" s="6" customFormat="1" ht="15.5">
      <c r="B79" s="1078">
        <f t="shared" si="26"/>
        <v>9</v>
      </c>
      <c r="C79" s="1081" t="s">
        <v>852</v>
      </c>
      <c r="D79" s="1080" t="s">
        <v>851</v>
      </c>
      <c r="E79" s="551"/>
      <c r="F79" s="551"/>
      <c r="G79" s="551"/>
      <c r="H79" s="551"/>
      <c r="I79" s="551"/>
      <c r="J79" s="551"/>
      <c r="K79" s="1062"/>
      <c r="L79" s="1062"/>
      <c r="M79" s="1062"/>
      <c r="N79" s="1062"/>
      <c r="O79" s="551"/>
      <c r="P79" s="1062"/>
      <c r="Q79" s="1062"/>
      <c r="R79" s="1062"/>
      <c r="S79" s="1062"/>
      <c r="T79" s="1062"/>
      <c r="U79" s="390"/>
    </row>
    <row r="80" spans="2:21" s="6" customFormat="1" ht="15.5">
      <c r="B80" s="1078">
        <f t="shared" si="26"/>
        <v>10</v>
      </c>
      <c r="C80" s="1081" t="s">
        <v>210</v>
      </c>
      <c r="D80" s="1080" t="s">
        <v>851</v>
      </c>
      <c r="E80" s="551"/>
      <c r="F80" s="551"/>
      <c r="G80" s="551"/>
      <c r="H80" s="551"/>
      <c r="I80" s="551"/>
      <c r="J80" s="551"/>
      <c r="K80" s="1062"/>
      <c r="L80" s="1062"/>
      <c r="M80" s="1062"/>
      <c r="N80" s="1062"/>
      <c r="O80" s="551"/>
      <c r="P80" s="1062"/>
      <c r="Q80" s="1062"/>
      <c r="R80" s="1062"/>
      <c r="S80" s="1062"/>
      <c r="T80" s="1062"/>
      <c r="U80" s="390"/>
    </row>
    <row r="81" spans="2:21" s="6" customFormat="1" ht="15.5">
      <c r="B81" s="1078">
        <f t="shared" si="26"/>
        <v>11</v>
      </c>
      <c r="C81" s="1081" t="s">
        <v>775</v>
      </c>
      <c r="D81" s="1080" t="s">
        <v>851</v>
      </c>
      <c r="E81" s="551"/>
      <c r="F81" s="551"/>
      <c r="G81" s="551"/>
      <c r="H81" s="551"/>
      <c r="I81" s="551"/>
      <c r="J81" s="551"/>
      <c r="K81" s="1062"/>
      <c r="L81" s="1062"/>
      <c r="M81" s="1062"/>
      <c r="N81" s="1062"/>
      <c r="O81" s="551"/>
      <c r="P81" s="1062"/>
      <c r="Q81" s="1062"/>
      <c r="R81" s="1062"/>
      <c r="S81" s="1062"/>
      <c r="T81" s="1062"/>
      <c r="U81" s="390"/>
    </row>
    <row r="82" spans="2:21" s="6" customFormat="1" ht="15">
      <c r="B82" s="1078"/>
      <c r="C82" s="1079" t="s">
        <v>1430</v>
      </c>
      <c r="D82" s="1080" t="s">
        <v>851</v>
      </c>
      <c r="E82" s="551"/>
      <c r="F82" s="551"/>
      <c r="G82" s="551"/>
      <c r="H82" s="551"/>
      <c r="I82" s="551"/>
      <c r="J82" s="551"/>
      <c r="K82" s="1062"/>
      <c r="L82" s="1062"/>
      <c r="M82" s="1062"/>
      <c r="N82" s="1062"/>
      <c r="O82" s="551"/>
      <c r="P82" s="1062">
        <v>0</v>
      </c>
      <c r="Q82" s="1062">
        <v>0</v>
      </c>
      <c r="R82" s="1062">
        <v>0</v>
      </c>
      <c r="S82" s="1062">
        <v>0</v>
      </c>
      <c r="T82" s="1062">
        <v>0</v>
      </c>
      <c r="U82" s="390"/>
    </row>
    <row r="83" spans="2:21" s="6" customFormat="1" ht="15.5">
      <c r="B83" s="403"/>
      <c r="C83" s="399"/>
      <c r="D83" s="402"/>
      <c r="E83" s="551"/>
      <c r="F83" s="551"/>
      <c r="G83" s="551"/>
      <c r="H83" s="551"/>
      <c r="I83" s="551"/>
      <c r="J83" s="551"/>
      <c r="K83" s="1062"/>
      <c r="L83" s="1062"/>
      <c r="M83" s="1062"/>
      <c r="N83" s="1062"/>
      <c r="O83" s="551"/>
      <c r="P83" s="1062"/>
      <c r="Q83" s="1062"/>
      <c r="R83" s="1062"/>
      <c r="S83" s="1062"/>
      <c r="T83" s="1062"/>
      <c r="U83" s="390"/>
    </row>
    <row r="84" spans="2:21" s="6" customFormat="1" ht="15">
      <c r="B84" s="342" t="s">
        <v>767</v>
      </c>
      <c r="C84" s="343" t="s">
        <v>762</v>
      </c>
      <c r="D84" s="404"/>
      <c r="E84" s="551"/>
      <c r="F84" s="551"/>
      <c r="G84" s="551"/>
      <c r="H84" s="551"/>
      <c r="I84" s="551"/>
      <c r="J84" s="551"/>
      <c r="K84" s="1062"/>
      <c r="L84" s="1062"/>
      <c r="M84" s="1062"/>
      <c r="N84" s="1062"/>
      <c r="O84" s="551"/>
      <c r="P84" s="1062"/>
      <c r="Q84" s="1062"/>
      <c r="R84" s="1062"/>
      <c r="S84" s="1062"/>
      <c r="T84" s="1062"/>
      <c r="U84" s="390"/>
    </row>
    <row r="85" spans="2:21" s="6" customFormat="1" ht="15.5">
      <c r="B85" s="344">
        <v>1</v>
      </c>
      <c r="C85" s="397" t="s">
        <v>140</v>
      </c>
      <c r="D85" s="404" t="s">
        <v>766</v>
      </c>
      <c r="E85" s="477">
        <f>F85</f>
        <v>63191.920370000007</v>
      </c>
      <c r="F85" s="477">
        <v>63191.920370000007</v>
      </c>
      <c r="G85" s="477">
        <f t="shared" ref="G85:G96" si="27">F85-E85</f>
        <v>0</v>
      </c>
      <c r="H85" s="477">
        <f>I85</f>
        <v>69934.138982973003</v>
      </c>
      <c r="I85" s="477">
        <v>69934.138982973003</v>
      </c>
      <c r="J85" s="477">
        <f t="shared" ref="J85:J96" si="28">I85-H85</f>
        <v>0</v>
      </c>
      <c r="K85" s="739"/>
      <c r="L85" s="1063">
        <v>67023.916210725438</v>
      </c>
      <c r="M85" s="1063"/>
      <c r="N85" s="1063"/>
      <c r="O85" s="477">
        <f t="shared" ref="O85:O96" si="29">N85-K85</f>
        <v>0</v>
      </c>
      <c r="P85" s="1063"/>
      <c r="Q85" s="1063"/>
      <c r="R85" s="1063"/>
      <c r="S85" s="1063"/>
      <c r="T85" s="1063"/>
      <c r="U85" s="390"/>
    </row>
    <row r="86" spans="2:21" s="6" customFormat="1" ht="15.5">
      <c r="B86" s="344">
        <v>2</v>
      </c>
      <c r="C86" s="397" t="s">
        <v>750</v>
      </c>
      <c r="D86" s="404" t="s">
        <v>766</v>
      </c>
      <c r="E86" s="477">
        <f t="shared" ref="E86:E96" si="30">F86</f>
        <v>900</v>
      </c>
      <c r="F86" s="477">
        <v>900</v>
      </c>
      <c r="G86" s="477">
        <f t="shared" si="27"/>
        <v>0</v>
      </c>
      <c r="H86" s="477">
        <f t="shared" ref="H86:H96" si="31">I86</f>
        <v>872.99351721921289</v>
      </c>
      <c r="I86" s="477">
        <v>872.99351721921289</v>
      </c>
      <c r="J86" s="477">
        <f t="shared" si="28"/>
        <v>0</v>
      </c>
      <c r="K86" s="739"/>
      <c r="L86" s="1063">
        <v>1359.8870423193757</v>
      </c>
      <c r="M86" s="1063"/>
      <c r="N86" s="1063"/>
      <c r="O86" s="477">
        <f t="shared" si="29"/>
        <v>0</v>
      </c>
      <c r="P86" s="1063"/>
      <c r="Q86" s="1063"/>
      <c r="R86" s="1063"/>
      <c r="S86" s="1063"/>
      <c r="T86" s="1063"/>
      <c r="U86" s="390"/>
    </row>
    <row r="87" spans="2:21" s="418" customFormat="1" ht="15.5">
      <c r="B87" s="416">
        <v>3</v>
      </c>
      <c r="C87" s="397" t="s">
        <v>228</v>
      </c>
      <c r="D87" s="461" t="s">
        <v>766</v>
      </c>
      <c r="E87" s="477">
        <f t="shared" si="30"/>
        <v>0</v>
      </c>
      <c r="F87" s="477">
        <v>0</v>
      </c>
      <c r="G87" s="477">
        <f t="shared" si="27"/>
        <v>0</v>
      </c>
      <c r="H87" s="477">
        <f t="shared" si="31"/>
        <v>0</v>
      </c>
      <c r="I87" s="477">
        <v>0</v>
      </c>
      <c r="J87" s="477">
        <f t="shared" si="28"/>
        <v>0</v>
      </c>
      <c r="K87" s="739"/>
      <c r="L87" s="1063">
        <v>0</v>
      </c>
      <c r="M87" s="1063"/>
      <c r="N87" s="1063"/>
      <c r="O87" s="477">
        <f t="shared" si="29"/>
        <v>0</v>
      </c>
      <c r="P87" s="1063"/>
      <c r="Q87" s="1063"/>
      <c r="R87" s="1063"/>
      <c r="S87" s="1063"/>
      <c r="T87" s="1063"/>
      <c r="U87" s="401"/>
    </row>
    <row r="88" spans="2:21" s="418" customFormat="1" ht="15.5">
      <c r="B88" s="416">
        <v>4</v>
      </c>
      <c r="C88" s="397" t="s">
        <v>759</v>
      </c>
      <c r="D88" s="461" t="s">
        <v>766</v>
      </c>
      <c r="E88" s="477">
        <f t="shared" si="30"/>
        <v>0</v>
      </c>
      <c r="F88" s="477">
        <v>0</v>
      </c>
      <c r="G88" s="477">
        <f t="shared" si="27"/>
        <v>0</v>
      </c>
      <c r="H88" s="477">
        <f t="shared" si="31"/>
        <v>84.712847747643394</v>
      </c>
      <c r="I88" s="477">
        <v>84.712847747643394</v>
      </c>
      <c r="J88" s="477">
        <f t="shared" si="28"/>
        <v>0</v>
      </c>
      <c r="K88" s="739"/>
      <c r="L88" s="1063">
        <v>35.405622458042892</v>
      </c>
      <c r="M88" s="1063"/>
      <c r="N88" s="1063"/>
      <c r="O88" s="477">
        <f t="shared" si="29"/>
        <v>0</v>
      </c>
      <c r="P88" s="1063"/>
      <c r="Q88" s="1063"/>
      <c r="R88" s="1063"/>
      <c r="S88" s="1063"/>
      <c r="T88" s="1063"/>
      <c r="U88" s="401"/>
    </row>
    <row r="89" spans="2:21" s="6" customFormat="1" ht="15.5">
      <c r="B89" s="344">
        <v>5</v>
      </c>
      <c r="C89" s="397" t="s">
        <v>141</v>
      </c>
      <c r="D89" s="404" t="s">
        <v>766</v>
      </c>
      <c r="E89" s="477">
        <f t="shared" si="30"/>
        <v>14000</v>
      </c>
      <c r="F89" s="477">
        <v>14000</v>
      </c>
      <c r="G89" s="477">
        <f t="shared" si="27"/>
        <v>0</v>
      </c>
      <c r="H89" s="477">
        <f t="shared" si="31"/>
        <v>12520.205496736402</v>
      </c>
      <c r="I89" s="477">
        <v>12520.205496736402</v>
      </c>
      <c r="J89" s="477">
        <f t="shared" si="28"/>
        <v>0</v>
      </c>
      <c r="K89" s="739"/>
      <c r="L89" s="1063">
        <v>12035.431310876902</v>
      </c>
      <c r="M89" s="1063"/>
      <c r="N89" s="1063"/>
      <c r="O89" s="477">
        <f t="shared" si="29"/>
        <v>0</v>
      </c>
      <c r="P89" s="1063"/>
      <c r="Q89" s="1063"/>
      <c r="R89" s="1063"/>
      <c r="S89" s="1063"/>
      <c r="T89" s="1063"/>
      <c r="U89" s="390"/>
    </row>
    <row r="90" spans="2:21" s="6" customFormat="1" ht="15.5">
      <c r="B90" s="344">
        <v>6</v>
      </c>
      <c r="C90" s="397" t="s">
        <v>751</v>
      </c>
      <c r="D90" s="404" t="s">
        <v>766</v>
      </c>
      <c r="E90" s="477">
        <f t="shared" si="30"/>
        <v>0</v>
      </c>
      <c r="F90" s="477">
        <v>0</v>
      </c>
      <c r="G90" s="477">
        <f t="shared" si="27"/>
        <v>0</v>
      </c>
      <c r="H90" s="477">
        <f t="shared" si="31"/>
        <v>0</v>
      </c>
      <c r="I90" s="477">
        <v>0</v>
      </c>
      <c r="J90" s="477">
        <f t="shared" si="28"/>
        <v>0</v>
      </c>
      <c r="K90" s="739"/>
      <c r="L90" s="1063">
        <v>0</v>
      </c>
      <c r="M90" s="1063"/>
      <c r="N90" s="1063"/>
      <c r="O90" s="477">
        <f t="shared" si="29"/>
        <v>0</v>
      </c>
      <c r="P90" s="1063"/>
      <c r="Q90" s="1063"/>
      <c r="R90" s="1063"/>
      <c r="S90" s="1063"/>
      <c r="T90" s="1063"/>
      <c r="U90" s="390"/>
    </row>
    <row r="91" spans="2:21" s="6" customFormat="1" ht="15.5">
      <c r="B91" s="344">
        <v>7</v>
      </c>
      <c r="C91" s="397" t="s">
        <v>752</v>
      </c>
      <c r="D91" s="404" t="s">
        <v>766</v>
      </c>
      <c r="E91" s="477">
        <f t="shared" si="30"/>
        <v>0</v>
      </c>
      <c r="F91" s="477">
        <v>0</v>
      </c>
      <c r="G91" s="477">
        <f t="shared" si="27"/>
        <v>0</v>
      </c>
      <c r="H91" s="477">
        <f t="shared" si="31"/>
        <v>0</v>
      </c>
      <c r="I91" s="477">
        <v>0</v>
      </c>
      <c r="J91" s="477">
        <f t="shared" si="28"/>
        <v>0</v>
      </c>
      <c r="K91" s="739"/>
      <c r="L91" s="1063">
        <v>0</v>
      </c>
      <c r="M91" s="1063"/>
      <c r="N91" s="1063"/>
      <c r="O91" s="477">
        <f t="shared" si="29"/>
        <v>0</v>
      </c>
      <c r="P91" s="1063"/>
      <c r="Q91" s="1063"/>
      <c r="R91" s="1063"/>
      <c r="S91" s="1063"/>
      <c r="T91" s="1063"/>
      <c r="U91" s="390"/>
    </row>
    <row r="92" spans="2:21" s="6" customFormat="1" ht="15.5">
      <c r="B92" s="344">
        <v>8</v>
      </c>
      <c r="C92" s="397" t="s">
        <v>753</v>
      </c>
      <c r="D92" s="404" t="s">
        <v>766</v>
      </c>
      <c r="E92" s="477">
        <f t="shared" si="30"/>
        <v>0</v>
      </c>
      <c r="F92" s="477">
        <v>0</v>
      </c>
      <c r="G92" s="477">
        <f t="shared" si="27"/>
        <v>0</v>
      </c>
      <c r="H92" s="477">
        <f t="shared" si="31"/>
        <v>0</v>
      </c>
      <c r="I92" s="477">
        <v>0</v>
      </c>
      <c r="J92" s="477">
        <f t="shared" si="28"/>
        <v>0</v>
      </c>
      <c r="K92" s="739"/>
      <c r="L92" s="1063">
        <v>0</v>
      </c>
      <c r="M92" s="1063"/>
      <c r="N92" s="1063"/>
      <c r="O92" s="477">
        <f t="shared" si="29"/>
        <v>0</v>
      </c>
      <c r="P92" s="1063"/>
      <c r="Q92" s="1063"/>
      <c r="R92" s="1063"/>
      <c r="S92" s="1063"/>
      <c r="T92" s="1063"/>
      <c r="U92" s="390"/>
    </row>
    <row r="93" spans="2:21" s="6" customFormat="1" ht="15.5">
      <c r="B93" s="344">
        <v>9</v>
      </c>
      <c r="C93" s="397" t="s">
        <v>791</v>
      </c>
      <c r="D93" s="404" t="s">
        <v>766</v>
      </c>
      <c r="E93" s="477">
        <f t="shared" si="30"/>
        <v>0</v>
      </c>
      <c r="F93" s="477">
        <v>0</v>
      </c>
      <c r="G93" s="477">
        <f t="shared" si="27"/>
        <v>0</v>
      </c>
      <c r="H93" s="477">
        <f t="shared" si="31"/>
        <v>-1335.1481438487274</v>
      </c>
      <c r="I93" s="477">
        <v>-1335.1481438487274</v>
      </c>
      <c r="J93" s="477">
        <f t="shared" si="28"/>
        <v>0</v>
      </c>
      <c r="K93" s="739"/>
      <c r="L93" s="1063">
        <v>-1555.7015928533999</v>
      </c>
      <c r="M93" s="1063"/>
      <c r="N93" s="1063"/>
      <c r="O93" s="477">
        <f t="shared" si="29"/>
        <v>0</v>
      </c>
      <c r="P93" s="1063"/>
      <c r="Q93" s="1063"/>
      <c r="R93" s="1063"/>
      <c r="S93" s="1063"/>
      <c r="T93" s="1063"/>
      <c r="U93" s="390"/>
    </row>
    <row r="94" spans="2:21" s="418" customFormat="1" ht="15.5">
      <c r="B94" s="416">
        <v>10</v>
      </c>
      <c r="C94" s="447" t="s">
        <v>210</v>
      </c>
      <c r="D94" s="461" t="s">
        <v>766</v>
      </c>
      <c r="E94" s="477">
        <f t="shared" si="30"/>
        <v>0</v>
      </c>
      <c r="F94" s="477">
        <v>0</v>
      </c>
      <c r="G94" s="477">
        <f t="shared" si="27"/>
        <v>0</v>
      </c>
      <c r="H94" s="477">
        <f t="shared" si="31"/>
        <v>0</v>
      </c>
      <c r="I94" s="477">
        <v>0</v>
      </c>
      <c r="J94" s="477">
        <f t="shared" si="28"/>
        <v>0</v>
      </c>
      <c r="K94" s="739"/>
      <c r="L94" s="1063">
        <v>0</v>
      </c>
      <c r="M94" s="1063"/>
      <c r="N94" s="1063"/>
      <c r="O94" s="477">
        <f t="shared" si="29"/>
        <v>0</v>
      </c>
      <c r="P94" s="1063"/>
      <c r="Q94" s="1063"/>
      <c r="R94" s="1063"/>
      <c r="S94" s="1063"/>
      <c r="T94" s="1063"/>
      <c r="U94" s="401"/>
    </row>
    <row r="95" spans="2:21" s="6" customFormat="1" ht="15.5">
      <c r="B95" s="344">
        <v>11</v>
      </c>
      <c r="C95" s="397" t="s">
        <v>755</v>
      </c>
      <c r="D95" s="404" t="s">
        <v>766</v>
      </c>
      <c r="E95" s="477">
        <f t="shared" si="30"/>
        <v>0</v>
      </c>
      <c r="F95" s="477"/>
      <c r="G95" s="477">
        <f t="shared" si="27"/>
        <v>0</v>
      </c>
      <c r="H95" s="477">
        <f t="shared" si="31"/>
        <v>0</v>
      </c>
      <c r="I95" s="477"/>
      <c r="J95" s="477">
        <f t="shared" si="28"/>
        <v>0</v>
      </c>
      <c r="K95" s="739"/>
      <c r="L95" s="1063"/>
      <c r="M95" s="1204"/>
      <c r="N95" s="1063"/>
      <c r="O95" s="477">
        <f t="shared" si="29"/>
        <v>0</v>
      </c>
      <c r="P95" s="1063"/>
      <c r="Q95" s="1063"/>
      <c r="R95" s="1063"/>
      <c r="S95" s="1063"/>
      <c r="T95" s="1063"/>
      <c r="U95" s="390"/>
    </row>
    <row r="96" spans="2:21" s="6" customFormat="1" ht="15.5">
      <c r="B96" s="344">
        <v>12</v>
      </c>
      <c r="C96" s="397" t="s">
        <v>142</v>
      </c>
      <c r="D96" s="404" t="s">
        <v>766</v>
      </c>
      <c r="E96" s="477">
        <f t="shared" si="30"/>
        <v>0</v>
      </c>
      <c r="F96" s="477"/>
      <c r="G96" s="477">
        <f t="shared" si="27"/>
        <v>0</v>
      </c>
      <c r="H96" s="477">
        <f t="shared" si="31"/>
        <v>0</v>
      </c>
      <c r="I96" s="477"/>
      <c r="J96" s="477">
        <f t="shared" si="28"/>
        <v>0</v>
      </c>
      <c r="K96" s="739"/>
      <c r="L96" s="1063"/>
      <c r="M96" s="1204"/>
      <c r="N96" s="1063"/>
      <c r="O96" s="477">
        <f t="shared" si="29"/>
        <v>0</v>
      </c>
      <c r="P96" s="1063"/>
      <c r="Q96" s="1063"/>
      <c r="R96" s="1063"/>
      <c r="S96" s="1063"/>
      <c r="T96" s="1063"/>
      <c r="U96" s="390"/>
    </row>
    <row r="97" spans="2:21" s="6" customFormat="1" ht="15">
      <c r="B97" s="342"/>
      <c r="C97" s="343" t="s">
        <v>763</v>
      </c>
      <c r="D97" s="404" t="s">
        <v>766</v>
      </c>
      <c r="E97" s="478">
        <f t="shared" ref="E97:O97" si="32">SUM(E85:E96)</f>
        <v>78091.920370000007</v>
      </c>
      <c r="F97" s="478">
        <f t="shared" si="32"/>
        <v>78091.920370000007</v>
      </c>
      <c r="G97" s="478">
        <f t="shared" si="32"/>
        <v>0</v>
      </c>
      <c r="H97" s="478">
        <f t="shared" ref="H97" si="33">SUM(H85:H96)</f>
        <v>82076.902700827544</v>
      </c>
      <c r="I97" s="478">
        <f t="shared" si="32"/>
        <v>82076.902700827544</v>
      </c>
      <c r="J97" s="478">
        <f t="shared" si="32"/>
        <v>0</v>
      </c>
      <c r="K97" s="1064">
        <f>N97</f>
        <v>79967.292241525007</v>
      </c>
      <c r="L97" s="1064">
        <f t="shared" ref="L97" si="34">SUM(L85:L96)</f>
        <v>78898.938593526356</v>
      </c>
      <c r="M97" s="1064">
        <v>82076.902700827544</v>
      </c>
      <c r="N97" s="1064">
        <f>SUMPRODUCT(L97:M97,'F2.2'!O100:P100)/SUM('F2.2'!O100:P100)</f>
        <v>79967.292241525007</v>
      </c>
      <c r="O97" s="478">
        <f t="shared" si="32"/>
        <v>0</v>
      </c>
      <c r="P97" s="1064">
        <v>86180.747835868926</v>
      </c>
      <c r="Q97" s="1064">
        <v>90489.785227662374</v>
      </c>
      <c r="R97" s="1064">
        <v>95014.274489045492</v>
      </c>
      <c r="S97" s="1064">
        <v>99764.988213497767</v>
      </c>
      <c r="T97" s="1064">
        <v>104753.23762417266</v>
      </c>
      <c r="U97" s="398">
        <f t="shared" ref="U97" si="35">SUM(U85:U96)</f>
        <v>0</v>
      </c>
    </row>
    <row r="98" spans="2:21" s="6" customFormat="1" ht="15.5">
      <c r="B98" s="344"/>
      <c r="C98" s="397"/>
      <c r="D98" s="404"/>
      <c r="E98" s="477"/>
      <c r="F98" s="477"/>
      <c r="G98" s="477"/>
      <c r="H98" s="477"/>
      <c r="I98" s="477"/>
      <c r="J98" s="477"/>
      <c r="K98" s="1063"/>
      <c r="L98" s="1063"/>
      <c r="M98" s="1063"/>
      <c r="N98" s="1063"/>
      <c r="O98" s="477"/>
      <c r="P98" s="1063"/>
      <c r="Q98" s="1063"/>
      <c r="R98" s="1063"/>
      <c r="S98" s="1063"/>
      <c r="T98" s="1063"/>
      <c r="U98" s="390"/>
    </row>
    <row r="99" spans="2:21" s="6" customFormat="1" ht="15">
      <c r="B99" s="342" t="s">
        <v>854</v>
      </c>
      <c r="C99" s="343" t="s">
        <v>764</v>
      </c>
      <c r="D99" s="404"/>
      <c r="E99" s="477"/>
      <c r="F99" s="477"/>
      <c r="G99" s="477"/>
      <c r="H99" s="477"/>
      <c r="I99" s="477"/>
      <c r="J99" s="477"/>
      <c r="K99" s="1063"/>
      <c r="L99" s="1063"/>
      <c r="M99" s="1063"/>
      <c r="N99" s="1063"/>
      <c r="O99" s="477"/>
      <c r="P99" s="1063"/>
      <c r="Q99" s="1063"/>
      <c r="R99" s="1063"/>
      <c r="S99" s="1063"/>
      <c r="T99" s="1063"/>
      <c r="U99" s="390"/>
    </row>
    <row r="100" spans="2:21" s="11" customFormat="1" ht="15.5">
      <c r="B100" s="416">
        <v>1</v>
      </c>
      <c r="C100" s="397" t="s">
        <v>140</v>
      </c>
      <c r="D100" s="512" t="s">
        <v>766</v>
      </c>
      <c r="E100" s="477">
        <f t="shared" ref="E100:E111" si="36">F100</f>
        <v>44299.468549999998</v>
      </c>
      <c r="F100" s="477">
        <v>44299.468549999998</v>
      </c>
      <c r="G100" s="477">
        <f t="shared" ref="G100:G111" si="37">F100-E100</f>
        <v>0</v>
      </c>
      <c r="H100" s="477">
        <f t="shared" ref="H100:H111" si="38">I100</f>
        <v>44590.58037002074</v>
      </c>
      <c r="I100" s="477">
        <v>44590.58037002074</v>
      </c>
      <c r="J100" s="477">
        <f t="shared" ref="J100:J111" si="39">I100-H100</f>
        <v>0</v>
      </c>
      <c r="K100" s="1063"/>
      <c r="L100" s="1063">
        <v>48175.099021450296</v>
      </c>
      <c r="M100" s="1063"/>
      <c r="N100" s="1063"/>
      <c r="O100" s="477">
        <f t="shared" ref="O100:O111" si="40">N100-K100</f>
        <v>0</v>
      </c>
      <c r="P100" s="1063"/>
      <c r="Q100" s="1063"/>
      <c r="R100" s="1063"/>
      <c r="S100" s="1063"/>
      <c r="T100" s="1063"/>
      <c r="U100" s="513"/>
    </row>
    <row r="101" spans="2:21" s="11" customFormat="1" ht="15.5">
      <c r="B101" s="416">
        <v>2</v>
      </c>
      <c r="C101" s="397" t="s">
        <v>750</v>
      </c>
      <c r="D101" s="512" t="s">
        <v>766</v>
      </c>
      <c r="E101" s="477">
        <f t="shared" si="36"/>
        <v>950</v>
      </c>
      <c r="F101" s="477">
        <v>950</v>
      </c>
      <c r="G101" s="477">
        <f t="shared" si="37"/>
        <v>0</v>
      </c>
      <c r="H101" s="477">
        <f t="shared" si="38"/>
        <v>857.74258447794955</v>
      </c>
      <c r="I101" s="477">
        <v>857.74258447794955</v>
      </c>
      <c r="J101" s="477">
        <f t="shared" si="39"/>
        <v>0</v>
      </c>
      <c r="K101" s="1063"/>
      <c r="L101" s="1063">
        <v>867.49026099933849</v>
      </c>
      <c r="M101" s="1063"/>
      <c r="N101" s="1063"/>
      <c r="O101" s="477">
        <f t="shared" si="40"/>
        <v>0</v>
      </c>
      <c r="P101" s="1063"/>
      <c r="Q101" s="1063"/>
      <c r="R101" s="1063"/>
      <c r="S101" s="1063"/>
      <c r="T101" s="1063"/>
      <c r="U101" s="513"/>
    </row>
    <row r="102" spans="2:21" s="11" customFormat="1" ht="15.5">
      <c r="B102" s="416">
        <v>3</v>
      </c>
      <c r="C102" s="397" t="s">
        <v>228</v>
      </c>
      <c r="D102" s="512" t="s">
        <v>766</v>
      </c>
      <c r="E102" s="477">
        <f t="shared" si="36"/>
        <v>0</v>
      </c>
      <c r="F102" s="477">
        <v>0</v>
      </c>
      <c r="G102" s="477">
        <f t="shared" si="37"/>
        <v>0</v>
      </c>
      <c r="H102" s="477">
        <f t="shared" si="38"/>
        <v>0</v>
      </c>
      <c r="I102" s="477">
        <v>0</v>
      </c>
      <c r="J102" s="477">
        <f t="shared" si="39"/>
        <v>0</v>
      </c>
      <c r="K102" s="1063"/>
      <c r="L102" s="1063">
        <v>0</v>
      </c>
      <c r="M102" s="1063"/>
      <c r="N102" s="1063"/>
      <c r="O102" s="477">
        <f t="shared" si="40"/>
        <v>0</v>
      </c>
      <c r="P102" s="1063"/>
      <c r="Q102" s="1063"/>
      <c r="R102" s="1063"/>
      <c r="S102" s="1063"/>
      <c r="T102" s="1063"/>
      <c r="U102" s="513"/>
    </row>
    <row r="103" spans="2:21" s="11" customFormat="1" ht="15.5">
      <c r="B103" s="416">
        <v>4</v>
      </c>
      <c r="C103" s="397" t="s">
        <v>759</v>
      </c>
      <c r="D103" s="512" t="s">
        <v>766</v>
      </c>
      <c r="E103" s="477">
        <f t="shared" si="36"/>
        <v>0</v>
      </c>
      <c r="F103" s="477">
        <v>0</v>
      </c>
      <c r="G103" s="477">
        <f t="shared" si="37"/>
        <v>0</v>
      </c>
      <c r="H103" s="477">
        <f t="shared" si="38"/>
        <v>83.197652782360592</v>
      </c>
      <c r="I103" s="477">
        <v>83.197652782360592</v>
      </c>
      <c r="J103" s="477">
        <f t="shared" si="39"/>
        <v>0</v>
      </c>
      <c r="K103" s="1063"/>
      <c r="L103" s="1063">
        <v>0</v>
      </c>
      <c r="M103" s="1063"/>
      <c r="N103" s="1063"/>
      <c r="O103" s="477">
        <f t="shared" si="40"/>
        <v>0</v>
      </c>
      <c r="P103" s="1063"/>
      <c r="Q103" s="1063"/>
      <c r="R103" s="1063"/>
      <c r="S103" s="1063"/>
      <c r="T103" s="1063"/>
      <c r="U103" s="513"/>
    </row>
    <row r="104" spans="2:21" s="11" customFormat="1" ht="15.5">
      <c r="B104" s="416">
        <v>5</v>
      </c>
      <c r="C104" s="397" t="s">
        <v>790</v>
      </c>
      <c r="D104" s="512" t="s">
        <v>766</v>
      </c>
      <c r="E104" s="477">
        <f t="shared" si="36"/>
        <v>8300</v>
      </c>
      <c r="F104" s="477">
        <v>8300</v>
      </c>
      <c r="G104" s="477">
        <f t="shared" si="37"/>
        <v>0</v>
      </c>
      <c r="H104" s="477">
        <f t="shared" si="38"/>
        <v>7976.3344428843648</v>
      </c>
      <c r="I104" s="477">
        <v>7976.3344428843648</v>
      </c>
      <c r="J104" s="477">
        <f t="shared" si="39"/>
        <v>0</v>
      </c>
      <c r="K104" s="1063"/>
      <c r="L104" s="1063">
        <v>8586.4902610279769</v>
      </c>
      <c r="M104" s="1063"/>
      <c r="N104" s="1063"/>
      <c r="O104" s="477">
        <f t="shared" si="40"/>
        <v>0</v>
      </c>
      <c r="P104" s="1063"/>
      <c r="Q104" s="1063"/>
      <c r="R104" s="1063"/>
      <c r="S104" s="1063"/>
      <c r="T104" s="1063"/>
      <c r="U104" s="513"/>
    </row>
    <row r="105" spans="2:21" s="11" customFormat="1" ht="15.5">
      <c r="B105" s="416">
        <v>6</v>
      </c>
      <c r="C105" s="397" t="s">
        <v>792</v>
      </c>
      <c r="D105" s="512" t="s">
        <v>766</v>
      </c>
      <c r="E105" s="477">
        <f t="shared" si="36"/>
        <v>0</v>
      </c>
      <c r="F105" s="477">
        <v>0</v>
      </c>
      <c r="G105" s="477">
        <f t="shared" si="37"/>
        <v>0</v>
      </c>
      <c r="H105" s="477">
        <f t="shared" si="38"/>
        <v>0</v>
      </c>
      <c r="I105" s="477">
        <v>0</v>
      </c>
      <c r="J105" s="477">
        <f t="shared" si="39"/>
        <v>0</v>
      </c>
      <c r="K105" s="1063"/>
      <c r="L105" s="1063">
        <v>0</v>
      </c>
      <c r="M105" s="1063"/>
      <c r="N105" s="1063"/>
      <c r="O105" s="477">
        <f t="shared" si="40"/>
        <v>0</v>
      </c>
      <c r="P105" s="1063"/>
      <c r="Q105" s="1063"/>
      <c r="R105" s="1063"/>
      <c r="S105" s="1063"/>
      <c r="T105" s="1063"/>
      <c r="U105" s="513"/>
    </row>
    <row r="106" spans="2:21" s="11" customFormat="1" ht="15.5">
      <c r="B106" s="416">
        <v>7</v>
      </c>
      <c r="C106" s="397" t="s">
        <v>752</v>
      </c>
      <c r="D106" s="512" t="s">
        <v>766</v>
      </c>
      <c r="E106" s="477">
        <f t="shared" si="36"/>
        <v>0</v>
      </c>
      <c r="F106" s="477">
        <v>0</v>
      </c>
      <c r="G106" s="477">
        <f t="shared" si="37"/>
        <v>0</v>
      </c>
      <c r="H106" s="477">
        <f t="shared" si="38"/>
        <v>0</v>
      </c>
      <c r="I106" s="477">
        <v>0</v>
      </c>
      <c r="J106" s="477">
        <f t="shared" si="39"/>
        <v>0</v>
      </c>
      <c r="K106" s="1063"/>
      <c r="L106" s="1063">
        <v>0</v>
      </c>
      <c r="M106" s="1063"/>
      <c r="N106" s="1063"/>
      <c r="O106" s="477">
        <f t="shared" si="40"/>
        <v>0</v>
      </c>
      <c r="P106" s="1063"/>
      <c r="Q106" s="1063"/>
      <c r="R106" s="1063"/>
      <c r="S106" s="1063"/>
      <c r="T106" s="1063"/>
      <c r="U106" s="513"/>
    </row>
    <row r="107" spans="2:21" s="11" customFormat="1" ht="15.5">
      <c r="B107" s="416">
        <v>8</v>
      </c>
      <c r="C107" s="397" t="s">
        <v>753</v>
      </c>
      <c r="D107" s="512" t="s">
        <v>766</v>
      </c>
      <c r="E107" s="477">
        <f t="shared" si="36"/>
        <v>0</v>
      </c>
      <c r="F107" s="477">
        <v>0</v>
      </c>
      <c r="G107" s="477">
        <f t="shared" si="37"/>
        <v>0</v>
      </c>
      <c r="H107" s="477">
        <f t="shared" si="38"/>
        <v>0</v>
      </c>
      <c r="I107" s="477">
        <v>0</v>
      </c>
      <c r="J107" s="477">
        <f t="shared" si="39"/>
        <v>0</v>
      </c>
      <c r="K107" s="1063"/>
      <c r="L107" s="1063">
        <v>0</v>
      </c>
      <c r="M107" s="1063"/>
      <c r="N107" s="1063"/>
      <c r="O107" s="477">
        <f t="shared" si="40"/>
        <v>0</v>
      </c>
      <c r="P107" s="1063"/>
      <c r="Q107" s="1063"/>
      <c r="R107" s="1063"/>
      <c r="S107" s="1063"/>
      <c r="T107" s="1063"/>
      <c r="U107" s="513"/>
    </row>
    <row r="108" spans="2:21" s="11" customFormat="1" ht="15.5">
      <c r="B108" s="416">
        <v>9</v>
      </c>
      <c r="C108" s="397" t="s">
        <v>793</v>
      </c>
      <c r="D108" s="512" t="s">
        <v>766</v>
      </c>
      <c r="E108" s="477">
        <f t="shared" si="36"/>
        <v>0</v>
      </c>
      <c r="F108" s="477">
        <v>0</v>
      </c>
      <c r="G108" s="477">
        <f t="shared" si="37"/>
        <v>0</v>
      </c>
      <c r="H108" s="477">
        <f t="shared" si="38"/>
        <v>-1218.5514801456854</v>
      </c>
      <c r="I108" s="477">
        <v>-1218.5514801456854</v>
      </c>
      <c r="J108" s="477">
        <f t="shared" si="39"/>
        <v>0</v>
      </c>
      <c r="K108" s="1063"/>
      <c r="L108" s="1063">
        <v>-1339.8656100719847</v>
      </c>
      <c r="M108" s="1063"/>
      <c r="N108" s="1063"/>
      <c r="O108" s="477">
        <f t="shared" si="40"/>
        <v>0</v>
      </c>
      <c r="P108" s="1063"/>
      <c r="Q108" s="1063"/>
      <c r="R108" s="1063"/>
      <c r="S108" s="1063"/>
      <c r="T108" s="1063"/>
      <c r="U108" s="513"/>
    </row>
    <row r="109" spans="2:21" s="11" customFormat="1" ht="15.5">
      <c r="B109" s="416">
        <v>10</v>
      </c>
      <c r="C109" s="397" t="s">
        <v>210</v>
      </c>
      <c r="D109" s="512" t="s">
        <v>766</v>
      </c>
      <c r="E109" s="477">
        <f t="shared" si="36"/>
        <v>0</v>
      </c>
      <c r="F109" s="477">
        <v>0</v>
      </c>
      <c r="G109" s="477">
        <f t="shared" si="37"/>
        <v>0</v>
      </c>
      <c r="H109" s="477">
        <f t="shared" si="38"/>
        <v>0</v>
      </c>
      <c r="I109" s="477">
        <v>0</v>
      </c>
      <c r="J109" s="477">
        <f t="shared" si="39"/>
        <v>0</v>
      </c>
      <c r="K109" s="1063"/>
      <c r="L109" s="1063">
        <v>0</v>
      </c>
      <c r="M109" s="1063"/>
      <c r="N109" s="1063"/>
      <c r="O109" s="477">
        <f t="shared" si="40"/>
        <v>0</v>
      </c>
      <c r="P109" s="1063"/>
      <c r="Q109" s="1063"/>
      <c r="R109" s="1063"/>
      <c r="S109" s="1063"/>
      <c r="T109" s="1063"/>
      <c r="U109" s="513"/>
    </row>
    <row r="110" spans="2:21" s="11" customFormat="1" ht="15.5">
      <c r="B110" s="416">
        <v>11</v>
      </c>
      <c r="C110" s="397" t="s">
        <v>755</v>
      </c>
      <c r="D110" s="512" t="s">
        <v>766</v>
      </c>
      <c r="E110" s="477">
        <f t="shared" si="36"/>
        <v>0</v>
      </c>
      <c r="F110" s="477"/>
      <c r="G110" s="477">
        <f t="shared" si="37"/>
        <v>0</v>
      </c>
      <c r="H110" s="477">
        <f t="shared" si="38"/>
        <v>0</v>
      </c>
      <c r="I110" s="477"/>
      <c r="J110" s="477">
        <f t="shared" si="39"/>
        <v>0</v>
      </c>
      <c r="K110" s="1063"/>
      <c r="L110" s="1063"/>
      <c r="M110" s="1208"/>
      <c r="N110" s="1063"/>
      <c r="O110" s="477">
        <f t="shared" si="40"/>
        <v>0</v>
      </c>
      <c r="P110" s="1063"/>
      <c r="Q110" s="1063"/>
      <c r="R110" s="1063"/>
      <c r="S110" s="1063"/>
      <c r="T110" s="1063"/>
      <c r="U110" s="513"/>
    </row>
    <row r="111" spans="2:21" s="11" customFormat="1" ht="15.5">
      <c r="B111" s="416">
        <v>12</v>
      </c>
      <c r="C111" s="397" t="s">
        <v>142</v>
      </c>
      <c r="D111" s="512" t="s">
        <v>766</v>
      </c>
      <c r="E111" s="477">
        <f t="shared" si="36"/>
        <v>0</v>
      </c>
      <c r="F111" s="477"/>
      <c r="G111" s="477">
        <f t="shared" si="37"/>
        <v>0</v>
      </c>
      <c r="H111" s="477">
        <f t="shared" si="38"/>
        <v>0</v>
      </c>
      <c r="I111" s="477"/>
      <c r="J111" s="477">
        <f t="shared" si="39"/>
        <v>0</v>
      </c>
      <c r="K111" s="1063"/>
      <c r="L111" s="1063"/>
      <c r="M111" s="1208"/>
      <c r="N111" s="1208"/>
      <c r="O111" s="477">
        <f t="shared" si="40"/>
        <v>0</v>
      </c>
      <c r="P111" s="1063"/>
      <c r="Q111" s="1063"/>
      <c r="R111" s="1063"/>
      <c r="S111" s="1063"/>
      <c r="T111" s="1063"/>
      <c r="U111" s="513"/>
    </row>
    <row r="112" spans="2:21" s="6" customFormat="1" ht="15">
      <c r="B112" s="342"/>
      <c r="C112" s="343" t="s">
        <v>765</v>
      </c>
      <c r="D112" s="404" t="s">
        <v>766</v>
      </c>
      <c r="E112" s="478">
        <f>SUM(E100:E111)</f>
        <v>53549.468549999998</v>
      </c>
      <c r="F112" s="478">
        <f>SUM(F100:F111)</f>
        <v>53549.468549999998</v>
      </c>
      <c r="G112" s="478">
        <f t="shared" ref="G112:O112" si="41">SUM(G100:G111)</f>
        <v>0</v>
      </c>
      <c r="H112" s="478">
        <f>SUM(H100:H111)</f>
        <v>52289.303570019722</v>
      </c>
      <c r="I112" s="478">
        <f t="shared" si="41"/>
        <v>52289.303570019722</v>
      </c>
      <c r="J112" s="478">
        <f t="shared" si="41"/>
        <v>0</v>
      </c>
      <c r="K112" s="1064">
        <f>N112</f>
        <v>54379.939708436446</v>
      </c>
      <c r="L112" s="1064">
        <f t="shared" ref="L112" si="42">SUM(L100:L111)</f>
        <v>56289.213933405626</v>
      </c>
      <c r="M112" s="1064">
        <v>52289.303570019722</v>
      </c>
      <c r="N112" s="1209">
        <f>SUMPRODUCT(L112:M112,'F2.2'!O99:P99)/SUM('F2.2'!O99:P99)</f>
        <v>54379.939708436446</v>
      </c>
      <c r="O112" s="478">
        <f t="shared" si="41"/>
        <v>0</v>
      </c>
      <c r="P112" s="1064">
        <v>54675.093210885832</v>
      </c>
      <c r="Q112" s="1064">
        <v>57408.847871430124</v>
      </c>
      <c r="R112" s="1064">
        <v>60279.290265001633</v>
      </c>
      <c r="S112" s="1064">
        <v>63293.254778251714</v>
      </c>
      <c r="T112" s="1064">
        <v>66457.9175171643</v>
      </c>
      <c r="U112" s="398">
        <f t="shared" ref="U112" si="43">SUM(U100:U111)</f>
        <v>0</v>
      </c>
    </row>
    <row r="113" spans="2:21" s="6" customFormat="1" ht="15.5">
      <c r="B113" s="344"/>
      <c r="C113" s="343"/>
      <c r="D113" s="404"/>
      <c r="E113" s="477"/>
      <c r="F113" s="477"/>
      <c r="G113" s="477"/>
      <c r="H113" s="477"/>
      <c r="I113" s="477"/>
      <c r="J113" s="477"/>
      <c r="K113" s="1063"/>
      <c r="L113" s="1063"/>
      <c r="M113" s="1063"/>
      <c r="N113" s="1063"/>
      <c r="O113" s="477"/>
      <c r="P113" s="1063"/>
      <c r="Q113" s="1063"/>
      <c r="R113" s="1063"/>
      <c r="S113" s="1063"/>
      <c r="T113" s="1063"/>
      <c r="U113" s="398"/>
    </row>
    <row r="114" spans="2:21" s="418" customFormat="1" ht="15">
      <c r="B114" s="476" t="s">
        <v>860</v>
      </c>
      <c r="C114" s="343" t="s">
        <v>858</v>
      </c>
      <c r="D114" s="461"/>
      <c r="E114" s="477"/>
      <c r="F114" s="477"/>
      <c r="G114" s="477"/>
      <c r="H114" s="477"/>
      <c r="I114" s="477"/>
      <c r="J114" s="477"/>
      <c r="K114" s="1063"/>
      <c r="L114" s="1063"/>
      <c r="M114" s="1063"/>
      <c r="N114" s="1063"/>
      <c r="O114" s="477"/>
      <c r="P114" s="1063"/>
      <c r="Q114" s="1063"/>
      <c r="R114" s="1063"/>
      <c r="S114" s="1063"/>
      <c r="T114" s="1063"/>
      <c r="U114" s="400"/>
    </row>
    <row r="115" spans="2:21" s="418" customFormat="1" ht="15.5">
      <c r="B115" s="476">
        <v>1</v>
      </c>
      <c r="C115" s="397" t="s">
        <v>757</v>
      </c>
      <c r="D115" s="512" t="s">
        <v>766</v>
      </c>
      <c r="E115" s="477">
        <f t="shared" ref="E115:E124" si="44">F115</f>
        <v>0</v>
      </c>
      <c r="F115" s="477">
        <v>0</v>
      </c>
      <c r="G115" s="477">
        <f t="shared" ref="G115:G124" si="45">F115-E115</f>
        <v>0</v>
      </c>
      <c r="H115" s="477">
        <f t="shared" ref="H115:H124" si="46">I115</f>
        <v>0</v>
      </c>
      <c r="I115" s="477">
        <v>0</v>
      </c>
      <c r="J115" s="477">
        <f t="shared" ref="J115:J124" si="47">I115-H115</f>
        <v>0</v>
      </c>
      <c r="K115" s="1063">
        <f t="shared" ref="K115:K124" si="48">N115</f>
        <v>0</v>
      </c>
      <c r="L115" s="1063">
        <v>0</v>
      </c>
      <c r="M115" s="1063"/>
      <c r="N115" s="1210">
        <f>IFERROR(SUMPRODUCT(L115:M115,'F2.2'!$O$101:$P$101)/SUM('F2.2'!$O$101:$P$101),0)</f>
        <v>0</v>
      </c>
      <c r="O115" s="477">
        <f t="shared" ref="O115:O124" si="49">N115-K115</f>
        <v>0</v>
      </c>
      <c r="P115" s="1063"/>
      <c r="Q115" s="1063"/>
      <c r="R115" s="1063"/>
      <c r="S115" s="1063"/>
      <c r="T115" s="1063"/>
      <c r="U115" s="400"/>
    </row>
    <row r="116" spans="2:21" s="418" customFormat="1" ht="15.5">
      <c r="B116" s="476">
        <f>+B115+1</f>
        <v>2</v>
      </c>
      <c r="C116" s="397" t="s">
        <v>758</v>
      </c>
      <c r="D116" s="512" t="s">
        <v>766</v>
      </c>
      <c r="E116" s="477">
        <f t="shared" si="44"/>
        <v>0</v>
      </c>
      <c r="F116" s="477">
        <v>0</v>
      </c>
      <c r="G116" s="477">
        <f t="shared" si="45"/>
        <v>0</v>
      </c>
      <c r="H116" s="477">
        <f t="shared" si="46"/>
        <v>0</v>
      </c>
      <c r="I116" s="477">
        <v>0</v>
      </c>
      <c r="J116" s="477">
        <f t="shared" si="47"/>
        <v>0</v>
      </c>
      <c r="K116" s="1063">
        <f>N116</f>
        <v>0</v>
      </c>
      <c r="L116" s="1063">
        <v>0</v>
      </c>
      <c r="M116" s="1063"/>
      <c r="N116" s="1210">
        <f>IFERROR(SUMPRODUCT(L116:M116,'F2.2'!$O$101:$P$101)/SUM('F2.2'!$O$101:$P$101),0)</f>
        <v>0</v>
      </c>
      <c r="O116" s="477">
        <f t="shared" si="49"/>
        <v>0</v>
      </c>
      <c r="P116" s="1063"/>
      <c r="Q116" s="1063"/>
      <c r="R116" s="1063"/>
      <c r="S116" s="1063"/>
      <c r="T116" s="1063"/>
      <c r="U116" s="400"/>
    </row>
    <row r="117" spans="2:21" s="418" customFormat="1" ht="15.5">
      <c r="B117" s="476">
        <f t="shared" ref="B117:B124" si="50">+B116+1</f>
        <v>3</v>
      </c>
      <c r="C117" s="397" t="s">
        <v>228</v>
      </c>
      <c r="D117" s="512" t="s">
        <v>766</v>
      </c>
      <c r="E117" s="477">
        <f t="shared" si="44"/>
        <v>0</v>
      </c>
      <c r="F117" s="477">
        <v>0</v>
      </c>
      <c r="G117" s="477">
        <f t="shared" si="45"/>
        <v>0</v>
      </c>
      <c r="H117" s="477">
        <f t="shared" si="46"/>
        <v>0</v>
      </c>
      <c r="I117" s="477">
        <v>0</v>
      </c>
      <c r="J117" s="477">
        <f t="shared" si="47"/>
        <v>0</v>
      </c>
      <c r="K117" s="1063">
        <f t="shared" si="48"/>
        <v>0</v>
      </c>
      <c r="L117" s="1063">
        <v>0</v>
      </c>
      <c r="M117" s="1063"/>
      <c r="N117" s="1210">
        <f>IFERROR(SUMPRODUCT(L117:M117,'F2.2'!$O$101:$P$101)/SUM('F2.2'!$O$101:$P$101),0)</f>
        <v>0</v>
      </c>
      <c r="O117" s="477">
        <f t="shared" si="49"/>
        <v>0</v>
      </c>
      <c r="P117" s="1063"/>
      <c r="Q117" s="1063"/>
      <c r="R117" s="1063"/>
      <c r="S117" s="1063"/>
      <c r="T117" s="1063"/>
      <c r="U117" s="400"/>
    </row>
    <row r="118" spans="2:21" s="418" customFormat="1" ht="15.5">
      <c r="B118" s="476">
        <f t="shared" si="50"/>
        <v>4</v>
      </c>
      <c r="C118" s="397" t="s">
        <v>759</v>
      </c>
      <c r="D118" s="512" t="s">
        <v>766</v>
      </c>
      <c r="E118" s="477">
        <f t="shared" si="44"/>
        <v>0</v>
      </c>
      <c r="F118" s="477">
        <v>0</v>
      </c>
      <c r="G118" s="477">
        <f t="shared" si="45"/>
        <v>0</v>
      </c>
      <c r="H118" s="477">
        <f t="shared" si="46"/>
        <v>0</v>
      </c>
      <c r="I118" s="477">
        <v>0</v>
      </c>
      <c r="J118" s="477">
        <f t="shared" si="47"/>
        <v>0</v>
      </c>
      <c r="K118" s="1063">
        <f t="shared" si="48"/>
        <v>0</v>
      </c>
      <c r="L118" s="1063">
        <v>0</v>
      </c>
      <c r="M118" s="1063"/>
      <c r="N118" s="1210">
        <f>IFERROR(SUMPRODUCT(L118:M118,'F2.2'!$O$101:$P$101)/SUM('F2.2'!$O$101:$P$101),0)</f>
        <v>0</v>
      </c>
      <c r="O118" s="477">
        <f t="shared" si="49"/>
        <v>0</v>
      </c>
      <c r="P118" s="1063"/>
      <c r="Q118" s="1063"/>
      <c r="R118" s="1063"/>
      <c r="S118" s="1063"/>
      <c r="T118" s="1063"/>
      <c r="U118" s="400"/>
    </row>
    <row r="119" spans="2:21" s="418" customFormat="1" ht="15.5">
      <c r="B119" s="476">
        <f t="shared" si="50"/>
        <v>5</v>
      </c>
      <c r="C119" s="397" t="s">
        <v>760</v>
      </c>
      <c r="D119" s="512" t="s">
        <v>766</v>
      </c>
      <c r="E119" s="477">
        <f t="shared" si="44"/>
        <v>0</v>
      </c>
      <c r="F119" s="477">
        <v>0</v>
      </c>
      <c r="G119" s="477">
        <f t="shared" si="45"/>
        <v>0</v>
      </c>
      <c r="H119" s="477">
        <f t="shared" si="46"/>
        <v>0</v>
      </c>
      <c r="I119" s="477">
        <v>0</v>
      </c>
      <c r="J119" s="477">
        <f t="shared" si="47"/>
        <v>0</v>
      </c>
      <c r="K119" s="1063">
        <f t="shared" si="48"/>
        <v>0</v>
      </c>
      <c r="L119" s="1063">
        <v>0</v>
      </c>
      <c r="M119" s="1063"/>
      <c r="N119" s="1210">
        <f>IFERROR(SUMPRODUCT(L119:M119,'F2.2'!$O$101:$P$101)/SUM('F2.2'!$O$101:$P$101),0)</f>
        <v>0</v>
      </c>
      <c r="O119" s="477">
        <f t="shared" si="49"/>
        <v>0</v>
      </c>
      <c r="P119" s="1063"/>
      <c r="Q119" s="1063"/>
      <c r="R119" s="1063"/>
      <c r="S119" s="1063"/>
      <c r="T119" s="1063"/>
      <c r="U119" s="400"/>
    </row>
    <row r="120" spans="2:21" s="418" customFormat="1" ht="15.5">
      <c r="B120" s="476">
        <f t="shared" si="50"/>
        <v>6</v>
      </c>
      <c r="C120" s="397" t="s">
        <v>751</v>
      </c>
      <c r="D120" s="512" t="s">
        <v>766</v>
      </c>
      <c r="E120" s="477">
        <f t="shared" si="44"/>
        <v>0</v>
      </c>
      <c r="F120" s="477">
        <v>0</v>
      </c>
      <c r="G120" s="477">
        <f t="shared" si="45"/>
        <v>0</v>
      </c>
      <c r="H120" s="477">
        <f t="shared" si="46"/>
        <v>0</v>
      </c>
      <c r="I120" s="477">
        <v>0</v>
      </c>
      <c r="J120" s="477">
        <f t="shared" si="47"/>
        <v>0</v>
      </c>
      <c r="K120" s="1063">
        <f t="shared" si="48"/>
        <v>0</v>
      </c>
      <c r="L120" s="1063">
        <v>0</v>
      </c>
      <c r="M120" s="1063"/>
      <c r="N120" s="1210">
        <f>IFERROR(SUMPRODUCT(L120:M120,'F2.2'!$O$101:$P$101)/SUM('F2.2'!$O$101:$P$101),0)</f>
        <v>0</v>
      </c>
      <c r="O120" s="477">
        <f t="shared" si="49"/>
        <v>0</v>
      </c>
      <c r="P120" s="1063"/>
      <c r="Q120" s="1063"/>
      <c r="R120" s="1063"/>
      <c r="S120" s="1063"/>
      <c r="T120" s="1063"/>
      <c r="U120" s="400"/>
    </row>
    <row r="121" spans="2:21" s="418" customFormat="1" ht="15.5">
      <c r="B121" s="476">
        <f t="shared" si="50"/>
        <v>7</v>
      </c>
      <c r="C121" s="397" t="s">
        <v>752</v>
      </c>
      <c r="D121" s="512" t="s">
        <v>766</v>
      </c>
      <c r="E121" s="477">
        <f t="shared" si="44"/>
        <v>0</v>
      </c>
      <c r="F121" s="477">
        <v>0</v>
      </c>
      <c r="G121" s="477">
        <f t="shared" si="45"/>
        <v>0</v>
      </c>
      <c r="H121" s="477">
        <f t="shared" si="46"/>
        <v>0</v>
      </c>
      <c r="I121" s="477">
        <v>0</v>
      </c>
      <c r="J121" s="477">
        <f t="shared" si="47"/>
        <v>0</v>
      </c>
      <c r="K121" s="1063">
        <f t="shared" si="48"/>
        <v>0</v>
      </c>
      <c r="L121" s="1063">
        <v>0</v>
      </c>
      <c r="M121" s="1063"/>
      <c r="N121" s="1210">
        <f>IFERROR(SUMPRODUCT(L121:M121,'F2.2'!$O$101:$P$101)/SUM('F2.2'!$O$101:$P$101),0)</f>
        <v>0</v>
      </c>
      <c r="O121" s="477">
        <f t="shared" si="49"/>
        <v>0</v>
      </c>
      <c r="P121" s="1063"/>
      <c r="Q121" s="1063"/>
      <c r="R121" s="1063"/>
      <c r="S121" s="1063"/>
      <c r="T121" s="1063"/>
      <c r="U121" s="400"/>
    </row>
    <row r="122" spans="2:21" s="418" customFormat="1" ht="15.5">
      <c r="B122" s="476">
        <f t="shared" si="50"/>
        <v>8</v>
      </c>
      <c r="C122" s="397" t="s">
        <v>753</v>
      </c>
      <c r="D122" s="512" t="s">
        <v>766</v>
      </c>
      <c r="E122" s="477">
        <f t="shared" si="44"/>
        <v>0</v>
      </c>
      <c r="F122" s="477">
        <v>0</v>
      </c>
      <c r="G122" s="477">
        <f t="shared" si="45"/>
        <v>0</v>
      </c>
      <c r="H122" s="477">
        <f t="shared" si="46"/>
        <v>0</v>
      </c>
      <c r="I122" s="477">
        <v>0</v>
      </c>
      <c r="J122" s="477">
        <f t="shared" si="47"/>
        <v>0</v>
      </c>
      <c r="K122" s="1063">
        <f t="shared" si="48"/>
        <v>0</v>
      </c>
      <c r="L122" s="1063">
        <v>0</v>
      </c>
      <c r="M122" s="1063"/>
      <c r="N122" s="1210">
        <f>IFERROR(SUMPRODUCT(L122:M122,'F2.2'!$O$101:$P$101)/SUM('F2.2'!$O$101:$P$101),0)</f>
        <v>0</v>
      </c>
      <c r="O122" s="477">
        <f t="shared" si="49"/>
        <v>0</v>
      </c>
      <c r="P122" s="1063"/>
      <c r="Q122" s="1063"/>
      <c r="R122" s="1063"/>
      <c r="S122" s="1063"/>
      <c r="T122" s="1063"/>
      <c r="U122" s="400"/>
    </row>
    <row r="123" spans="2:21" s="418" customFormat="1" ht="15.5">
      <c r="B123" s="476">
        <f t="shared" si="50"/>
        <v>9</v>
      </c>
      <c r="C123" s="397" t="s">
        <v>210</v>
      </c>
      <c r="D123" s="512" t="s">
        <v>766</v>
      </c>
      <c r="E123" s="477">
        <f t="shared" si="44"/>
        <v>0</v>
      </c>
      <c r="F123" s="477">
        <v>0</v>
      </c>
      <c r="G123" s="477">
        <f t="shared" si="45"/>
        <v>0</v>
      </c>
      <c r="H123" s="477">
        <f t="shared" si="46"/>
        <v>0</v>
      </c>
      <c r="I123" s="477">
        <v>0</v>
      </c>
      <c r="J123" s="477">
        <f t="shared" si="47"/>
        <v>0</v>
      </c>
      <c r="K123" s="1063">
        <f t="shared" si="48"/>
        <v>0</v>
      </c>
      <c r="L123" s="1063">
        <v>0</v>
      </c>
      <c r="M123" s="1063"/>
      <c r="N123" s="1210">
        <f>IFERROR(SUMPRODUCT(L123:M123,'F2.2'!$O$101:$P$101)/SUM('F2.2'!$O$101:$P$101),0)</f>
        <v>0</v>
      </c>
      <c r="O123" s="477">
        <f t="shared" si="49"/>
        <v>0</v>
      </c>
      <c r="P123" s="1063"/>
      <c r="Q123" s="1063"/>
      <c r="R123" s="1063"/>
      <c r="S123" s="1063"/>
      <c r="T123" s="1063"/>
      <c r="U123" s="400"/>
    </row>
    <row r="124" spans="2:21" s="418" customFormat="1" ht="15.5">
      <c r="B124" s="476">
        <f t="shared" si="50"/>
        <v>10</v>
      </c>
      <c r="C124" s="397" t="s">
        <v>210</v>
      </c>
      <c r="D124" s="512" t="s">
        <v>766</v>
      </c>
      <c r="E124" s="477">
        <f t="shared" si="44"/>
        <v>0</v>
      </c>
      <c r="F124" s="477">
        <v>0</v>
      </c>
      <c r="G124" s="477">
        <f t="shared" si="45"/>
        <v>0</v>
      </c>
      <c r="H124" s="477">
        <f t="shared" si="46"/>
        <v>0</v>
      </c>
      <c r="I124" s="477">
        <v>0</v>
      </c>
      <c r="J124" s="477">
        <f t="shared" si="47"/>
        <v>0</v>
      </c>
      <c r="K124" s="1063">
        <f t="shared" si="48"/>
        <v>0</v>
      </c>
      <c r="L124" s="1063">
        <v>0</v>
      </c>
      <c r="M124" s="1063"/>
      <c r="N124" s="1210">
        <f>IFERROR(SUMPRODUCT(L124:M124,'F2.2'!$O$101:$P$101)/SUM('F2.2'!$O$101:$P$101),0)</f>
        <v>0</v>
      </c>
      <c r="O124" s="477">
        <f t="shared" si="49"/>
        <v>0</v>
      </c>
      <c r="P124" s="1063"/>
      <c r="Q124" s="1063"/>
      <c r="R124" s="1063"/>
      <c r="S124" s="1063"/>
      <c r="T124" s="1063"/>
      <c r="U124" s="400"/>
    </row>
    <row r="125" spans="2:21" s="418" customFormat="1" ht="15">
      <c r="B125" s="476"/>
      <c r="C125" s="343" t="s">
        <v>859</v>
      </c>
      <c r="D125" s="461" t="s">
        <v>766</v>
      </c>
      <c r="E125" s="478">
        <f>SUM(E115:E124)</f>
        <v>0</v>
      </c>
      <c r="F125" s="478">
        <f>SUM(F115:F124)</f>
        <v>0</v>
      </c>
      <c r="G125" s="478">
        <f t="shared" ref="G125:O125" si="51">SUM(G115:G124)</f>
        <v>0</v>
      </c>
      <c r="H125" s="478">
        <f>SUM(H115:H124)</f>
        <v>0</v>
      </c>
      <c r="I125" s="478">
        <f>SUM(I115:I124)</f>
        <v>0</v>
      </c>
      <c r="J125" s="478">
        <f t="shared" si="51"/>
        <v>0</v>
      </c>
      <c r="K125" s="1064">
        <f t="shared" si="51"/>
        <v>0</v>
      </c>
      <c r="L125" s="1064">
        <f t="shared" si="51"/>
        <v>0</v>
      </c>
      <c r="M125" s="1064">
        <v>0</v>
      </c>
      <c r="N125" s="1211">
        <f t="shared" si="51"/>
        <v>0</v>
      </c>
      <c r="O125" s="478">
        <f t="shared" si="51"/>
        <v>0</v>
      </c>
      <c r="P125" s="1064">
        <v>0</v>
      </c>
      <c r="Q125" s="1064">
        <v>0</v>
      </c>
      <c r="R125" s="1064">
        <v>0</v>
      </c>
      <c r="S125" s="1064">
        <v>0</v>
      </c>
      <c r="T125" s="1064">
        <v>0</v>
      </c>
      <c r="U125" s="400"/>
    </row>
    <row r="126" spans="2:21" s="418" customFormat="1" ht="15">
      <c r="B126" s="476"/>
      <c r="C126" s="343"/>
      <c r="D126" s="461"/>
      <c r="E126" s="477"/>
      <c r="F126" s="477"/>
      <c r="G126" s="477"/>
      <c r="H126" s="477"/>
      <c r="I126" s="477"/>
      <c r="J126" s="477"/>
      <c r="K126" s="1063"/>
      <c r="L126" s="1063"/>
      <c r="M126" s="1063"/>
      <c r="N126" s="1063"/>
      <c r="O126" s="477"/>
      <c r="P126" s="1063"/>
      <c r="Q126" s="1063"/>
      <c r="R126" s="1063"/>
      <c r="S126" s="1063"/>
      <c r="T126" s="1063"/>
      <c r="U126" s="400"/>
    </row>
    <row r="127" spans="2:21" s="418" customFormat="1" ht="15">
      <c r="B127" s="476" t="s">
        <v>861</v>
      </c>
      <c r="C127" s="343" t="s">
        <v>855</v>
      </c>
      <c r="D127" s="461"/>
      <c r="E127" s="477"/>
      <c r="F127" s="477"/>
      <c r="G127" s="477"/>
      <c r="H127" s="477"/>
      <c r="I127" s="477"/>
      <c r="J127" s="477"/>
      <c r="K127" s="1063"/>
      <c r="L127" s="1063"/>
      <c r="M127" s="1063"/>
      <c r="N127" s="1063"/>
      <c r="O127" s="477"/>
      <c r="P127" s="1063"/>
      <c r="Q127" s="1063"/>
      <c r="R127" s="1063"/>
      <c r="S127" s="1063"/>
      <c r="T127" s="1063"/>
      <c r="U127" s="400"/>
    </row>
    <row r="128" spans="2:21" s="418" customFormat="1" ht="15">
      <c r="B128" s="476">
        <v>1</v>
      </c>
      <c r="C128" s="343" t="s">
        <v>757</v>
      </c>
      <c r="D128" s="461" t="s">
        <v>766</v>
      </c>
      <c r="E128" s="477">
        <f t="shared" ref="E128:E137" si="52">F128</f>
        <v>0</v>
      </c>
      <c r="F128" s="477">
        <v>0</v>
      </c>
      <c r="G128" s="477">
        <f t="shared" ref="G128:G137" si="53">F128-E128</f>
        <v>0</v>
      </c>
      <c r="H128" s="477">
        <f t="shared" ref="H128:H137" si="54">I128</f>
        <v>0</v>
      </c>
      <c r="I128" s="477">
        <v>0</v>
      </c>
      <c r="J128" s="477">
        <f t="shared" ref="J128:J137" si="55">I128-H128</f>
        <v>0</v>
      </c>
      <c r="K128" s="1063">
        <f>N128</f>
        <v>0</v>
      </c>
      <c r="L128" s="1063">
        <v>0</v>
      </c>
      <c r="M128" s="1063"/>
      <c r="N128" s="1210">
        <f>IFERROR(SUMPRODUCT(L128:M128,'F2.2'!$O$102:$P$102)/SUM('F2.2'!$O$102:$P$102),0)</f>
        <v>0</v>
      </c>
      <c r="O128" s="477">
        <f t="shared" ref="O128:O137" si="56">N128-K128</f>
        <v>0</v>
      </c>
      <c r="P128" s="1063"/>
      <c r="Q128" s="1063"/>
      <c r="R128" s="1063"/>
      <c r="S128" s="1063"/>
      <c r="T128" s="1063"/>
      <c r="U128" s="400"/>
    </row>
    <row r="129" spans="2:21" s="418" customFormat="1" ht="15">
      <c r="B129" s="476">
        <f>1+B128</f>
        <v>2</v>
      </c>
      <c r="C129" s="343" t="s">
        <v>758</v>
      </c>
      <c r="D129" s="461" t="s">
        <v>766</v>
      </c>
      <c r="E129" s="477">
        <f t="shared" si="52"/>
        <v>0</v>
      </c>
      <c r="F129" s="477">
        <v>0</v>
      </c>
      <c r="G129" s="477">
        <f t="shared" si="53"/>
        <v>0</v>
      </c>
      <c r="H129" s="477">
        <f t="shared" si="54"/>
        <v>0</v>
      </c>
      <c r="I129" s="477">
        <v>0</v>
      </c>
      <c r="J129" s="477">
        <f t="shared" si="55"/>
        <v>0</v>
      </c>
      <c r="K129" s="1063">
        <f t="shared" ref="K129:K137" si="57">N129</f>
        <v>0</v>
      </c>
      <c r="L129" s="1063">
        <v>0</v>
      </c>
      <c r="M129" s="1063"/>
      <c r="N129" s="1210">
        <f>IFERROR(SUMPRODUCT(L129:M129,'F2.2'!$O$102:$P$102)/SUM('F2.2'!$O$102:$P$102),0)</f>
        <v>0</v>
      </c>
      <c r="O129" s="477">
        <f t="shared" si="56"/>
        <v>0</v>
      </c>
      <c r="P129" s="1063"/>
      <c r="Q129" s="1063"/>
      <c r="R129" s="1063"/>
      <c r="S129" s="1063"/>
      <c r="T129" s="1063"/>
      <c r="U129" s="400"/>
    </row>
    <row r="130" spans="2:21" s="418" customFormat="1" ht="15">
      <c r="B130" s="476">
        <f t="shared" ref="B130:B137" si="58">1+B129</f>
        <v>3</v>
      </c>
      <c r="C130" s="343" t="s">
        <v>228</v>
      </c>
      <c r="D130" s="461" t="s">
        <v>766</v>
      </c>
      <c r="E130" s="477">
        <f t="shared" si="52"/>
        <v>0</v>
      </c>
      <c r="F130" s="477">
        <v>0</v>
      </c>
      <c r="G130" s="477">
        <f t="shared" si="53"/>
        <v>0</v>
      </c>
      <c r="H130" s="477">
        <f t="shared" si="54"/>
        <v>0</v>
      </c>
      <c r="I130" s="477">
        <v>0</v>
      </c>
      <c r="J130" s="477">
        <f t="shared" si="55"/>
        <v>0</v>
      </c>
      <c r="K130" s="1063">
        <f t="shared" si="57"/>
        <v>0</v>
      </c>
      <c r="L130" s="1063">
        <v>0</v>
      </c>
      <c r="M130" s="1063"/>
      <c r="N130" s="1210">
        <f>IFERROR(SUMPRODUCT(L130:M130,'F2.2'!$O$102:$P$102)/SUM('F2.2'!$O$102:$P$102),0)</f>
        <v>0</v>
      </c>
      <c r="O130" s="477">
        <f t="shared" si="56"/>
        <v>0</v>
      </c>
      <c r="P130" s="1063"/>
      <c r="Q130" s="1063"/>
      <c r="R130" s="1063"/>
      <c r="S130" s="1063"/>
      <c r="T130" s="1063"/>
      <c r="U130" s="400"/>
    </row>
    <row r="131" spans="2:21" s="418" customFormat="1" ht="15">
      <c r="B131" s="476">
        <f t="shared" si="58"/>
        <v>4</v>
      </c>
      <c r="C131" s="343" t="s">
        <v>759</v>
      </c>
      <c r="D131" s="461" t="s">
        <v>766</v>
      </c>
      <c r="E131" s="477">
        <f t="shared" si="52"/>
        <v>0</v>
      </c>
      <c r="F131" s="477">
        <v>0</v>
      </c>
      <c r="G131" s="477">
        <f t="shared" si="53"/>
        <v>0</v>
      </c>
      <c r="H131" s="477">
        <f t="shared" si="54"/>
        <v>0</v>
      </c>
      <c r="I131" s="477">
        <v>0</v>
      </c>
      <c r="J131" s="477">
        <f t="shared" si="55"/>
        <v>0</v>
      </c>
      <c r="K131" s="1063">
        <f t="shared" si="57"/>
        <v>0</v>
      </c>
      <c r="L131" s="1063">
        <v>0</v>
      </c>
      <c r="M131" s="1063"/>
      <c r="N131" s="1210">
        <f>IFERROR(SUMPRODUCT(L131:M131,'F2.2'!$O$102:$P$102)/SUM('F2.2'!$O$102:$P$102),0)</f>
        <v>0</v>
      </c>
      <c r="O131" s="477">
        <f t="shared" si="56"/>
        <v>0</v>
      </c>
      <c r="P131" s="1063"/>
      <c r="Q131" s="1063"/>
      <c r="R131" s="1063"/>
      <c r="S131" s="1063"/>
      <c r="T131" s="1063"/>
      <c r="U131" s="400"/>
    </row>
    <row r="132" spans="2:21" s="418" customFormat="1" ht="15">
      <c r="B132" s="476">
        <f t="shared" si="58"/>
        <v>5</v>
      </c>
      <c r="C132" s="343" t="s">
        <v>790</v>
      </c>
      <c r="D132" s="461" t="s">
        <v>766</v>
      </c>
      <c r="E132" s="477">
        <f t="shared" si="52"/>
        <v>0</v>
      </c>
      <c r="F132" s="477">
        <v>0</v>
      </c>
      <c r="G132" s="477">
        <f t="shared" si="53"/>
        <v>0</v>
      </c>
      <c r="H132" s="477">
        <f t="shared" si="54"/>
        <v>0</v>
      </c>
      <c r="I132" s="477">
        <v>0</v>
      </c>
      <c r="J132" s="477">
        <f t="shared" si="55"/>
        <v>0</v>
      </c>
      <c r="K132" s="1063">
        <f t="shared" si="57"/>
        <v>0</v>
      </c>
      <c r="L132" s="1063">
        <v>0</v>
      </c>
      <c r="M132" s="1063"/>
      <c r="N132" s="1210">
        <f>IFERROR(SUMPRODUCT(L132:M132,'F2.2'!$O$102:$P$102)/SUM('F2.2'!$O$102:$P$102),0)</f>
        <v>0</v>
      </c>
      <c r="O132" s="477">
        <f t="shared" si="56"/>
        <v>0</v>
      </c>
      <c r="P132" s="1063"/>
      <c r="Q132" s="1063"/>
      <c r="R132" s="1063"/>
      <c r="S132" s="1063"/>
      <c r="T132" s="1063"/>
      <c r="U132" s="400"/>
    </row>
    <row r="133" spans="2:21" s="418" customFormat="1" ht="15">
      <c r="B133" s="476">
        <f t="shared" si="58"/>
        <v>6</v>
      </c>
      <c r="C133" s="343" t="s">
        <v>751</v>
      </c>
      <c r="D133" s="461" t="s">
        <v>766</v>
      </c>
      <c r="E133" s="477">
        <f t="shared" si="52"/>
        <v>0</v>
      </c>
      <c r="F133" s="477">
        <v>0</v>
      </c>
      <c r="G133" s="477">
        <f t="shared" si="53"/>
        <v>0</v>
      </c>
      <c r="H133" s="477">
        <f t="shared" si="54"/>
        <v>0</v>
      </c>
      <c r="I133" s="477">
        <v>0</v>
      </c>
      <c r="J133" s="477">
        <f t="shared" si="55"/>
        <v>0</v>
      </c>
      <c r="K133" s="1063">
        <f t="shared" si="57"/>
        <v>0</v>
      </c>
      <c r="L133" s="1063">
        <v>0</v>
      </c>
      <c r="M133" s="1063"/>
      <c r="N133" s="1210">
        <f>IFERROR(SUMPRODUCT(L133:M133,'F2.2'!$O$102:$P$102)/SUM('F2.2'!$O$102:$P$102),0)</f>
        <v>0</v>
      </c>
      <c r="O133" s="477">
        <f t="shared" si="56"/>
        <v>0</v>
      </c>
      <c r="P133" s="1063"/>
      <c r="Q133" s="1063"/>
      <c r="R133" s="1063"/>
      <c r="S133" s="1063"/>
      <c r="T133" s="1063"/>
      <c r="U133" s="400"/>
    </row>
    <row r="134" spans="2:21" s="418" customFormat="1" ht="15">
      <c r="B134" s="476">
        <f t="shared" si="58"/>
        <v>7</v>
      </c>
      <c r="C134" s="343" t="s">
        <v>752</v>
      </c>
      <c r="D134" s="461" t="s">
        <v>766</v>
      </c>
      <c r="E134" s="477">
        <f t="shared" si="52"/>
        <v>0</v>
      </c>
      <c r="F134" s="477">
        <v>0</v>
      </c>
      <c r="G134" s="477">
        <f t="shared" si="53"/>
        <v>0</v>
      </c>
      <c r="H134" s="477">
        <f t="shared" si="54"/>
        <v>0</v>
      </c>
      <c r="I134" s="477">
        <v>0</v>
      </c>
      <c r="J134" s="477">
        <f t="shared" si="55"/>
        <v>0</v>
      </c>
      <c r="K134" s="1063">
        <f t="shared" si="57"/>
        <v>0</v>
      </c>
      <c r="L134" s="1063">
        <v>0</v>
      </c>
      <c r="M134" s="1063"/>
      <c r="N134" s="1210">
        <f>IFERROR(SUMPRODUCT(L134:M134,'F2.2'!$O$102:$P$102)/SUM('F2.2'!$O$102:$P$102),0)</f>
        <v>0</v>
      </c>
      <c r="O134" s="477">
        <f t="shared" si="56"/>
        <v>0</v>
      </c>
      <c r="P134" s="1063"/>
      <c r="Q134" s="1063"/>
      <c r="R134" s="1063"/>
      <c r="S134" s="1063"/>
      <c r="T134" s="1063"/>
      <c r="U134" s="400"/>
    </row>
    <row r="135" spans="2:21" s="418" customFormat="1" ht="15">
      <c r="B135" s="476">
        <f t="shared" si="58"/>
        <v>8</v>
      </c>
      <c r="C135" s="343" t="s">
        <v>753</v>
      </c>
      <c r="D135" s="461" t="s">
        <v>766</v>
      </c>
      <c r="E135" s="477">
        <f t="shared" si="52"/>
        <v>0</v>
      </c>
      <c r="F135" s="477">
        <v>0</v>
      </c>
      <c r="G135" s="477">
        <f t="shared" si="53"/>
        <v>0</v>
      </c>
      <c r="H135" s="477">
        <f t="shared" si="54"/>
        <v>0</v>
      </c>
      <c r="I135" s="477">
        <v>0</v>
      </c>
      <c r="J135" s="477">
        <f t="shared" si="55"/>
        <v>0</v>
      </c>
      <c r="K135" s="1063">
        <f t="shared" si="57"/>
        <v>0</v>
      </c>
      <c r="L135" s="1063">
        <v>0</v>
      </c>
      <c r="M135" s="1063"/>
      <c r="N135" s="1210">
        <f>IFERROR(SUMPRODUCT(L135:M135,'F2.2'!$O$102:$P$102)/SUM('F2.2'!$O$102:$P$102),0)</f>
        <v>0</v>
      </c>
      <c r="O135" s="477">
        <f t="shared" si="56"/>
        <v>0</v>
      </c>
      <c r="P135" s="1063"/>
      <c r="Q135" s="1063"/>
      <c r="R135" s="1063"/>
      <c r="S135" s="1063"/>
      <c r="T135" s="1063"/>
      <c r="U135" s="400"/>
    </row>
    <row r="136" spans="2:21" s="418" customFormat="1" ht="15">
      <c r="B136" s="476">
        <f t="shared" si="58"/>
        <v>9</v>
      </c>
      <c r="C136" s="343" t="s">
        <v>856</v>
      </c>
      <c r="D136" s="461" t="s">
        <v>766</v>
      </c>
      <c r="E136" s="477">
        <f t="shared" si="52"/>
        <v>0</v>
      </c>
      <c r="F136" s="477">
        <v>0</v>
      </c>
      <c r="G136" s="477">
        <f t="shared" si="53"/>
        <v>0</v>
      </c>
      <c r="H136" s="477">
        <f t="shared" si="54"/>
        <v>0</v>
      </c>
      <c r="I136" s="477">
        <v>0</v>
      </c>
      <c r="J136" s="477">
        <f t="shared" si="55"/>
        <v>0</v>
      </c>
      <c r="K136" s="1063">
        <f t="shared" si="57"/>
        <v>0</v>
      </c>
      <c r="L136" s="1063">
        <v>0</v>
      </c>
      <c r="M136" s="1063"/>
      <c r="N136" s="1210">
        <f>IFERROR(SUMPRODUCT(L136:M136,'F2.2'!$O$102:$P$102)/SUM('F2.2'!$O$102:$P$102),0)</f>
        <v>0</v>
      </c>
      <c r="O136" s="477">
        <f t="shared" si="56"/>
        <v>0</v>
      </c>
      <c r="P136" s="1063"/>
      <c r="Q136" s="1063"/>
      <c r="R136" s="1063"/>
      <c r="S136" s="1063"/>
      <c r="T136" s="1063"/>
      <c r="U136" s="400"/>
    </row>
    <row r="137" spans="2:21" s="418" customFormat="1" ht="15">
      <c r="B137" s="476">
        <f t="shared" si="58"/>
        <v>10</v>
      </c>
      <c r="C137" s="343" t="s">
        <v>210</v>
      </c>
      <c r="D137" s="461" t="s">
        <v>766</v>
      </c>
      <c r="E137" s="477">
        <f t="shared" si="52"/>
        <v>0</v>
      </c>
      <c r="F137" s="477">
        <v>0</v>
      </c>
      <c r="G137" s="477">
        <f t="shared" si="53"/>
        <v>0</v>
      </c>
      <c r="H137" s="477">
        <f t="shared" si="54"/>
        <v>0</v>
      </c>
      <c r="I137" s="477">
        <v>0</v>
      </c>
      <c r="J137" s="477">
        <f t="shared" si="55"/>
        <v>0</v>
      </c>
      <c r="K137" s="1063">
        <f t="shared" si="57"/>
        <v>0</v>
      </c>
      <c r="L137" s="1063">
        <v>0</v>
      </c>
      <c r="M137" s="1063"/>
      <c r="N137" s="1210">
        <f>IFERROR(SUMPRODUCT(L137:M137,'F2.2'!$O$102:$P$102)/SUM('F2.2'!$O$102:$P$102),0)</f>
        <v>0</v>
      </c>
      <c r="O137" s="477">
        <f t="shared" si="56"/>
        <v>0</v>
      </c>
      <c r="P137" s="1063"/>
      <c r="Q137" s="1063"/>
      <c r="R137" s="1063"/>
      <c r="S137" s="1063"/>
      <c r="T137" s="1063"/>
      <c r="U137" s="400"/>
    </row>
    <row r="138" spans="2:21" s="418" customFormat="1" ht="15">
      <c r="B138" s="476"/>
      <c r="C138" s="343" t="s">
        <v>857</v>
      </c>
      <c r="D138" s="461" t="s">
        <v>766</v>
      </c>
      <c r="E138" s="477">
        <f>SUM(E128:E137)</f>
        <v>0</v>
      </c>
      <c r="F138" s="477">
        <f>SUM(F128:F137)</f>
        <v>0</v>
      </c>
      <c r="G138" s="477">
        <f t="shared" ref="G138" si="59">SUM(G128:G137)</f>
        <v>0</v>
      </c>
      <c r="H138" s="477">
        <f>SUM(H128:H137)</f>
        <v>0</v>
      </c>
      <c r="I138" s="477">
        <f>SUM(I128:I137)</f>
        <v>0</v>
      </c>
      <c r="J138" s="477">
        <f t="shared" ref="J138:L138" si="60">SUM(J128:J137)</f>
        <v>0</v>
      </c>
      <c r="K138" s="1063">
        <f t="shared" si="60"/>
        <v>0</v>
      </c>
      <c r="L138" s="1063">
        <f t="shared" si="60"/>
        <v>0</v>
      </c>
      <c r="M138" s="1063">
        <v>0</v>
      </c>
      <c r="N138" s="1063">
        <f t="shared" ref="N138" si="61">SUM(N128:N137)</f>
        <v>0</v>
      </c>
      <c r="O138" s="477">
        <f t="shared" ref="O138" si="62">SUM(O128:O137)</f>
        <v>0</v>
      </c>
      <c r="P138" s="1063">
        <v>0</v>
      </c>
      <c r="Q138" s="1063">
        <v>0</v>
      </c>
      <c r="R138" s="1063">
        <v>0</v>
      </c>
      <c r="S138" s="1063">
        <v>0</v>
      </c>
      <c r="T138" s="1063">
        <v>0</v>
      </c>
      <c r="U138" s="400"/>
    </row>
    <row r="139" spans="2:21" s="1" customFormat="1" ht="15.5">
      <c r="B139" s="405"/>
      <c r="C139" s="406"/>
      <c r="D139" s="406"/>
      <c r="E139" s="513"/>
      <c r="F139" s="513"/>
      <c r="G139" s="513"/>
      <c r="H139" s="513"/>
      <c r="I139" s="513"/>
      <c r="J139" s="513"/>
      <c r="K139" s="755"/>
      <c r="L139" s="755"/>
      <c r="M139" s="755"/>
      <c r="N139" s="401"/>
      <c r="O139" s="401"/>
      <c r="P139" s="401"/>
      <c r="Q139" s="401"/>
      <c r="R139" s="401"/>
      <c r="S139" s="401"/>
      <c r="T139" s="401"/>
      <c r="U139" s="390"/>
    </row>
    <row r="140" spans="2:21" s="2" customFormat="1">
      <c r="B140" s="149"/>
      <c r="C140" s="149"/>
      <c r="D140" s="341"/>
      <c r="E140" s="341"/>
      <c r="F140" s="341"/>
      <c r="G140" s="341"/>
      <c r="H140" s="341"/>
      <c r="I140" s="341"/>
      <c r="J140" s="341"/>
      <c r="K140" s="119"/>
      <c r="L140" s="119"/>
      <c r="M140" s="119"/>
      <c r="N140" s="4"/>
      <c r="O140" s="4"/>
      <c r="P140" s="4"/>
      <c r="Q140" s="4"/>
      <c r="R140" s="4"/>
      <c r="S140" s="4"/>
      <c r="T140" s="4"/>
      <c r="U140" s="4"/>
    </row>
    <row r="141" spans="2:21" s="2" customFormat="1" ht="18" customHeight="1">
      <c r="B141" s="42"/>
      <c r="C141" s="763"/>
      <c r="D141" s="763"/>
      <c r="E141" s="763"/>
      <c r="F141" s="763"/>
      <c r="G141" s="763"/>
      <c r="H141" s="763"/>
      <c r="I141" s="763"/>
      <c r="J141" s="763"/>
    </row>
    <row r="142" spans="2:21">
      <c r="B142" s="7"/>
      <c r="C142" s="7"/>
      <c r="D142" s="7"/>
      <c r="E142" s="7"/>
      <c r="F142" s="7"/>
      <c r="G142" s="7"/>
      <c r="H142" s="7"/>
      <c r="I142" s="7"/>
      <c r="J142" s="7"/>
      <c r="K142" s="7"/>
      <c r="L142" s="7"/>
      <c r="M142" s="7"/>
      <c r="N142" s="7"/>
      <c r="O142" s="7"/>
      <c r="P142" s="1"/>
      <c r="Q142" s="1"/>
      <c r="R142" s="1"/>
      <c r="S142" s="1"/>
      <c r="T142" s="1"/>
      <c r="U142" s="1"/>
    </row>
    <row r="143" spans="2:21">
      <c r="B143" s="7"/>
      <c r="C143" s="7"/>
      <c r="D143" s="7"/>
      <c r="E143" s="7"/>
      <c r="F143" s="7"/>
      <c r="G143" s="7"/>
      <c r="H143" s="7"/>
      <c r="I143" s="7"/>
      <c r="J143" s="7"/>
      <c r="K143" s="48"/>
      <c r="L143" s="11"/>
      <c r="M143" s="11"/>
      <c r="N143" s="7"/>
      <c r="O143" s="7"/>
      <c r="P143" s="1"/>
      <c r="Q143" s="1"/>
      <c r="R143" s="1"/>
      <c r="S143" s="1"/>
      <c r="T143" s="1"/>
      <c r="U143" s="1"/>
    </row>
    <row r="144" spans="2:21">
      <c r="B144" s="7"/>
      <c r="C144" s="7"/>
      <c r="D144" s="7"/>
      <c r="E144" s="7"/>
      <c r="F144" s="7"/>
      <c r="G144" s="7"/>
      <c r="H144" s="7"/>
      <c r="I144" s="7"/>
      <c r="J144" s="7"/>
      <c r="K144" s="55"/>
      <c r="L144" s="55"/>
      <c r="M144" s="55"/>
      <c r="N144" s="7"/>
      <c r="O144" s="7"/>
      <c r="P144" s="1"/>
      <c r="Q144" s="1"/>
      <c r="R144" s="1"/>
      <c r="S144" s="1"/>
      <c r="T144" s="1"/>
      <c r="U144" s="1"/>
    </row>
    <row r="145" spans="2:15">
      <c r="B145" s="7"/>
      <c r="C145" s="7"/>
      <c r="D145" s="7"/>
      <c r="E145" s="7"/>
      <c r="F145" s="7"/>
      <c r="G145" s="7"/>
      <c r="H145" s="7"/>
      <c r="I145" s="7"/>
      <c r="J145" s="7"/>
      <c r="K145" s="7"/>
      <c r="L145" s="7"/>
      <c r="M145" s="7"/>
      <c r="N145" s="7"/>
      <c r="O145" s="7"/>
    </row>
    <row r="146" spans="2:15">
      <c r="K146" s="7"/>
      <c r="L146" s="7"/>
      <c r="M146" s="7"/>
      <c r="N146" s="7"/>
      <c r="O146" s="7"/>
    </row>
    <row r="147" spans="2:15">
      <c r="K147" s="7"/>
      <c r="L147" s="7"/>
      <c r="M147" s="56"/>
      <c r="N147" s="7"/>
      <c r="O147" s="7"/>
    </row>
    <row r="148" spans="2:15">
      <c r="K148" s="7"/>
      <c r="L148" s="7"/>
      <c r="M148" s="7"/>
      <c r="N148" s="7"/>
      <c r="O148" s="7"/>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4" max="26" man="1"/>
  </rowBreaks>
  <colBreaks count="1" manualBreakCount="1">
    <brk id="1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87"/>
  <sheetViews>
    <sheetView showGridLines="0" topLeftCell="A49" zoomScale="53" zoomScaleNormal="75" workbookViewId="0">
      <selection activeCell="G79" sqref="G79:G80"/>
    </sheetView>
  </sheetViews>
  <sheetFormatPr defaultColWidth="9.36328125" defaultRowHeight="14"/>
  <cols>
    <col min="1" max="1" width="3.36328125" style="5" customWidth="1"/>
    <col min="2" max="2" width="8.36328125" style="90" customWidth="1"/>
    <col min="3" max="3" width="67.90625" style="5" customWidth="1"/>
    <col min="4" max="4" width="9.08984375" style="5" bestFit="1" customWidth="1"/>
    <col min="5" max="5" width="40.08984375" style="5" customWidth="1"/>
    <col min="6" max="6" width="38.90625" style="5" bestFit="1" customWidth="1"/>
    <col min="7" max="7" width="15.81640625" style="5" bestFit="1" customWidth="1"/>
    <col min="8" max="8" width="15.54296875" style="5" bestFit="1" customWidth="1"/>
    <col min="9" max="9" width="15.90625" style="5" bestFit="1" customWidth="1"/>
    <col min="10" max="10" width="15.08984375" style="5" bestFit="1" customWidth="1"/>
    <col min="11" max="11" width="12.6328125" style="5" bestFit="1" customWidth="1"/>
    <col min="12" max="12" width="14.54296875" style="5" bestFit="1" customWidth="1"/>
    <col min="13" max="13" width="13.90625" style="5" bestFit="1" customWidth="1"/>
    <col min="14" max="14" width="14.36328125" style="5" bestFit="1" customWidth="1"/>
    <col min="15" max="15" width="18.6328125" style="5" customWidth="1"/>
    <col min="16" max="16384" width="9.36328125" style="5"/>
  </cols>
  <sheetData>
    <row r="2" spans="2:15">
      <c r="B2" s="1682" t="str">
        <f>Index!B2</f>
        <v xml:space="preserve">      Maharashtra State Power Generation Company Ltd.</v>
      </c>
      <c r="C2" s="1682"/>
      <c r="D2" s="1682"/>
      <c r="E2" s="1682"/>
      <c r="F2" s="1682"/>
      <c r="G2" s="117"/>
      <c r="H2" s="117"/>
      <c r="I2" s="117"/>
      <c r="J2" s="117"/>
      <c r="K2" s="117"/>
      <c r="L2" s="117"/>
      <c r="M2" s="117"/>
      <c r="N2" s="117"/>
      <c r="O2" s="117"/>
    </row>
    <row r="3" spans="2:15">
      <c r="B3" s="1682" t="str">
        <f>Index!B3</f>
        <v>MYT Petition Formats for Bhusawal Units 4&amp;5</v>
      </c>
      <c r="C3" s="1682"/>
      <c r="D3" s="1682"/>
      <c r="E3" s="1682"/>
      <c r="F3" s="1682"/>
      <c r="G3" s="117"/>
      <c r="H3" s="117"/>
      <c r="I3" s="117"/>
      <c r="J3" s="117"/>
      <c r="K3" s="117"/>
      <c r="L3" s="117"/>
      <c r="M3" s="117"/>
      <c r="N3" s="117"/>
      <c r="O3" s="117"/>
    </row>
    <row r="4" spans="2:15">
      <c r="B4" s="1683" t="s">
        <v>385</v>
      </c>
      <c r="C4" s="1683"/>
      <c r="D4" s="1683"/>
      <c r="E4" s="1683"/>
      <c r="F4" s="1683"/>
      <c r="G4" s="117"/>
      <c r="H4" s="117"/>
      <c r="I4" s="117"/>
      <c r="J4" s="117"/>
      <c r="K4" s="117"/>
      <c r="L4" s="117"/>
      <c r="M4" s="117"/>
      <c r="N4" s="117"/>
      <c r="O4" s="117"/>
    </row>
    <row r="5" spans="2:15">
      <c r="B5" s="156"/>
      <c r="C5" s="7"/>
      <c r="D5" s="18"/>
      <c r="E5" s="18"/>
      <c r="F5" s="18"/>
      <c r="G5" s="18"/>
      <c r="H5" s="18"/>
      <c r="I5" s="18"/>
    </row>
    <row r="6" spans="2:15">
      <c r="B6" s="155" t="s">
        <v>993</v>
      </c>
      <c r="C6" s="7"/>
      <c r="D6" s="18"/>
      <c r="E6" s="18"/>
      <c r="F6" s="18"/>
      <c r="G6" s="18"/>
      <c r="H6" s="18"/>
      <c r="I6" s="18"/>
    </row>
    <row r="7" spans="2:15">
      <c r="B7" s="155"/>
      <c r="C7" s="17"/>
      <c r="D7" s="18"/>
      <c r="E7" s="18"/>
      <c r="F7" s="21" t="s">
        <v>10</v>
      </c>
      <c r="G7" s="21"/>
      <c r="H7" s="21"/>
      <c r="I7" s="18"/>
    </row>
    <row r="8" spans="2:15" s="35" customFormat="1">
      <c r="B8" s="1723" t="s">
        <v>341</v>
      </c>
      <c r="C8" s="1725" t="s">
        <v>37</v>
      </c>
      <c r="D8" s="1725" t="s">
        <v>145</v>
      </c>
      <c r="E8" s="1678" t="s">
        <v>509</v>
      </c>
      <c r="F8" s="1680"/>
      <c r="G8" s="1678" t="s">
        <v>510</v>
      </c>
      <c r="H8" s="1680"/>
      <c r="I8" s="1678" t="s">
        <v>511</v>
      </c>
      <c r="J8" s="1680"/>
      <c r="K8" s="57"/>
      <c r="L8" s="57"/>
      <c r="M8" s="57"/>
    </row>
    <row r="9" spans="2:15" s="35" customFormat="1" ht="33.65" customHeight="1">
      <c r="B9" s="1724"/>
      <c r="C9" s="1726"/>
      <c r="D9" s="1726"/>
      <c r="E9" s="628" t="s">
        <v>945</v>
      </c>
      <c r="F9" s="253" t="s">
        <v>782</v>
      </c>
      <c r="G9" s="692" t="s">
        <v>945</v>
      </c>
      <c r="H9" s="692" t="s">
        <v>782</v>
      </c>
      <c r="I9" s="692" t="s">
        <v>945</v>
      </c>
      <c r="J9" s="692" t="s">
        <v>782</v>
      </c>
      <c r="K9" s="57"/>
      <c r="L9" s="57"/>
      <c r="M9" s="57"/>
    </row>
    <row r="10" spans="2:15" s="423" customFormat="1">
      <c r="B10" s="422">
        <v>1</v>
      </c>
      <c r="C10" s="552" t="s">
        <v>454</v>
      </c>
      <c r="D10" s="463"/>
      <c r="E10" s="530">
        <f>'F2.2'!E12</f>
        <v>0.85</v>
      </c>
      <c r="F10" s="530">
        <f>'F2.2'!F12</f>
        <v>0.85</v>
      </c>
      <c r="G10" s="530">
        <f>'F2.2'!I12</f>
        <v>0.85</v>
      </c>
      <c r="H10" s="764">
        <f>'F2.2'!J12</f>
        <v>0.85</v>
      </c>
      <c r="I10" s="530">
        <f>'F2.2'!N12</f>
        <v>0.85</v>
      </c>
      <c r="J10" s="764">
        <f>'F2.2'!Q12</f>
        <v>0.85</v>
      </c>
      <c r="K10" s="57"/>
      <c r="L10" s="57"/>
      <c r="M10" s="57"/>
    </row>
    <row r="11" spans="2:15" s="423" customFormat="1">
      <c r="B11" s="422">
        <v>1.1000000000000001</v>
      </c>
      <c r="C11" s="556" t="s">
        <v>612</v>
      </c>
      <c r="D11" s="463"/>
      <c r="E11" s="498"/>
      <c r="F11" s="765"/>
      <c r="G11" s="498"/>
      <c r="H11" s="765"/>
      <c r="I11" s="498"/>
      <c r="J11" s="765"/>
      <c r="K11" s="57"/>
      <c r="L11" s="57"/>
      <c r="M11" s="57"/>
    </row>
    <row r="12" spans="2:15" s="6" customFormat="1">
      <c r="B12" s="422"/>
      <c r="C12" s="766" t="s">
        <v>613</v>
      </c>
      <c r="D12" s="463"/>
      <c r="E12" s="318"/>
      <c r="F12" s="318">
        <f>'F2.2'!F15</f>
        <v>0.81354000000000004</v>
      </c>
      <c r="G12" s="318"/>
      <c r="H12" s="318">
        <f>'F2.2'!J15</f>
        <v>0</v>
      </c>
      <c r="I12" s="318"/>
      <c r="J12" s="318">
        <f>'F2.2'!N15</f>
        <v>0</v>
      </c>
      <c r="K12" s="57"/>
    </row>
    <row r="13" spans="2:15" s="6" customFormat="1">
      <c r="B13" s="422"/>
      <c r="C13" s="766" t="s">
        <v>614</v>
      </c>
      <c r="D13" s="463"/>
      <c r="E13" s="318"/>
      <c r="F13" s="318">
        <f>'F2.2'!F16</f>
        <v>0.81367</v>
      </c>
      <c r="G13" s="318"/>
      <c r="H13" s="318">
        <f>'F2.2'!J16</f>
        <v>0</v>
      </c>
      <c r="I13" s="318"/>
      <c r="J13" s="318">
        <f>'F2.2'!N16</f>
        <v>0</v>
      </c>
      <c r="K13" s="57"/>
    </row>
    <row r="14" spans="2:15" s="6" customFormat="1">
      <c r="B14" s="422">
        <v>1.2</v>
      </c>
      <c r="C14" s="556" t="s">
        <v>615</v>
      </c>
      <c r="D14" s="463"/>
      <c r="E14" s="318"/>
      <c r="F14" s="318"/>
      <c r="G14" s="318"/>
      <c r="H14" s="318"/>
      <c r="I14" s="318"/>
      <c r="J14" s="318"/>
      <c r="K14" s="57"/>
    </row>
    <row r="15" spans="2:15" s="6" customFormat="1">
      <c r="B15" s="422"/>
      <c r="C15" s="766" t="s">
        <v>613</v>
      </c>
      <c r="D15" s="463"/>
      <c r="E15" s="318"/>
      <c r="F15" s="318">
        <f>'F2.2'!F18</f>
        <v>0.75529000000000002</v>
      </c>
      <c r="G15" s="318"/>
      <c r="H15" s="318">
        <f>'F2.2'!J18</f>
        <v>0</v>
      </c>
      <c r="I15" s="318"/>
      <c r="J15" s="318">
        <f>'F2.2'!N18</f>
        <v>0</v>
      </c>
      <c r="K15" s="57"/>
    </row>
    <row r="16" spans="2:15" s="6" customFormat="1">
      <c r="B16" s="422"/>
      <c r="C16" s="766" t="s">
        <v>614</v>
      </c>
      <c r="D16" s="463"/>
      <c r="E16" s="318"/>
      <c r="F16" s="318">
        <f>'F2.2'!F19</f>
        <v>0.74522999999999995</v>
      </c>
      <c r="G16" s="318"/>
      <c r="H16" s="318">
        <f>'F2.2'!J19</f>
        <v>0</v>
      </c>
      <c r="I16" s="318"/>
      <c r="J16" s="318">
        <f>'F2.2'!N19</f>
        <v>0</v>
      </c>
      <c r="K16" s="57"/>
    </row>
    <row r="17" spans="2:11" s="6" customFormat="1">
      <c r="B17" s="422">
        <v>2</v>
      </c>
      <c r="C17" s="552" t="s">
        <v>676</v>
      </c>
      <c r="D17" s="463"/>
      <c r="E17" s="318"/>
      <c r="F17" s="318"/>
      <c r="G17" s="318"/>
      <c r="H17" s="318"/>
      <c r="I17" s="318"/>
      <c r="J17" s="318"/>
      <c r="K17" s="57"/>
    </row>
    <row r="18" spans="2:11" s="6" customFormat="1">
      <c r="B18" s="422">
        <v>3</v>
      </c>
      <c r="C18" s="552" t="s">
        <v>708</v>
      </c>
      <c r="D18" s="463"/>
      <c r="E18" s="318"/>
      <c r="F18" s="318"/>
      <c r="G18" s="318"/>
      <c r="H18" s="318"/>
      <c r="I18" s="318"/>
      <c r="J18" s="318"/>
      <c r="K18" s="57"/>
    </row>
    <row r="19" spans="2:11" s="6" customFormat="1" ht="16">
      <c r="B19" s="422">
        <f>B18+1</f>
        <v>4</v>
      </c>
      <c r="C19" s="552" t="s">
        <v>330</v>
      </c>
      <c r="D19" s="1265">
        <v>30</v>
      </c>
      <c r="E19" s="318">
        <v>186.9533967445449</v>
      </c>
      <c r="F19" s="318">
        <f>SUM('F2.2'!$F$116:$F$118)/365*$D19</f>
        <v>183.00329974217681</v>
      </c>
      <c r="G19" s="491">
        <v>211.428119100923</v>
      </c>
      <c r="H19" s="318">
        <f>SUM('F2.2'!$J$116:$J$118)/366*$D19</f>
        <v>191.40860395200389</v>
      </c>
      <c r="I19" s="491">
        <v>213.49644264093519</v>
      </c>
      <c r="J19" s="318">
        <f>SUM('F2.2'!$N$116:$N$118)/365*$D19</f>
        <v>201.78397678713429</v>
      </c>
      <c r="K19" s="57"/>
    </row>
    <row r="20" spans="2:11" s="6" customFormat="1" ht="16">
      <c r="B20" s="422">
        <f t="shared" ref="B20:B30" si="0">B19+1</f>
        <v>5</v>
      </c>
      <c r="C20" s="552" t="s">
        <v>333</v>
      </c>
      <c r="D20" s="1265">
        <v>30</v>
      </c>
      <c r="E20" s="318">
        <f>E19</f>
        <v>186.9533967445449</v>
      </c>
      <c r="F20" s="318">
        <f>SUM('F2.2'!$F$116:$F$118)/365*$D20</f>
        <v>183.00329974217681</v>
      </c>
      <c r="G20" s="491">
        <f>G19</f>
        <v>211.428119100923</v>
      </c>
      <c r="H20" s="318">
        <f>SUM('F2.2'!$J$116:$J$118)/366*$D20</f>
        <v>191.40860395200389</v>
      </c>
      <c r="I20" s="491">
        <f>I19</f>
        <v>213.49644264093519</v>
      </c>
      <c r="J20" s="318">
        <f>SUM('F2.2'!$N$116:$N$118)/365*$D20</f>
        <v>201.78397678713429</v>
      </c>
      <c r="K20" s="57"/>
    </row>
    <row r="21" spans="2:11" s="6" customFormat="1" ht="16">
      <c r="B21" s="422">
        <f t="shared" si="0"/>
        <v>6</v>
      </c>
      <c r="C21" s="91" t="s">
        <v>331</v>
      </c>
      <c r="D21" s="1265"/>
      <c r="E21" s="318"/>
      <c r="F21" s="318"/>
      <c r="G21" s="491"/>
      <c r="H21" s="318"/>
      <c r="I21" s="491"/>
      <c r="J21" s="318"/>
      <c r="K21" s="57"/>
    </row>
    <row r="22" spans="2:11" s="6" customFormat="1" ht="16">
      <c r="B22" s="422">
        <f t="shared" si="0"/>
        <v>7</v>
      </c>
      <c r="C22" s="91" t="s">
        <v>332</v>
      </c>
      <c r="D22" s="1266">
        <v>2</v>
      </c>
      <c r="E22" s="318">
        <v>2.8123724056868578</v>
      </c>
      <c r="F22" s="318">
        <f>SUM('F2.2'!$F$121:$F$124)/12*$D22</f>
        <v>2.9729059600457113</v>
      </c>
      <c r="G22" s="491">
        <v>4.0266022597635693</v>
      </c>
      <c r="H22" s="318">
        <f>SUM('F2.2'!$J$121:$J$124)/12*$D22</f>
        <v>3.0034943942719732</v>
      </c>
      <c r="I22" s="491">
        <v>4.075834623458765</v>
      </c>
      <c r="J22" s="318">
        <f>SUM('F2.2'!$N$121:$N$124)/12*$D22</f>
        <v>3.1496392683705436</v>
      </c>
      <c r="K22" s="57"/>
    </row>
    <row r="23" spans="2:11" s="6" customFormat="1" ht="16">
      <c r="B23" s="422">
        <f t="shared" si="0"/>
        <v>8</v>
      </c>
      <c r="C23" s="91" t="s">
        <v>146</v>
      </c>
      <c r="D23" s="4"/>
      <c r="E23" s="318"/>
      <c r="F23" s="318"/>
      <c r="G23" s="491"/>
      <c r="H23" s="318"/>
      <c r="I23" s="491"/>
      <c r="J23" s="318"/>
      <c r="K23" s="57"/>
    </row>
    <row r="24" spans="2:11" s="6" customFormat="1" ht="16">
      <c r="B24" s="422">
        <f t="shared" si="0"/>
        <v>9</v>
      </c>
      <c r="C24" s="91" t="s">
        <v>147</v>
      </c>
      <c r="D24" s="4"/>
      <c r="E24" s="318"/>
      <c r="F24" s="318"/>
      <c r="G24" s="491"/>
      <c r="H24" s="318"/>
      <c r="I24" s="491"/>
      <c r="J24" s="318"/>
      <c r="K24" s="57"/>
    </row>
    <row r="25" spans="2:11" s="6" customFormat="1" ht="16">
      <c r="B25" s="422">
        <f t="shared" si="0"/>
        <v>10</v>
      </c>
      <c r="C25" s="91" t="s">
        <v>148</v>
      </c>
      <c r="D25" s="4"/>
      <c r="E25" s="318"/>
      <c r="F25" s="318"/>
      <c r="G25" s="491"/>
      <c r="H25" s="318"/>
      <c r="I25" s="491"/>
      <c r="J25" s="318"/>
      <c r="K25" s="57"/>
    </row>
    <row r="26" spans="2:11" s="6" customFormat="1">
      <c r="B26" s="422">
        <f t="shared" si="0"/>
        <v>11</v>
      </c>
      <c r="C26" s="552" t="s">
        <v>173</v>
      </c>
      <c r="D26" s="1267">
        <v>1</v>
      </c>
      <c r="E26" s="318">
        <v>20.77467461046529</v>
      </c>
      <c r="F26" s="318">
        <f>('F1'!$F$13+'F1'!$F$21)/12*$D26</f>
        <v>21.59648026877159</v>
      </c>
      <c r="G26" s="491">
        <v>21.426193959984619</v>
      </c>
      <c r="H26" s="318">
        <f>('F1'!$J$13+'F1'!$J$21)/12*$D26</f>
        <v>25.461505873277904</v>
      </c>
      <c r="I26" s="491">
        <v>22.096408532316911</v>
      </c>
      <c r="J26" s="318">
        <f>('F1'!$N$13+'F1'!$Q$21)/12*$D26</f>
        <v>25.498408204161379</v>
      </c>
      <c r="K26" s="57"/>
    </row>
    <row r="27" spans="2:11" s="6" customFormat="1">
      <c r="B27" s="422">
        <f t="shared" si="0"/>
        <v>12</v>
      </c>
      <c r="C27" s="552" t="s">
        <v>994</v>
      </c>
      <c r="D27" s="1268">
        <v>0.01</v>
      </c>
      <c r="E27" s="318">
        <v>66.858014963751558</v>
      </c>
      <c r="F27" s="318">
        <f>'F3.4'!$D$23*$D27</f>
        <v>67.399097290846342</v>
      </c>
      <c r="G27" s="491">
        <v>67.046714963751569</v>
      </c>
      <c r="H27" s="318">
        <f>'F3.4'!$E$23*$D27</f>
        <v>67.535284737796331</v>
      </c>
      <c r="I27" s="491">
        <v>67.125614963751559</v>
      </c>
      <c r="J27" s="318">
        <f>'F3.4'!$H$23*$D27</f>
        <v>67.701113476726348</v>
      </c>
      <c r="K27" s="57"/>
    </row>
    <row r="28" spans="2:11" s="6" customFormat="1">
      <c r="B28" s="422">
        <f t="shared" si="0"/>
        <v>13</v>
      </c>
      <c r="C28" s="552" t="s">
        <v>150</v>
      </c>
      <c r="D28" s="1269">
        <v>45</v>
      </c>
      <c r="E28" s="318">
        <v>410.56678801942837</v>
      </c>
      <c r="F28" s="318">
        <f>('F1'!$G$27-'F1'!$G$11+'F1'!$F$11-'F1'!$G$13+'F1'!$F$13)/365*D28</f>
        <v>418.62155127670661</v>
      </c>
      <c r="G28" s="491">
        <v>447.06983314520022</v>
      </c>
      <c r="H28" s="318">
        <f>('F1'!$K$27-'F1'!$K$11+'F1'!$J$11-'F1'!$K$13+'F1'!$J$13)/366*69</f>
        <v>671.73595741972383</v>
      </c>
      <c r="I28" s="491">
        <v>452.16864099195675</v>
      </c>
      <c r="J28" s="318">
        <f ca="1">('F1'!$Q$27-'F1'!$Q$11+'F1'!$N$11-'F1'!$Q$13+'F1'!$N$13)/365*75</f>
        <v>732.92743251672925</v>
      </c>
      <c r="K28" s="57"/>
    </row>
    <row r="29" spans="2:11" s="6" customFormat="1" ht="16">
      <c r="B29" s="422">
        <f t="shared" si="0"/>
        <v>14</v>
      </c>
      <c r="C29" s="552" t="s">
        <v>518</v>
      </c>
      <c r="D29" s="1269">
        <v>30</v>
      </c>
      <c r="E29" s="318">
        <v>1.1718218357028574</v>
      </c>
      <c r="F29" s="318">
        <f>SUM('F2.2'!$F$121:$F$124)/365*$D29</f>
        <v>1.4660906104335014</v>
      </c>
      <c r="G29" s="491">
        <v>1.6777509415681537</v>
      </c>
      <c r="H29" s="318">
        <f>SUM('F2.2'!$J$121:$J$124)/366*$D29</f>
        <v>1.4771283906255606</v>
      </c>
      <c r="I29" s="491">
        <v>1.6982644264411522</v>
      </c>
      <c r="J29" s="318">
        <f>SUM('F2.2'!$N$121:$N$124)/365*$D29</f>
        <v>1.5532467624841035</v>
      </c>
      <c r="K29" s="57"/>
    </row>
    <row r="30" spans="2:11" s="6" customFormat="1">
      <c r="B30" s="422">
        <f t="shared" si="0"/>
        <v>15</v>
      </c>
      <c r="C30" s="179" t="s">
        <v>151</v>
      </c>
      <c r="D30" s="3"/>
      <c r="E30" s="771">
        <f>SUM(E19:E28)-E29</f>
        <v>873.74682165271895</v>
      </c>
      <c r="F30" s="771">
        <f>SUM(F19:F28)-F29</f>
        <v>875.13054367029031</v>
      </c>
      <c r="G30" s="771">
        <f t="shared" ref="G30:J30" si="1">SUM(G19:G28)-G29</f>
        <v>960.74783158897787</v>
      </c>
      <c r="H30" s="771">
        <f t="shared" si="1"/>
        <v>1149.0763219384523</v>
      </c>
      <c r="I30" s="771">
        <f t="shared" si="1"/>
        <v>970.76111996691316</v>
      </c>
      <c r="J30" s="771">
        <f t="shared" ca="1" si="1"/>
        <v>1231.2913002777721</v>
      </c>
      <c r="K30" s="57"/>
    </row>
    <row r="31" spans="2:11" s="6" customFormat="1">
      <c r="B31" s="490"/>
      <c r="C31" s="557"/>
      <c r="D31" s="3"/>
      <c r="E31" s="318"/>
      <c r="F31" s="703"/>
      <c r="G31" s="318"/>
      <c r="H31" s="703"/>
      <c r="I31" s="318"/>
      <c r="J31" s="703"/>
      <c r="K31" s="57"/>
    </row>
    <row r="32" spans="2:11" s="6" customFormat="1">
      <c r="B32" s="422">
        <f>B30+1</f>
        <v>16</v>
      </c>
      <c r="C32" s="181" t="s">
        <v>378</v>
      </c>
      <c r="D32" s="3"/>
      <c r="E32" s="318"/>
      <c r="F32" s="318"/>
      <c r="G32" s="318"/>
      <c r="H32" s="318"/>
      <c r="I32" s="318"/>
      <c r="J32" s="318"/>
      <c r="K32" s="57"/>
    </row>
    <row r="33" spans="2:20">
      <c r="B33" s="422">
        <f t="shared" ref="B33:B35" si="2">B32+1</f>
        <v>17</v>
      </c>
      <c r="C33" s="552" t="s">
        <v>379</v>
      </c>
      <c r="D33" s="3"/>
      <c r="E33" s="826">
        <v>9.4500000000000001E-2</v>
      </c>
      <c r="F33" s="826">
        <v>9.2987671232876712E-2</v>
      </c>
      <c r="G33" s="850">
        <v>9.4500000000000001E-2</v>
      </c>
      <c r="H33" s="826">
        <v>0.10065163934426231</v>
      </c>
      <c r="I33" s="850">
        <v>9.4500000000000001E-2</v>
      </c>
      <c r="J33" s="826">
        <v>0.1045</v>
      </c>
      <c r="K33" s="57"/>
    </row>
    <row r="34" spans="2:20">
      <c r="B34" s="243">
        <f t="shared" si="2"/>
        <v>18</v>
      </c>
      <c r="C34" s="179" t="s">
        <v>87</v>
      </c>
      <c r="D34" s="3"/>
      <c r="E34" s="772">
        <f>E30*E33</f>
        <v>82.569074646181946</v>
      </c>
      <c r="F34" s="772">
        <f>F30*F33</f>
        <v>81.376351280661609</v>
      </c>
      <c r="G34" s="772">
        <f t="shared" ref="G34:J34" si="3">G30*G33</f>
        <v>90.790670085158411</v>
      </c>
      <c r="H34" s="772">
        <f>H30*H33</f>
        <v>115.65641553478056</v>
      </c>
      <c r="I34" s="772">
        <f t="shared" si="3"/>
        <v>91.736925836873297</v>
      </c>
      <c r="J34" s="772">
        <f t="shared" ca="1" si="3"/>
        <v>128.66994087902717</v>
      </c>
      <c r="K34" s="57"/>
    </row>
    <row r="35" spans="2:20">
      <c r="B35" s="243">
        <f t="shared" si="2"/>
        <v>19</v>
      </c>
      <c r="C35" s="179" t="s">
        <v>932</v>
      </c>
      <c r="D35" s="3"/>
      <c r="E35" s="773"/>
      <c r="F35" s="318">
        <v>174.08206204458344</v>
      </c>
      <c r="G35" s="773"/>
      <c r="H35" s="318">
        <v>214.70842783599093</v>
      </c>
      <c r="I35" s="773"/>
      <c r="J35" s="318"/>
      <c r="K35" s="57"/>
    </row>
    <row r="36" spans="2:20" s="1" customFormat="1">
      <c r="B36" s="216"/>
      <c r="C36" s="553"/>
      <c r="D36" s="7"/>
      <c r="E36" s="217"/>
      <c r="F36" s="217"/>
      <c r="G36" s="217"/>
      <c r="H36" s="217"/>
      <c r="I36" s="217"/>
      <c r="J36" s="217"/>
      <c r="K36" s="57"/>
      <c r="L36" s="57"/>
      <c r="M36" s="57"/>
      <c r="N36" s="57"/>
      <c r="O36" s="57"/>
      <c r="P36" s="57"/>
    </row>
    <row r="37" spans="2:20" s="1" customFormat="1" hidden="1">
      <c r="B37" s="176" t="s">
        <v>144</v>
      </c>
      <c r="C37" s="554"/>
      <c r="D37" s="7"/>
      <c r="E37" s="7"/>
      <c r="F37" s="7"/>
      <c r="G37" s="7"/>
      <c r="H37" s="7"/>
      <c r="I37" s="7"/>
      <c r="J37" s="7"/>
    </row>
    <row r="38" spans="2:20" s="1" customFormat="1" hidden="1">
      <c r="B38" s="96">
        <v>1</v>
      </c>
      <c r="C38" s="555" t="s">
        <v>153</v>
      </c>
      <c r="D38" s="48"/>
      <c r="E38" s="48"/>
      <c r="F38" s="11"/>
      <c r="G38" s="11"/>
      <c r="H38" s="11"/>
      <c r="I38" s="11"/>
      <c r="J38" s="7"/>
    </row>
    <row r="39" spans="2:20" s="1" customFormat="1" hidden="1">
      <c r="B39" s="96">
        <v>2</v>
      </c>
      <c r="C39" s="555" t="s">
        <v>154</v>
      </c>
      <c r="D39" s="48"/>
      <c r="E39" s="48"/>
      <c r="F39" s="11"/>
      <c r="G39" s="11"/>
      <c r="H39" s="11"/>
      <c r="I39" s="11"/>
      <c r="J39" s="7"/>
    </row>
    <row r="40" spans="2:20" s="1" customFormat="1" ht="18" hidden="1" customHeight="1">
      <c r="B40" s="96">
        <v>3</v>
      </c>
      <c r="C40" s="555" t="s">
        <v>155</v>
      </c>
      <c r="D40" s="42"/>
      <c r="E40" s="42"/>
      <c r="F40" s="42"/>
      <c r="G40" s="42"/>
      <c r="H40" s="42"/>
      <c r="I40" s="42"/>
      <c r="J40" s="7"/>
    </row>
    <row r="41" spans="2:20" hidden="1">
      <c r="B41" s="162">
        <v>4</v>
      </c>
      <c r="C41" s="554" t="s">
        <v>652</v>
      </c>
      <c r="D41" s="7"/>
      <c r="E41" s="7"/>
      <c r="F41" s="7"/>
      <c r="G41" s="7"/>
      <c r="H41" s="7"/>
      <c r="I41" s="7"/>
      <c r="J41" s="7"/>
    </row>
    <row r="42" spans="2:20" hidden="1">
      <c r="B42" s="162">
        <v>5</v>
      </c>
      <c r="C42" s="554" t="s">
        <v>455</v>
      </c>
      <c r="D42" s="7"/>
      <c r="E42" s="7"/>
      <c r="F42" s="7"/>
      <c r="G42" s="7"/>
      <c r="H42" s="7"/>
      <c r="I42" s="7"/>
      <c r="J42" s="7"/>
    </row>
    <row r="43" spans="2:20" hidden="1">
      <c r="B43" s="162"/>
      <c r="C43" s="554"/>
      <c r="D43" s="7"/>
      <c r="E43" s="7"/>
      <c r="F43" s="7"/>
      <c r="G43" s="7"/>
      <c r="H43" s="7"/>
      <c r="I43" s="7"/>
      <c r="J43" s="7"/>
    </row>
    <row r="44" spans="2:20" hidden="1">
      <c r="B44" s="162"/>
      <c r="C44" s="554"/>
      <c r="D44" s="7"/>
      <c r="E44" s="7"/>
      <c r="F44" s="7"/>
      <c r="G44" s="7"/>
      <c r="H44" s="7"/>
      <c r="I44" s="7"/>
      <c r="J44" s="7"/>
    </row>
    <row r="45" spans="2:20">
      <c r="B45" s="176" t="s">
        <v>986</v>
      </c>
      <c r="C45" s="554"/>
      <c r="D45" s="7"/>
      <c r="E45" s="346"/>
      <c r="F45" s="7"/>
      <c r="G45" s="7"/>
      <c r="H45" s="7"/>
      <c r="I45" s="7"/>
      <c r="J45" s="7"/>
    </row>
    <row r="46" spans="2:20" s="11" customFormat="1">
      <c r="B46" s="92"/>
      <c r="C46" s="774"/>
      <c r="I46" s="775" t="s">
        <v>10</v>
      </c>
    </row>
    <row r="47" spans="2:20" s="35" customFormat="1" ht="27.65" customHeight="1">
      <c r="B47" s="1719" t="s">
        <v>341</v>
      </c>
      <c r="C47" s="1721" t="s">
        <v>37</v>
      </c>
      <c r="D47" s="1721" t="s">
        <v>145</v>
      </c>
      <c r="E47" s="711" t="s">
        <v>947</v>
      </c>
      <c r="F47" s="711" t="s">
        <v>948</v>
      </c>
      <c r="G47" s="711" t="s">
        <v>949</v>
      </c>
      <c r="H47" s="711" t="s">
        <v>950</v>
      </c>
      <c r="I47" s="735" t="s">
        <v>951</v>
      </c>
      <c r="J47" s="57"/>
      <c r="K47" s="57"/>
      <c r="L47" s="57"/>
      <c r="M47" s="57"/>
      <c r="N47" s="57"/>
      <c r="S47" s="57"/>
      <c r="T47" s="57"/>
    </row>
    <row r="48" spans="2:20" s="36" customFormat="1" ht="37.75" customHeight="1">
      <c r="B48" s="1719"/>
      <c r="C48" s="1721"/>
      <c r="D48" s="1721"/>
      <c r="E48" s="692" t="s">
        <v>21</v>
      </c>
      <c r="F48" s="289" t="s">
        <v>21</v>
      </c>
      <c r="G48" s="692" t="s">
        <v>21</v>
      </c>
      <c r="H48" s="692" t="s">
        <v>21</v>
      </c>
      <c r="I48" s="692" t="s">
        <v>21</v>
      </c>
      <c r="J48" s="699"/>
      <c r="K48" s="699"/>
      <c r="L48" s="699"/>
      <c r="M48" s="699"/>
      <c r="N48" s="699"/>
    </row>
    <row r="49" spans="2:14" s="418" customFormat="1">
      <c r="B49" s="422">
        <v>1</v>
      </c>
      <c r="C49" s="552" t="s">
        <v>454</v>
      </c>
      <c r="D49" s="463"/>
      <c r="E49" s="511"/>
      <c r="F49" s="531"/>
      <c r="G49" s="511"/>
      <c r="H49" s="531"/>
      <c r="I49" s="511"/>
      <c r="J49" s="730"/>
      <c r="K49" s="731"/>
      <c r="L49" s="730"/>
      <c r="M49" s="731"/>
      <c r="N49" s="730"/>
    </row>
    <row r="50" spans="2:14" s="418" customFormat="1">
      <c r="B50" s="422">
        <v>1.1000000000000001</v>
      </c>
      <c r="C50" s="556" t="s">
        <v>612</v>
      </c>
      <c r="D50" s="463"/>
      <c r="E50" s="442"/>
      <c r="F50" s="442"/>
      <c r="G50" s="442"/>
      <c r="H50" s="442"/>
      <c r="I50" s="442"/>
      <c r="J50" s="704"/>
      <c r="K50" s="704"/>
      <c r="L50" s="704"/>
      <c r="M50" s="704"/>
      <c r="N50" s="704"/>
    </row>
    <row r="51" spans="2:14" s="418" customFormat="1">
      <c r="B51" s="422"/>
      <c r="C51" s="556" t="s">
        <v>613</v>
      </c>
      <c r="D51" s="463"/>
      <c r="E51" s="442"/>
      <c r="F51" s="442"/>
      <c r="G51" s="442"/>
      <c r="H51" s="442"/>
      <c r="I51" s="442"/>
      <c r="J51" s="704"/>
      <c r="K51" s="704"/>
      <c r="L51" s="704"/>
      <c r="M51" s="704"/>
      <c r="N51" s="704"/>
    </row>
    <row r="52" spans="2:14" s="418" customFormat="1">
      <c r="B52" s="422"/>
      <c r="C52" s="556" t="s">
        <v>614</v>
      </c>
      <c r="D52" s="463"/>
      <c r="E52" s="442"/>
      <c r="F52" s="442"/>
      <c r="G52" s="442"/>
      <c r="H52" s="442"/>
      <c r="I52" s="442"/>
      <c r="J52" s="704"/>
      <c r="K52" s="704"/>
      <c r="L52" s="704"/>
      <c r="M52" s="704"/>
      <c r="N52" s="704"/>
    </row>
    <row r="53" spans="2:14" s="418" customFormat="1">
      <c r="B53" s="422">
        <v>1.2</v>
      </c>
      <c r="C53" s="556" t="s">
        <v>615</v>
      </c>
      <c r="D53" s="463"/>
      <c r="E53" s="442"/>
      <c r="F53" s="442"/>
      <c r="G53" s="442"/>
      <c r="H53" s="442"/>
      <c r="I53" s="442"/>
      <c r="J53" s="704"/>
      <c r="K53" s="704"/>
      <c r="L53" s="704"/>
      <c r="M53" s="704"/>
      <c r="N53" s="704"/>
    </row>
    <row r="54" spans="2:14" s="418" customFormat="1">
      <c r="B54" s="422"/>
      <c r="C54" s="556" t="s">
        <v>613</v>
      </c>
      <c r="D54" s="463"/>
      <c r="E54" s="442"/>
      <c r="F54" s="442"/>
      <c r="G54" s="442"/>
      <c r="H54" s="442"/>
      <c r="I54" s="442"/>
      <c r="J54" s="704"/>
      <c r="K54" s="704"/>
      <c r="L54" s="704"/>
      <c r="M54" s="704"/>
      <c r="N54" s="704"/>
    </row>
    <row r="55" spans="2:14" s="418" customFormat="1">
      <c r="B55" s="422"/>
      <c r="C55" s="556" t="s">
        <v>614</v>
      </c>
      <c r="D55" s="463"/>
      <c r="E55" s="442"/>
      <c r="F55" s="442"/>
      <c r="G55" s="442"/>
      <c r="H55" s="442"/>
      <c r="I55" s="442"/>
      <c r="J55" s="704"/>
      <c r="K55" s="704"/>
      <c r="L55" s="704"/>
      <c r="M55" s="704"/>
      <c r="N55" s="704"/>
    </row>
    <row r="56" spans="2:14" s="418" customFormat="1">
      <c r="B56" s="422">
        <v>2</v>
      </c>
      <c r="C56" s="552" t="s">
        <v>676</v>
      </c>
      <c r="D56" s="463"/>
      <c r="E56" s="442"/>
      <c r="F56" s="442"/>
      <c r="G56" s="442"/>
      <c r="H56" s="442"/>
      <c r="I56" s="442"/>
      <c r="J56" s="704"/>
      <c r="K56" s="704"/>
      <c r="L56" s="704"/>
      <c r="M56" s="704"/>
      <c r="N56" s="704"/>
    </row>
    <row r="57" spans="2:14" s="418" customFormat="1">
      <c r="B57" s="422">
        <v>3</v>
      </c>
      <c r="C57" s="552" t="s">
        <v>708</v>
      </c>
      <c r="D57" s="463"/>
      <c r="E57" s="442"/>
      <c r="F57" s="442"/>
      <c r="G57" s="442"/>
      <c r="H57" s="442"/>
      <c r="I57" s="442"/>
      <c r="J57" s="704"/>
      <c r="K57" s="704"/>
      <c r="L57" s="704"/>
      <c r="M57" s="704"/>
      <c r="N57" s="704"/>
    </row>
    <row r="58" spans="2:14" s="418" customFormat="1" ht="16">
      <c r="B58" s="422">
        <v>3</v>
      </c>
      <c r="C58" s="552" t="s">
        <v>330</v>
      </c>
      <c r="D58" s="1265">
        <v>20</v>
      </c>
      <c r="E58" s="442">
        <f>SUM('F2.2'!S116:S118)/365*$D58</f>
        <v>167.09659214799575</v>
      </c>
      <c r="F58" s="442">
        <f>SUM('F2.2'!T116:T118)/365*$D58</f>
        <v>175.45465957465098</v>
      </c>
      <c r="G58" s="442">
        <f>SUM('F2.2'!U116:U118)/366*$D58</f>
        <v>183.72403902181696</v>
      </c>
      <c r="H58" s="442">
        <f>SUM('F2.2'!V116:V118)/365*$D58</f>
        <v>193.44200735898829</v>
      </c>
      <c r="I58" s="442">
        <f>SUM('F2.2'!W116:W118)/365*$D58</f>
        <v>203.11410772693773</v>
      </c>
      <c r="J58" s="704"/>
      <c r="K58" s="704"/>
      <c r="L58" s="704"/>
      <c r="M58" s="704"/>
      <c r="N58" s="704"/>
    </row>
    <row r="59" spans="2:14" s="418" customFormat="1" ht="16">
      <c r="B59" s="422">
        <f>B58+1</f>
        <v>4</v>
      </c>
      <c r="C59" s="552" t="s">
        <v>333</v>
      </c>
      <c r="D59" s="1265">
        <v>30</v>
      </c>
      <c r="E59" s="442">
        <f>SUM('F2.2'!S116:S118)/365*$D59</f>
        <v>250.64488822199363</v>
      </c>
      <c r="F59" s="442">
        <f>SUM('F2.2'!T116:T118)/365*$D59</f>
        <v>263.18198936197643</v>
      </c>
      <c r="G59" s="442">
        <f>SUM('F2.2'!U116:U118)/366*$D59</f>
        <v>275.58605853272542</v>
      </c>
      <c r="H59" s="442">
        <f>SUM('F2.2'!V116:V118)/365*$D59</f>
        <v>290.16301103848247</v>
      </c>
      <c r="I59" s="442">
        <f>SUM('F2.2'!W116:W118)/365*$D59</f>
        <v>304.6711615904066</v>
      </c>
      <c r="J59" s="704"/>
      <c r="K59" s="704"/>
      <c r="L59" s="704"/>
      <c r="M59" s="704"/>
      <c r="N59" s="704"/>
    </row>
    <row r="60" spans="2:14" s="418" customFormat="1" ht="16">
      <c r="B60" s="422">
        <f t="shared" ref="B60:B74" si="4">B59+1</f>
        <v>5</v>
      </c>
      <c r="C60" s="91" t="s">
        <v>331</v>
      </c>
      <c r="D60" s="1265"/>
      <c r="E60" s="442"/>
      <c r="F60" s="442"/>
      <c r="G60" s="442"/>
      <c r="H60" s="442"/>
      <c r="I60" s="442"/>
      <c r="J60" s="704"/>
      <c r="K60" s="704"/>
      <c r="L60" s="704"/>
      <c r="M60" s="704"/>
      <c r="N60" s="704"/>
    </row>
    <row r="61" spans="2:14" s="418" customFormat="1" ht="16">
      <c r="B61" s="422">
        <f t="shared" si="4"/>
        <v>6</v>
      </c>
      <c r="C61" s="91" t="s">
        <v>332</v>
      </c>
      <c r="D61" s="1266">
        <v>2</v>
      </c>
      <c r="E61" s="442">
        <f>SUM('F2.2'!S121:S124)/12*$D$61</f>
        <v>3.5534026106325958</v>
      </c>
      <c r="F61" s="442">
        <f>SUM('F2.2'!T121:T124)/12*$D$61</f>
        <v>3.7310727411642262</v>
      </c>
      <c r="G61" s="442">
        <f>SUM('F2.2'!U121:U124)/12*$D$61</f>
        <v>3.9176263782224372</v>
      </c>
      <c r="H61" s="442">
        <f>SUM('F2.2'!V121:V124)/12*$D$61</f>
        <v>4.1135076971335591</v>
      </c>
      <c r="I61" s="442">
        <f>SUM('F2.2'!W121:W124)/12*$D$61</f>
        <v>4.3191830819902366</v>
      </c>
      <c r="J61" s="704"/>
      <c r="K61" s="704"/>
      <c r="L61" s="704"/>
      <c r="M61" s="704"/>
      <c r="N61" s="704"/>
    </row>
    <row r="62" spans="2:14" s="418" customFormat="1" ht="16">
      <c r="B62" s="422">
        <f t="shared" si="4"/>
        <v>7</v>
      </c>
      <c r="C62" s="91" t="s">
        <v>146</v>
      </c>
      <c r="D62" s="4"/>
      <c r="E62" s="442"/>
      <c r="F62" s="442"/>
      <c r="G62" s="442"/>
      <c r="H62" s="442"/>
      <c r="I62" s="442"/>
      <c r="J62" s="704"/>
      <c r="K62" s="704"/>
      <c r="L62" s="704"/>
      <c r="M62" s="704"/>
      <c r="N62" s="704"/>
    </row>
    <row r="63" spans="2:14" s="418" customFormat="1" ht="16">
      <c r="B63" s="422">
        <f t="shared" si="4"/>
        <v>8</v>
      </c>
      <c r="C63" s="91" t="s">
        <v>147</v>
      </c>
      <c r="D63" s="4"/>
      <c r="E63" s="442"/>
      <c r="F63" s="442"/>
      <c r="G63" s="442"/>
      <c r="H63" s="442"/>
      <c r="I63" s="442"/>
      <c r="J63" s="704"/>
      <c r="K63" s="704"/>
      <c r="L63" s="704"/>
      <c r="M63" s="704"/>
      <c r="N63" s="704"/>
    </row>
    <row r="64" spans="2:14" s="418" customFormat="1" ht="16">
      <c r="B64" s="422">
        <f t="shared" si="4"/>
        <v>9</v>
      </c>
      <c r="C64" s="91" t="s">
        <v>148</v>
      </c>
      <c r="D64" s="4"/>
      <c r="E64" s="442"/>
      <c r="F64" s="442"/>
      <c r="G64" s="442"/>
      <c r="H64" s="442"/>
      <c r="I64" s="442"/>
      <c r="J64" s="704"/>
      <c r="K64" s="704"/>
      <c r="L64" s="704"/>
      <c r="M64" s="704"/>
      <c r="N64" s="704"/>
    </row>
    <row r="65" spans="2:19" s="418" customFormat="1">
      <c r="B65" s="422">
        <f t="shared" si="4"/>
        <v>10</v>
      </c>
      <c r="C65" s="552" t="s">
        <v>173</v>
      </c>
      <c r="D65" s="1267">
        <v>1</v>
      </c>
      <c r="E65" s="442">
        <f>('F1'!S13+'F1'!S21)/12*$D$65</f>
        <v>29.651005906984441</v>
      </c>
      <c r="F65" s="442">
        <f>('F1'!T13+'F1'!T21)/12*$D$65</f>
        <v>31.044619238538857</v>
      </c>
      <c r="G65" s="442">
        <f>('F1'!U13+'F1'!U21)/12*$D$65</f>
        <v>62.36160865330006</v>
      </c>
      <c r="H65" s="442">
        <f>('F1'!V13+'F1'!V21)/12*$D$65</f>
        <v>64.658534081849027</v>
      </c>
      <c r="I65" s="442">
        <f>('F1'!W13+'F1'!W21)/12*$D$65</f>
        <v>67.049250144586139</v>
      </c>
      <c r="J65" s="704"/>
      <c r="K65" s="704"/>
      <c r="L65" s="704"/>
      <c r="M65" s="704"/>
      <c r="N65" s="704"/>
    </row>
    <row r="66" spans="2:19" s="418" customFormat="1">
      <c r="B66" s="422">
        <f t="shared" si="4"/>
        <v>11</v>
      </c>
      <c r="C66" s="552" t="s">
        <v>149</v>
      </c>
      <c r="D66" s="1268">
        <v>0.01</v>
      </c>
      <c r="E66" s="442">
        <f>'F3.4'!I23*$D$66</f>
        <v>67.945261486726338</v>
      </c>
      <c r="F66" s="442">
        <f>'F3.4'!J23*$D$66</f>
        <v>68.53436148672634</v>
      </c>
      <c r="G66" s="442">
        <f>'F3.4'!K23*$D$66</f>
        <v>71.306686486726349</v>
      </c>
      <c r="H66" s="442">
        <f>'F3.4'!L23*$D$66</f>
        <v>72.526266486726357</v>
      </c>
      <c r="I66" s="442">
        <f>'F3.4'!M23*$D$66</f>
        <v>74.239599820059681</v>
      </c>
      <c r="J66" s="704"/>
      <c r="K66" s="704"/>
      <c r="L66" s="704"/>
      <c r="M66" s="704"/>
      <c r="N66" s="704"/>
    </row>
    <row r="67" spans="2:19" s="418" customFormat="1">
      <c r="B67" s="422">
        <f t="shared" si="4"/>
        <v>12</v>
      </c>
      <c r="C67" s="552" t="s">
        <v>150</v>
      </c>
      <c r="D67" s="1269">
        <v>45</v>
      </c>
      <c r="E67" s="442">
        <f ca="1">'F1'!S27/365*$D$67</f>
        <v>515.68321471229967</v>
      </c>
      <c r="F67" s="442">
        <f ca="1">'F1'!T27/365*$D$67</f>
        <v>514.0365775794105</v>
      </c>
      <c r="G67" s="442">
        <f ca="1">'F1'!U27/366*$D$67</f>
        <v>588.18702387641156</v>
      </c>
      <c r="H67" s="442">
        <f ca="1">'F1'!V27/365*$D$67</f>
        <v>616.26013387574619</v>
      </c>
      <c r="I67" s="442">
        <f ca="1">'F1'!W27/365*$D$67</f>
        <v>643.46621653869545</v>
      </c>
      <c r="J67" s="704"/>
      <c r="K67" s="704"/>
      <c r="L67" s="704"/>
      <c r="M67" s="704"/>
      <c r="N67" s="704"/>
    </row>
    <row r="68" spans="2:19" s="418" customFormat="1" ht="16">
      <c r="B68" s="422">
        <f t="shared" si="4"/>
        <v>13</v>
      </c>
      <c r="C68" s="552" t="s">
        <v>518</v>
      </c>
      <c r="D68" s="1269">
        <v>30</v>
      </c>
      <c r="E68" s="318">
        <f>SUM('F2.2'!S121:S124)/365*$D$68</f>
        <v>1.7523629312708691</v>
      </c>
      <c r="F68" s="318">
        <f>SUM('F2.2'!T121:T124)/365*$D$68</f>
        <v>1.839981077834413</v>
      </c>
      <c r="G68" s="318">
        <f>SUM('F2.2'!U121:U124)/366*$D$68</f>
        <v>1.9267014974864447</v>
      </c>
      <c r="H68" s="318">
        <f>SUM('F2.2'!V121:V124)/365*$D$68</f>
        <v>2.0285791383124403</v>
      </c>
      <c r="I68" s="318">
        <f>SUM('F2.2'!W121:W124)/365*$D$68</f>
        <v>2.130008095228062</v>
      </c>
      <c r="J68" s="323"/>
      <c r="K68" s="323"/>
      <c r="L68" s="323"/>
      <c r="M68" s="323"/>
      <c r="N68" s="323"/>
      <c r="O68" s="57"/>
      <c r="P68" s="57"/>
      <c r="Q68" s="57"/>
      <c r="R68" s="57"/>
      <c r="S68" s="57"/>
    </row>
    <row r="69" spans="2:19" s="11" customFormat="1">
      <c r="B69" s="422">
        <f t="shared" si="4"/>
        <v>14</v>
      </c>
      <c r="C69" s="179" t="s">
        <v>151</v>
      </c>
      <c r="D69" s="3"/>
      <c r="E69" s="771">
        <f ca="1">SUM(E58:E67)-E68</f>
        <v>1032.8220021553616</v>
      </c>
      <c r="F69" s="771">
        <f ca="1">SUM(F58:F67)-F68</f>
        <v>1054.143298904633</v>
      </c>
      <c r="G69" s="771">
        <f t="shared" ref="G69:I69" ca="1" si="5">SUM(G58:G67)-G68</f>
        <v>1183.1563414517163</v>
      </c>
      <c r="H69" s="771">
        <f t="shared" ca="1" si="5"/>
        <v>1239.1348814006135</v>
      </c>
      <c r="I69" s="771">
        <f t="shared" ca="1" si="5"/>
        <v>1294.7295108074479</v>
      </c>
      <c r="J69" s="732"/>
      <c r="K69" s="732"/>
      <c r="L69" s="732"/>
      <c r="M69" s="732"/>
      <c r="N69" s="732"/>
    </row>
    <row r="70" spans="2:19" s="11" customFormat="1">
      <c r="B70" s="490"/>
      <c r="C70" s="557"/>
      <c r="D70" s="3"/>
      <c r="E70" s="318"/>
      <c r="F70" s="318"/>
      <c r="G70" s="318"/>
      <c r="H70" s="318"/>
      <c r="I70" s="318"/>
      <c r="J70" s="704"/>
      <c r="K70" s="704"/>
      <c r="L70" s="704"/>
      <c r="M70" s="704"/>
      <c r="N70" s="704"/>
    </row>
    <row r="71" spans="2:19" s="11" customFormat="1">
      <c r="B71" s="422">
        <v>13</v>
      </c>
      <c r="C71" s="181" t="s">
        <v>378</v>
      </c>
      <c r="D71" s="3"/>
      <c r="E71" s="318"/>
      <c r="F71" s="318"/>
      <c r="G71" s="318"/>
      <c r="H71" s="318"/>
      <c r="I71" s="318"/>
      <c r="J71" s="704"/>
      <c r="K71" s="704"/>
      <c r="L71" s="704"/>
      <c r="M71" s="704"/>
      <c r="N71" s="704"/>
    </row>
    <row r="72" spans="2:19" s="2" customFormat="1">
      <c r="B72" s="422">
        <f t="shared" si="4"/>
        <v>14</v>
      </c>
      <c r="C72" s="552" t="s">
        <v>379</v>
      </c>
      <c r="D72" s="3"/>
      <c r="E72" s="1058">
        <v>0.1045</v>
      </c>
      <c r="F72" s="1058">
        <v>0.1045</v>
      </c>
      <c r="G72" s="1058">
        <v>0.1045</v>
      </c>
      <c r="H72" s="1058">
        <v>0.1045</v>
      </c>
      <c r="I72" s="1058">
        <v>0.1045</v>
      </c>
      <c r="J72" s="733"/>
      <c r="K72" s="734"/>
      <c r="L72" s="734"/>
      <c r="M72" s="734"/>
      <c r="N72" s="734"/>
    </row>
    <row r="73" spans="2:19" s="2" customFormat="1">
      <c r="B73" s="243">
        <f t="shared" si="4"/>
        <v>15</v>
      </c>
      <c r="C73" s="179" t="s">
        <v>87</v>
      </c>
      <c r="D73" s="3"/>
      <c r="E73" s="772">
        <f ca="1">E69*E72</f>
        <v>107.92989922523527</v>
      </c>
      <c r="F73" s="772">
        <f ca="1">F69*F72</f>
        <v>110.15797473553414</v>
      </c>
      <c r="G73" s="772">
        <f ca="1">G69*G72</f>
        <v>123.63983768170435</v>
      </c>
      <c r="H73" s="772">
        <f ca="1">H69*H72</f>
        <v>129.48959510636411</v>
      </c>
      <c r="I73" s="772">
        <f ca="1">I69*I72</f>
        <v>135.29923387937831</v>
      </c>
      <c r="J73" s="732"/>
      <c r="K73" s="732"/>
      <c r="L73" s="732"/>
      <c r="M73" s="732"/>
      <c r="N73" s="732"/>
    </row>
    <row r="74" spans="2:19" s="2" customFormat="1">
      <c r="B74" s="243">
        <f t="shared" si="4"/>
        <v>16</v>
      </c>
      <c r="C74" s="179" t="s">
        <v>932</v>
      </c>
      <c r="D74" s="3"/>
      <c r="E74" s="1059">
        <v>0</v>
      </c>
      <c r="F74" s="1059">
        <v>0</v>
      </c>
      <c r="G74" s="1059">
        <v>0</v>
      </c>
      <c r="H74" s="1059">
        <v>0</v>
      </c>
      <c r="I74" s="1059">
        <v>0</v>
      </c>
      <c r="J74" s="732"/>
      <c r="K74" s="732"/>
      <c r="L74" s="732"/>
      <c r="M74" s="732"/>
      <c r="N74" s="732"/>
    </row>
    <row r="75" spans="2:19" s="1" customFormat="1">
      <c r="B75" s="176"/>
      <c r="C75" s="7"/>
      <c r="D75" s="7"/>
      <c r="E75" s="7"/>
      <c r="F75" s="7"/>
      <c r="G75" s="7"/>
      <c r="H75" s="7"/>
      <c r="I75" s="7"/>
      <c r="J75" s="7"/>
    </row>
    <row r="76" spans="2:19" s="1" customFormat="1">
      <c r="B76" s="96"/>
      <c r="C76" s="1091" t="s">
        <v>1434</v>
      </c>
      <c r="D76" s="48"/>
      <c r="E76" s="48"/>
      <c r="F76" s="11"/>
      <c r="G76" s="11"/>
      <c r="H76" s="11"/>
      <c r="I76" s="11"/>
      <c r="J76" s="7"/>
    </row>
    <row r="77" spans="2:19" s="1" customFormat="1">
      <c r="B77" s="96"/>
      <c r="C77" s="1727" t="s">
        <v>37</v>
      </c>
      <c r="D77" s="1684" t="s">
        <v>889</v>
      </c>
      <c r="E77" s="1082" t="s">
        <v>947</v>
      </c>
      <c r="F77" s="1082" t="s">
        <v>948</v>
      </c>
      <c r="G77" s="1082" t="s">
        <v>949</v>
      </c>
      <c r="H77" s="1082" t="s">
        <v>950</v>
      </c>
      <c r="I77" s="1082" t="s">
        <v>951</v>
      </c>
      <c r="J77" s="7"/>
    </row>
    <row r="78" spans="2:19" s="1" customFormat="1" ht="18" customHeight="1">
      <c r="B78" s="96"/>
      <c r="C78" s="1728"/>
      <c r="D78" s="1722"/>
      <c r="E78" s="1082" t="s">
        <v>21</v>
      </c>
      <c r="F78" s="1082" t="s">
        <v>21</v>
      </c>
      <c r="G78" s="1082" t="s">
        <v>21</v>
      </c>
      <c r="H78" s="1082" t="s">
        <v>21</v>
      </c>
      <c r="I78" s="1082" t="s">
        <v>21</v>
      </c>
      <c r="J78" s="7"/>
    </row>
    <row r="79" spans="2:19">
      <c r="C79" s="1092" t="s">
        <v>1435</v>
      </c>
      <c r="D79" s="1093">
        <v>20</v>
      </c>
      <c r="E79" s="886">
        <f>'F2.2'!G198/365*$D79</f>
        <v>0</v>
      </c>
      <c r="F79" s="886">
        <f>'F2.2'!J198/365*$D79</f>
        <v>0</v>
      </c>
      <c r="G79" s="886">
        <f>'F2.2'!M198/366*$D79</f>
        <v>2.1027518152881477</v>
      </c>
      <c r="H79" s="886">
        <f>'F2.2'!P198/365*$D79</f>
        <v>2.4088307795443296</v>
      </c>
      <c r="I79" s="886">
        <f>'F2.2'!S198/365*$D79</f>
        <v>2.4088307795443296</v>
      </c>
    </row>
    <row r="80" spans="2:19">
      <c r="C80" s="1092" t="s">
        <v>1436</v>
      </c>
      <c r="D80" s="1093">
        <v>30</v>
      </c>
      <c r="E80" s="886">
        <f>'F2.2'!G198/365*$D80</f>
        <v>0</v>
      </c>
      <c r="F80" s="886">
        <f>'F2.2'!J198/365*$D80</f>
        <v>0</v>
      </c>
      <c r="G80" s="886">
        <f>'F2.2'!M198/366*$D80</f>
        <v>3.1541277229322215</v>
      </c>
      <c r="H80" s="886">
        <f>'F2.2'!P198/365*$D80</f>
        <v>3.6132461693164948</v>
      </c>
      <c r="I80" s="886">
        <f>'F2.2'!S198/365*$D80</f>
        <v>3.6132461693164948</v>
      </c>
    </row>
    <row r="81" spans="3:9">
      <c r="C81" s="1092" t="s">
        <v>1437</v>
      </c>
      <c r="D81" s="1094">
        <v>1</v>
      </c>
      <c r="E81" s="886">
        <f>'F3'!E24/12*$D81</f>
        <v>0</v>
      </c>
      <c r="F81" s="886">
        <f>'F3'!F24/12*$D81</f>
        <v>0.671207055</v>
      </c>
      <c r="G81" s="886">
        <f>'F3'!G24/12*$D81</f>
        <v>1.4005406409629997</v>
      </c>
      <c r="H81" s="886">
        <f>'F3'!H24/12*$D81</f>
        <v>1.4611840507166975</v>
      </c>
      <c r="I81" s="886">
        <f>'F3'!I24/12*$D81</f>
        <v>1.5244533201127306</v>
      </c>
    </row>
    <row r="82" spans="3:9">
      <c r="C82" s="1095" t="s">
        <v>1438</v>
      </c>
      <c r="D82" s="1096">
        <v>0.01</v>
      </c>
      <c r="E82" s="886">
        <f>'F3'!E23*$D82</f>
        <v>0</v>
      </c>
      <c r="F82" s="886">
        <f>'F3'!F23*$D82</f>
        <v>3.8601000000000001</v>
      </c>
      <c r="G82" s="886">
        <f>'F3'!G23*$D82</f>
        <v>7.7202000000000002</v>
      </c>
      <c r="H82" s="886">
        <f>'F3'!H23*$D82</f>
        <v>7.7202000000000002</v>
      </c>
      <c r="I82" s="886">
        <f>'F3'!I23*$D82</f>
        <v>7.7202000000000002</v>
      </c>
    </row>
    <row r="83" spans="3:9" ht="14.5">
      <c r="C83" s="1097" t="s">
        <v>1439</v>
      </c>
      <c r="D83" s="1098"/>
      <c r="E83" s="1099">
        <f>SUM(E79:E82)</f>
        <v>0</v>
      </c>
      <c r="F83" s="1099">
        <f t="shared" ref="F83:I83" si="6">SUM(F79:F82)</f>
        <v>4.5313070550000001</v>
      </c>
      <c r="G83" s="1099">
        <f t="shared" si="6"/>
        <v>14.377620179183369</v>
      </c>
      <c r="H83" s="1099">
        <f t="shared" si="6"/>
        <v>15.203460999577523</v>
      </c>
      <c r="I83" s="1099">
        <f t="shared" si="6"/>
        <v>15.266730268973555</v>
      </c>
    </row>
    <row r="84" spans="3:9" ht="14.5">
      <c r="C84" s="1100" t="s">
        <v>1440</v>
      </c>
      <c r="D84" s="1101" t="s">
        <v>99</v>
      </c>
      <c r="E84" s="1102">
        <f>E72</f>
        <v>0.1045</v>
      </c>
      <c r="F84" s="1102">
        <f t="shared" ref="F84:I84" si="7">F72</f>
        <v>0.1045</v>
      </c>
      <c r="G84" s="1102">
        <f t="shared" si="7"/>
        <v>0.1045</v>
      </c>
      <c r="H84" s="1102">
        <f t="shared" si="7"/>
        <v>0.1045</v>
      </c>
      <c r="I84" s="1102">
        <f t="shared" si="7"/>
        <v>0.1045</v>
      </c>
    </row>
    <row r="85" spans="3:9" ht="14.5">
      <c r="C85" s="1100" t="s">
        <v>1433</v>
      </c>
      <c r="D85" s="1103"/>
      <c r="E85" s="1104">
        <f>E83*E84</f>
        <v>0</v>
      </c>
      <c r="F85" s="1104">
        <f t="shared" ref="F85:I85" si="8">F83*F84</f>
        <v>0.47352158724749999</v>
      </c>
      <c r="G85" s="1104">
        <f t="shared" si="8"/>
        <v>1.5024613087246619</v>
      </c>
      <c r="H85" s="1104">
        <f t="shared" si="8"/>
        <v>1.588761674455851</v>
      </c>
      <c r="I85" s="1104">
        <f t="shared" si="8"/>
        <v>1.5953733131077366</v>
      </c>
    </row>
    <row r="86" spans="3:9">
      <c r="C86" s="9"/>
      <c r="D86" s="9"/>
      <c r="E86" s="9"/>
      <c r="F86" s="9"/>
      <c r="G86" s="9"/>
      <c r="H86" s="9"/>
      <c r="I86" s="9"/>
    </row>
    <row r="87" spans="3:9">
      <c r="C87" s="9"/>
      <c r="D87" s="9"/>
      <c r="E87" s="9"/>
      <c r="F87" s="9"/>
      <c r="G87" s="9"/>
      <c r="H87" s="9"/>
      <c r="I87" s="9"/>
    </row>
  </sheetData>
  <mergeCells count="14">
    <mergeCell ref="C77:C78"/>
    <mergeCell ref="D77:D78"/>
    <mergeCell ref="B47:B48"/>
    <mergeCell ref="C47:C48"/>
    <mergeCell ref="D47:D48"/>
    <mergeCell ref="G8:H8"/>
    <mergeCell ref="I8:J8"/>
    <mergeCell ref="B2:F2"/>
    <mergeCell ref="B3:F3"/>
    <mergeCell ref="B4:F4"/>
    <mergeCell ref="E8:F8"/>
    <mergeCell ref="B8:B9"/>
    <mergeCell ref="C8:C9"/>
    <mergeCell ref="D8:D9"/>
  </mergeCells>
  <pageMargins left="0.74803149606299213" right="0.74803149606299213" top="0.98425196850393704" bottom="0.98425196850393704" header="0.51181102362204722" footer="0.51181102362204722"/>
  <pageSetup paperSize="9" scale="56" fitToHeight="0" orientation="landscape" r:id="rId1"/>
  <headerFooter alignWithMargins="0"/>
  <rowBreaks count="1" manualBreakCount="1">
    <brk id="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B28" sqref="B28"/>
    </sheetView>
  </sheetViews>
  <sheetFormatPr defaultColWidth="9.36328125" defaultRowHeight="14"/>
  <cols>
    <col min="1" max="1" width="4.36328125" style="5" customWidth="1"/>
    <col min="2" max="2" width="6.36328125" style="5" customWidth="1"/>
    <col min="3" max="3" width="44.6328125" style="5" customWidth="1"/>
    <col min="4" max="4" width="6.36328125" style="50" bestFit="1" customWidth="1"/>
    <col min="5" max="5" width="7" style="50" bestFit="1" customWidth="1"/>
    <col min="6" max="7" width="15.6328125" style="50" customWidth="1"/>
    <col min="8" max="8" width="7" style="50" bestFit="1" customWidth="1"/>
    <col min="9" max="10" width="15.6328125" style="50" customWidth="1"/>
    <col min="11" max="11" width="7" style="5" bestFit="1" customWidth="1"/>
    <col min="12" max="14" width="15.6328125" style="5" customWidth="1"/>
    <col min="15" max="19" width="5.90625" style="5" bestFit="1" customWidth="1"/>
    <col min="20" max="20" width="9.54296875" style="5" bestFit="1" customWidth="1"/>
    <col min="21" max="16384" width="9.36328125" style="5"/>
  </cols>
  <sheetData>
    <row r="2" spans="2:20">
      <c r="B2" s="1682" t="str">
        <f>Index!B2</f>
        <v xml:space="preserve">      Maharashtra State Power Generation Company Ltd.</v>
      </c>
      <c r="C2" s="1682"/>
      <c r="D2" s="1682"/>
      <c r="E2" s="1682"/>
      <c r="F2" s="1682"/>
      <c r="G2" s="1682"/>
      <c r="H2" s="1682"/>
      <c r="I2" s="1682"/>
      <c r="J2" s="1682"/>
      <c r="K2" s="1712" t="str">
        <f>B2</f>
        <v xml:space="preserve">      Maharashtra State Power Generation Company Ltd.</v>
      </c>
      <c r="L2" s="1712"/>
      <c r="M2" s="1712"/>
      <c r="N2" s="1712"/>
      <c r="O2" s="1712"/>
      <c r="P2" s="1712"/>
      <c r="Q2" s="1712"/>
      <c r="R2" s="1712"/>
      <c r="S2" s="1712"/>
      <c r="T2" s="1712"/>
    </row>
    <row r="3" spans="2:20">
      <c r="B3" s="1682" t="str">
        <f>Index!B3</f>
        <v>MYT Petition Formats for Bhusawal Units 4&amp;5</v>
      </c>
      <c r="C3" s="1682"/>
      <c r="D3" s="1682"/>
      <c r="E3" s="1682"/>
      <c r="F3" s="1682"/>
      <c r="G3" s="1682"/>
      <c r="H3" s="1682"/>
      <c r="I3" s="1682"/>
      <c r="J3" s="1682"/>
      <c r="K3" s="1712" t="str">
        <f>B3</f>
        <v>MYT Petition Formats for Bhusawal Units 4&amp;5</v>
      </c>
      <c r="L3" s="1712"/>
      <c r="M3" s="1712"/>
      <c r="N3" s="1712"/>
      <c r="O3" s="1712"/>
      <c r="P3" s="1712"/>
      <c r="Q3" s="1712"/>
      <c r="R3" s="1712"/>
      <c r="S3" s="1712"/>
      <c r="T3" s="1712"/>
    </row>
    <row r="4" spans="2:20">
      <c r="B4" s="1682" t="s">
        <v>386</v>
      </c>
      <c r="C4" s="1682"/>
      <c r="D4" s="1682"/>
      <c r="E4" s="1682"/>
      <c r="F4" s="1682"/>
      <c r="G4" s="1682"/>
      <c r="H4" s="1682"/>
      <c r="I4" s="1682"/>
      <c r="J4" s="1682"/>
      <c r="K4" s="1712" t="str">
        <f>B4</f>
        <v>Form 2.5: Operational Parameters - Hydel Generation</v>
      </c>
      <c r="L4" s="1712"/>
      <c r="M4" s="1712"/>
      <c r="N4" s="1712"/>
      <c r="O4" s="1712"/>
      <c r="P4" s="1712"/>
      <c r="Q4" s="1712"/>
      <c r="R4" s="1712"/>
      <c r="S4" s="1712"/>
      <c r="T4" s="1712"/>
    </row>
    <row r="5" spans="2:20">
      <c r="B5" s="1682"/>
      <c r="C5" s="1738"/>
      <c r="D5" s="1738"/>
      <c r="E5" s="1738"/>
      <c r="F5" s="1738"/>
      <c r="G5" s="1738"/>
      <c r="H5" s="1738"/>
      <c r="I5" s="1738"/>
      <c r="J5" s="1738"/>
      <c r="K5" s="1738"/>
      <c r="L5" s="1738"/>
      <c r="M5" s="1738"/>
      <c r="N5" s="1738"/>
      <c r="O5" s="1738"/>
      <c r="P5" s="1738"/>
      <c r="Q5" s="1738"/>
      <c r="R5" s="1738"/>
      <c r="S5" s="1738"/>
      <c r="T5" s="1738"/>
    </row>
    <row r="6" spans="2:20">
      <c r="B6" s="134"/>
      <c r="C6" s="133"/>
      <c r="D6" s="133"/>
      <c r="E6" s="229"/>
      <c r="F6" s="229"/>
      <c r="G6" s="229"/>
      <c r="H6" s="284"/>
      <c r="I6" s="284"/>
      <c r="J6" s="284"/>
      <c r="K6" s="209"/>
      <c r="L6" s="133"/>
      <c r="M6" s="133"/>
      <c r="N6" s="133"/>
      <c r="O6" s="698"/>
      <c r="P6" s="698"/>
      <c r="Q6" s="698"/>
      <c r="R6" s="698"/>
      <c r="S6" s="698"/>
      <c r="T6" s="133"/>
    </row>
    <row r="7" spans="2:20" s="14" customFormat="1">
      <c r="B7" s="33"/>
      <c r="C7" s="8"/>
      <c r="D7" s="34"/>
      <c r="E7" s="34"/>
      <c r="F7" s="34"/>
      <c r="G7" s="34"/>
      <c r="H7" s="34"/>
      <c r="I7" s="34"/>
      <c r="J7" s="34"/>
      <c r="K7" s="16"/>
      <c r="L7" s="16"/>
      <c r="M7" s="16"/>
      <c r="N7" s="33"/>
      <c r="O7" s="33"/>
      <c r="P7" s="33"/>
      <c r="Q7" s="33"/>
      <c r="R7" s="33"/>
      <c r="S7" s="33"/>
      <c r="T7" s="16"/>
    </row>
    <row r="8" spans="2:20" s="35" customFormat="1" ht="13.75" customHeight="1">
      <c r="B8" s="1676" t="s">
        <v>341</v>
      </c>
      <c r="C8" s="1713" t="s">
        <v>37</v>
      </c>
      <c r="D8" s="1713" t="s">
        <v>94</v>
      </c>
      <c r="E8" s="1678" t="s">
        <v>509</v>
      </c>
      <c r="F8" s="1679"/>
      <c r="G8" s="1680"/>
      <c r="H8" s="1678" t="s">
        <v>510</v>
      </c>
      <c r="I8" s="1679"/>
      <c r="J8" s="1680"/>
      <c r="K8" s="1678" t="s">
        <v>511</v>
      </c>
      <c r="L8" s="1679"/>
      <c r="M8" s="1679"/>
      <c r="N8" s="1679"/>
      <c r="O8" s="1681" t="s">
        <v>946</v>
      </c>
      <c r="P8" s="1681"/>
      <c r="Q8" s="1681"/>
      <c r="R8" s="1681"/>
      <c r="S8" s="1681"/>
      <c r="T8" s="1676" t="s">
        <v>27</v>
      </c>
    </row>
    <row r="9" spans="2:20" s="36" customFormat="1" ht="30" customHeight="1">
      <c r="B9" s="1713"/>
      <c r="C9" s="1713"/>
      <c r="D9" s="1713"/>
      <c r="E9" s="367" t="s">
        <v>779</v>
      </c>
      <c r="F9" s="289" t="s">
        <v>79</v>
      </c>
      <c r="G9" s="289" t="s">
        <v>452</v>
      </c>
      <c r="H9" s="367" t="s">
        <v>952</v>
      </c>
      <c r="I9" s="289" t="s">
        <v>79</v>
      </c>
      <c r="J9" s="289" t="s">
        <v>452</v>
      </c>
      <c r="K9" s="367" t="s">
        <v>952</v>
      </c>
      <c r="L9" s="289" t="s">
        <v>445</v>
      </c>
      <c r="M9" s="289" t="s">
        <v>449</v>
      </c>
      <c r="N9" s="289" t="s">
        <v>80</v>
      </c>
      <c r="O9" s="702" t="s">
        <v>947</v>
      </c>
      <c r="P9" s="702" t="s">
        <v>948</v>
      </c>
      <c r="Q9" s="702" t="s">
        <v>949</v>
      </c>
      <c r="R9" s="702" t="s">
        <v>950</v>
      </c>
      <c r="S9" s="702" t="s">
        <v>951</v>
      </c>
      <c r="T9" s="1676"/>
    </row>
    <row r="10" spans="2:20" s="36" customFormat="1" ht="20" customHeight="1">
      <c r="B10" s="1720"/>
      <c r="C10" s="1720"/>
      <c r="D10" s="1720"/>
      <c r="E10" s="289" t="s">
        <v>81</v>
      </c>
      <c r="F10" s="289" t="s">
        <v>82</v>
      </c>
      <c r="G10" s="289" t="s">
        <v>644</v>
      </c>
      <c r="H10" s="289" t="s">
        <v>392</v>
      </c>
      <c r="I10" s="289" t="s">
        <v>410</v>
      </c>
      <c r="J10" s="289" t="s">
        <v>457</v>
      </c>
      <c r="K10" s="289" t="s">
        <v>622</v>
      </c>
      <c r="L10" s="289" t="s">
        <v>558</v>
      </c>
      <c r="M10" s="289" t="s">
        <v>559</v>
      </c>
      <c r="N10" s="289" t="s">
        <v>646</v>
      </c>
      <c r="O10" s="692" t="s">
        <v>21</v>
      </c>
      <c r="P10" s="692" t="s">
        <v>21</v>
      </c>
      <c r="Q10" s="692" t="s">
        <v>21</v>
      </c>
      <c r="R10" s="692" t="s">
        <v>21</v>
      </c>
      <c r="S10" s="692" t="s">
        <v>21</v>
      </c>
      <c r="T10" s="1677"/>
    </row>
    <row r="11" spans="2:20" s="36" customFormat="1" ht="42" customHeight="1">
      <c r="B11" s="39">
        <v>1</v>
      </c>
      <c r="C11" s="143" t="s">
        <v>95</v>
      </c>
      <c r="D11" s="144"/>
      <c r="E11" s="1729" t="s">
        <v>738</v>
      </c>
      <c r="F11" s="1730"/>
      <c r="G11" s="1730"/>
      <c r="H11" s="1730"/>
      <c r="I11" s="1730"/>
      <c r="J11" s="1730"/>
      <c r="K11" s="1730" t="str">
        <f>E11</f>
        <v>Not Applicable for Thermal Power Plant</v>
      </c>
      <c r="L11" s="1730"/>
      <c r="M11" s="1730"/>
      <c r="N11" s="1730"/>
      <c r="O11" s="1730"/>
      <c r="P11" s="1730"/>
      <c r="Q11" s="1730"/>
      <c r="R11" s="1730"/>
      <c r="S11" s="1730"/>
      <c r="T11" s="1735"/>
    </row>
    <row r="12" spans="2:20" s="36" customFormat="1">
      <c r="B12" s="145">
        <v>1.1000000000000001</v>
      </c>
      <c r="C12" s="147" t="s">
        <v>96</v>
      </c>
      <c r="D12" s="145" t="s">
        <v>97</v>
      </c>
      <c r="E12" s="1731"/>
      <c r="F12" s="1732"/>
      <c r="G12" s="1732"/>
      <c r="H12" s="1732"/>
      <c r="I12" s="1732"/>
      <c r="J12" s="1732"/>
      <c r="K12" s="1732"/>
      <c r="L12" s="1732"/>
      <c r="M12" s="1732"/>
      <c r="N12" s="1732"/>
      <c r="O12" s="1732"/>
      <c r="P12" s="1732"/>
      <c r="Q12" s="1732"/>
      <c r="R12" s="1732"/>
      <c r="S12" s="1732"/>
      <c r="T12" s="1736"/>
    </row>
    <row r="13" spans="2:20" s="36" customFormat="1">
      <c r="B13" s="145">
        <v>1.2</v>
      </c>
      <c r="C13" s="146" t="s">
        <v>156</v>
      </c>
      <c r="D13" s="145" t="s">
        <v>99</v>
      </c>
      <c r="E13" s="1731"/>
      <c r="F13" s="1732"/>
      <c r="G13" s="1732"/>
      <c r="H13" s="1732"/>
      <c r="I13" s="1732"/>
      <c r="J13" s="1732"/>
      <c r="K13" s="1732"/>
      <c r="L13" s="1732"/>
      <c r="M13" s="1732"/>
      <c r="N13" s="1732"/>
      <c r="O13" s="1732"/>
      <c r="P13" s="1732"/>
      <c r="Q13" s="1732"/>
      <c r="R13" s="1732"/>
      <c r="S13" s="1732"/>
      <c r="T13" s="1736"/>
    </row>
    <row r="14" spans="2:20" s="36" customFormat="1">
      <c r="B14" s="145">
        <v>1.3</v>
      </c>
      <c r="C14" s="146" t="s">
        <v>321</v>
      </c>
      <c r="D14" s="145" t="s">
        <v>99</v>
      </c>
      <c r="E14" s="1731"/>
      <c r="F14" s="1732"/>
      <c r="G14" s="1732"/>
      <c r="H14" s="1732"/>
      <c r="I14" s="1732"/>
      <c r="J14" s="1732"/>
      <c r="K14" s="1732"/>
      <c r="L14" s="1732"/>
      <c r="M14" s="1732"/>
      <c r="N14" s="1732"/>
      <c r="O14" s="1732"/>
      <c r="P14" s="1732"/>
      <c r="Q14" s="1732"/>
      <c r="R14" s="1732"/>
      <c r="S14" s="1732"/>
      <c r="T14" s="1736"/>
    </row>
    <row r="15" spans="2:20" s="36" customFormat="1">
      <c r="B15" s="145">
        <v>1.4</v>
      </c>
      <c r="C15" s="146" t="s">
        <v>157</v>
      </c>
      <c r="D15" s="145" t="s">
        <v>101</v>
      </c>
      <c r="E15" s="1731"/>
      <c r="F15" s="1732"/>
      <c r="G15" s="1732"/>
      <c r="H15" s="1732"/>
      <c r="I15" s="1732"/>
      <c r="J15" s="1732"/>
      <c r="K15" s="1732"/>
      <c r="L15" s="1732"/>
      <c r="M15" s="1732"/>
      <c r="N15" s="1732"/>
      <c r="O15" s="1732"/>
      <c r="P15" s="1732"/>
      <c r="Q15" s="1732"/>
      <c r="R15" s="1732"/>
      <c r="S15" s="1732"/>
      <c r="T15" s="1736"/>
    </row>
    <row r="16" spans="2:20" s="36" customFormat="1">
      <c r="B16" s="145">
        <v>1.5</v>
      </c>
      <c r="C16" s="152" t="s">
        <v>158</v>
      </c>
      <c r="D16" s="145" t="s">
        <v>101</v>
      </c>
      <c r="E16" s="1731"/>
      <c r="F16" s="1732"/>
      <c r="G16" s="1732"/>
      <c r="H16" s="1732"/>
      <c r="I16" s="1732"/>
      <c r="J16" s="1732"/>
      <c r="K16" s="1732"/>
      <c r="L16" s="1732"/>
      <c r="M16" s="1732"/>
      <c r="N16" s="1732"/>
      <c r="O16" s="1732"/>
      <c r="P16" s="1732"/>
      <c r="Q16" s="1732"/>
      <c r="R16" s="1732"/>
      <c r="S16" s="1732"/>
      <c r="T16" s="1736"/>
    </row>
    <row r="17" spans="2:20" s="36" customFormat="1">
      <c r="B17" s="145">
        <v>1.6</v>
      </c>
      <c r="C17" s="152" t="s">
        <v>159</v>
      </c>
      <c r="D17" s="145" t="s">
        <v>99</v>
      </c>
      <c r="E17" s="1731"/>
      <c r="F17" s="1732"/>
      <c r="G17" s="1732"/>
      <c r="H17" s="1732"/>
      <c r="I17" s="1732"/>
      <c r="J17" s="1732"/>
      <c r="K17" s="1732"/>
      <c r="L17" s="1732"/>
      <c r="M17" s="1732"/>
      <c r="N17" s="1732"/>
      <c r="O17" s="1732"/>
      <c r="P17" s="1732"/>
      <c r="Q17" s="1732"/>
      <c r="R17" s="1732"/>
      <c r="S17" s="1732"/>
      <c r="T17" s="1736"/>
    </row>
    <row r="18" spans="2:20" s="36" customFormat="1">
      <c r="B18" s="145">
        <v>1.7</v>
      </c>
      <c r="C18" s="153" t="s">
        <v>159</v>
      </c>
      <c r="D18" s="145" t="s">
        <v>101</v>
      </c>
      <c r="E18" s="1731"/>
      <c r="F18" s="1732"/>
      <c r="G18" s="1732"/>
      <c r="H18" s="1732"/>
      <c r="I18" s="1732"/>
      <c r="J18" s="1732"/>
      <c r="K18" s="1732"/>
      <c r="L18" s="1732"/>
      <c r="M18" s="1732"/>
      <c r="N18" s="1732"/>
      <c r="O18" s="1732"/>
      <c r="P18" s="1732"/>
      <c r="Q18" s="1732"/>
      <c r="R18" s="1732"/>
      <c r="S18" s="1732"/>
      <c r="T18" s="1736"/>
    </row>
    <row r="19" spans="2:20" s="36" customFormat="1">
      <c r="B19" s="95">
        <v>1.8</v>
      </c>
      <c r="C19" s="152" t="s">
        <v>102</v>
      </c>
      <c r="D19" s="145" t="s">
        <v>101</v>
      </c>
      <c r="E19" s="1733"/>
      <c r="F19" s="1734"/>
      <c r="G19" s="1734"/>
      <c r="H19" s="1734"/>
      <c r="I19" s="1734"/>
      <c r="J19" s="1734"/>
      <c r="K19" s="1734"/>
      <c r="L19" s="1734"/>
      <c r="M19" s="1734"/>
      <c r="N19" s="1734"/>
      <c r="O19" s="1734"/>
      <c r="P19" s="1734"/>
      <c r="Q19" s="1734"/>
      <c r="R19" s="1734"/>
      <c r="S19" s="1734"/>
      <c r="T19" s="1737"/>
    </row>
    <row r="20" spans="2:20" s="1" customFormat="1" ht="16">
      <c r="B20" s="41"/>
      <c r="C20" s="42"/>
      <c r="D20" s="43"/>
      <c r="E20" s="43"/>
      <c r="F20" s="43"/>
      <c r="G20" s="43"/>
      <c r="H20" s="43"/>
      <c r="I20" s="43"/>
      <c r="J20" s="43"/>
      <c r="K20" s="48"/>
      <c r="L20" s="48"/>
      <c r="M20" s="11"/>
      <c r="N20" s="11"/>
      <c r="O20" s="11"/>
      <c r="P20" s="11"/>
      <c r="Q20" s="11"/>
      <c r="R20" s="11"/>
      <c r="S20" s="11"/>
    </row>
    <row r="21" spans="2:20" s="1" customFormat="1" ht="16">
      <c r="B21" s="44"/>
      <c r="C21" s="45"/>
      <c r="D21" s="46"/>
      <c r="E21" s="46"/>
      <c r="F21" s="46"/>
      <c r="G21" s="46"/>
      <c r="H21" s="46"/>
      <c r="I21" s="46"/>
      <c r="J21" s="46"/>
      <c r="K21" s="45"/>
      <c r="L21" s="45"/>
      <c r="M21" s="45"/>
      <c r="N21" s="45"/>
      <c r="O21" s="45"/>
      <c r="P21" s="45"/>
      <c r="Q21" s="45"/>
      <c r="R21" s="45"/>
      <c r="S21" s="45"/>
    </row>
    <row r="22" spans="2:20" s="1" customFormat="1" ht="16">
      <c r="B22" s="163"/>
      <c r="C22" s="45"/>
      <c r="D22" s="46"/>
      <c r="E22" s="46"/>
      <c r="F22" s="46"/>
      <c r="G22" s="46"/>
      <c r="H22" s="46"/>
      <c r="I22" s="46"/>
      <c r="J22" s="46"/>
      <c r="K22" s="45"/>
      <c r="L22" s="45"/>
      <c r="M22" s="45"/>
      <c r="N22" s="45"/>
      <c r="O22" s="45"/>
      <c r="P22" s="45"/>
      <c r="Q22" s="45"/>
      <c r="R22" s="45"/>
      <c r="S22" s="45"/>
    </row>
    <row r="23" spans="2:20" s="1" customFormat="1">
      <c r="B23" s="7"/>
      <c r="C23" s="51"/>
      <c r="D23" s="49"/>
      <c r="E23" s="49"/>
      <c r="F23" s="49"/>
      <c r="G23" s="49"/>
      <c r="H23" s="49"/>
      <c r="I23" s="49"/>
      <c r="J23" s="49"/>
      <c r="K23" s="51"/>
      <c r="L23" s="51"/>
      <c r="M23" s="51"/>
      <c r="N23" s="51"/>
      <c r="O23" s="51"/>
      <c r="P23" s="51"/>
      <c r="Q23" s="51"/>
      <c r="R23" s="51"/>
      <c r="S23" s="51"/>
    </row>
    <row r="24" spans="2:20">
      <c r="M24" s="52"/>
    </row>
  </sheetData>
  <mergeCells count="17">
    <mergeCell ref="K2:T2"/>
    <mergeCell ref="K3:T3"/>
    <mergeCell ref="K4:T4"/>
    <mergeCell ref="B5:T5"/>
    <mergeCell ref="B8:B10"/>
    <mergeCell ref="C8:C10"/>
    <mergeCell ref="D8:D10"/>
    <mergeCell ref="K8:N8"/>
    <mergeCell ref="E8:G8"/>
    <mergeCell ref="H8:J8"/>
    <mergeCell ref="T8:T10"/>
    <mergeCell ref="B2:J2"/>
    <mergeCell ref="O8:S8"/>
    <mergeCell ref="E11:J19"/>
    <mergeCell ref="K11:T19"/>
    <mergeCell ref="B3:J3"/>
    <mergeCell ref="B4:J4"/>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2"/>
  <sheetViews>
    <sheetView showGridLines="0" view="pageBreakPreview" topLeftCell="B7" zoomScale="87" zoomScaleNormal="80" zoomScaleSheetLayoutView="87" workbookViewId="0">
      <selection activeCell="B28" sqref="B28"/>
    </sheetView>
  </sheetViews>
  <sheetFormatPr defaultColWidth="9.36328125" defaultRowHeight="14"/>
  <cols>
    <col min="1" max="1" width="3.36328125" style="90" customWidth="1"/>
    <col min="2" max="2" width="7.6328125" style="90" customWidth="1"/>
    <col min="3" max="3" width="54.54296875" style="90" bestFit="1" customWidth="1"/>
    <col min="4" max="4" width="13" style="90" bestFit="1" customWidth="1"/>
    <col min="5" max="5" width="6.6328125" style="90" bestFit="1" customWidth="1"/>
    <col min="6" max="6" width="15.36328125" style="90" customWidth="1"/>
    <col min="7" max="7" width="12.6328125" style="90" bestFit="1" customWidth="1"/>
    <col min="8" max="8" width="6.6328125" style="90" bestFit="1" customWidth="1"/>
    <col min="9" max="10" width="12.54296875" style="90" bestFit="1" customWidth="1"/>
    <col min="11" max="11" width="6.6328125" style="90" bestFit="1" customWidth="1"/>
    <col min="12" max="12" width="8.6328125" style="90" bestFit="1" customWidth="1"/>
    <col min="13" max="13" width="11.90625" style="90" bestFit="1" customWidth="1"/>
    <col min="14" max="14" width="13.90625" style="90" bestFit="1" customWidth="1"/>
    <col min="15" max="20" width="15.36328125" style="90" customWidth="1"/>
    <col min="21" max="21" width="9.54296875" style="90" bestFit="1" customWidth="1"/>
    <col min="22" max="16384" width="9.36328125" style="90"/>
  </cols>
  <sheetData>
    <row r="2" spans="2:21">
      <c r="B2" s="1682" t="str">
        <f>Index!B2</f>
        <v xml:space="preserve">      Maharashtra State Power Generation Company Ltd.</v>
      </c>
      <c r="C2" s="1682"/>
      <c r="D2" s="1682"/>
      <c r="E2" s="1682"/>
      <c r="F2" s="1682"/>
      <c r="G2" s="1682"/>
      <c r="H2" s="1682"/>
      <c r="I2" s="1682"/>
      <c r="J2" s="1682"/>
      <c r="K2" s="1712" t="str">
        <f>B2</f>
        <v xml:space="preserve">      Maharashtra State Power Generation Company Ltd.</v>
      </c>
      <c r="L2" s="1712"/>
      <c r="M2" s="1712"/>
      <c r="N2" s="1712"/>
      <c r="O2" s="1712"/>
      <c r="P2" s="1712"/>
      <c r="Q2" s="1712"/>
      <c r="R2" s="1712"/>
      <c r="S2" s="1712"/>
      <c r="T2" s="1712"/>
      <c r="U2" s="1712"/>
    </row>
    <row r="3" spans="2:21">
      <c r="B3" s="1682" t="str">
        <f>Index!B3</f>
        <v>MYT Petition Formats for Bhusawal Units 4&amp;5</v>
      </c>
      <c r="C3" s="1682"/>
      <c r="D3" s="1682"/>
      <c r="E3" s="1682"/>
      <c r="F3" s="1682"/>
      <c r="G3" s="1682"/>
      <c r="H3" s="1682"/>
      <c r="I3" s="1682"/>
      <c r="J3" s="1682"/>
      <c r="K3" s="1712" t="str">
        <f>B3</f>
        <v>MYT Petition Formats for Bhusawal Units 4&amp;5</v>
      </c>
      <c r="L3" s="1712"/>
      <c r="M3" s="1712"/>
      <c r="N3" s="1712"/>
      <c r="O3" s="1712"/>
      <c r="P3" s="1712"/>
      <c r="Q3" s="1712"/>
      <c r="R3" s="1712"/>
      <c r="S3" s="1712"/>
      <c r="T3" s="1712"/>
      <c r="U3" s="1712"/>
    </row>
    <row r="4" spans="2:21">
      <c r="B4" s="1682" t="s">
        <v>460</v>
      </c>
      <c r="C4" s="1682"/>
      <c r="D4" s="1682"/>
      <c r="E4" s="1682"/>
      <c r="F4" s="1682"/>
      <c r="G4" s="1682"/>
      <c r="H4" s="1682"/>
      <c r="I4" s="1682"/>
      <c r="J4" s="1682"/>
      <c r="K4" s="1712" t="str">
        <f>B4</f>
        <v>Form 2.6: Capacity Charge &amp; Energy Charge Rate - Hydel Generation</v>
      </c>
      <c r="L4" s="1712"/>
      <c r="M4" s="1712"/>
      <c r="N4" s="1712"/>
      <c r="O4" s="1712"/>
      <c r="P4" s="1712"/>
      <c r="Q4" s="1712"/>
      <c r="R4" s="1712"/>
      <c r="S4" s="1712"/>
      <c r="T4" s="1712"/>
      <c r="U4" s="1712"/>
    </row>
    <row r="6" spans="2:21">
      <c r="B6" s="155"/>
      <c r="C6" s="156"/>
      <c r="D6" s="157"/>
      <c r="E6" s="157"/>
      <c r="F6" s="157"/>
      <c r="G6" s="157"/>
      <c r="H6" s="157"/>
      <c r="I6" s="157"/>
      <c r="J6" s="157"/>
      <c r="U6" s="21"/>
    </row>
    <row r="7" spans="2:21" ht="13.75" customHeight="1">
      <c r="B7" s="1719" t="s">
        <v>341</v>
      </c>
      <c r="C7" s="1721" t="s">
        <v>37</v>
      </c>
      <c r="D7" s="1721" t="s">
        <v>456</v>
      </c>
      <c r="E7" s="1678" t="s">
        <v>509</v>
      </c>
      <c r="F7" s="1679"/>
      <c r="G7" s="1680"/>
      <c r="H7" s="1678" t="s">
        <v>510</v>
      </c>
      <c r="I7" s="1679"/>
      <c r="J7" s="1680"/>
      <c r="K7" s="1678" t="s">
        <v>511</v>
      </c>
      <c r="L7" s="1679"/>
      <c r="M7" s="1679"/>
      <c r="N7" s="1679"/>
      <c r="O7" s="1680"/>
      <c r="P7" s="1681" t="s">
        <v>946</v>
      </c>
      <c r="Q7" s="1681"/>
      <c r="R7" s="1681"/>
      <c r="S7" s="1681"/>
      <c r="T7" s="1681"/>
      <c r="U7" s="1676" t="s">
        <v>27</v>
      </c>
    </row>
    <row r="8" spans="2:21" ht="42">
      <c r="B8" s="1719"/>
      <c r="C8" s="1721"/>
      <c r="D8" s="1721"/>
      <c r="E8" s="367" t="s">
        <v>953</v>
      </c>
      <c r="F8" s="289" t="s">
        <v>79</v>
      </c>
      <c r="G8" s="289" t="s">
        <v>780</v>
      </c>
      <c r="H8" s="367" t="s">
        <v>953</v>
      </c>
      <c r="I8" s="289" t="s">
        <v>79</v>
      </c>
      <c r="J8" s="367" t="s">
        <v>780</v>
      </c>
      <c r="K8" s="367" t="s">
        <v>953</v>
      </c>
      <c r="L8" s="289" t="s">
        <v>445</v>
      </c>
      <c r="M8" s="289" t="s">
        <v>449</v>
      </c>
      <c r="N8" s="289" t="s">
        <v>80</v>
      </c>
      <c r="O8" s="289" t="s">
        <v>453</v>
      </c>
      <c r="P8" s="702" t="s">
        <v>947</v>
      </c>
      <c r="Q8" s="702" t="s">
        <v>948</v>
      </c>
      <c r="R8" s="702" t="s">
        <v>949</v>
      </c>
      <c r="S8" s="702" t="s">
        <v>950</v>
      </c>
      <c r="T8" s="702" t="s">
        <v>951</v>
      </c>
      <c r="U8" s="1676"/>
    </row>
    <row r="9" spans="2:21">
      <c r="B9" s="1720"/>
      <c r="C9" s="1688"/>
      <c r="D9" s="1688"/>
      <c r="E9" s="289" t="s">
        <v>81</v>
      </c>
      <c r="F9" s="289" t="s">
        <v>82</v>
      </c>
      <c r="G9" s="289" t="s">
        <v>644</v>
      </c>
      <c r="H9" s="289" t="s">
        <v>392</v>
      </c>
      <c r="I9" s="289" t="s">
        <v>410</v>
      </c>
      <c r="J9" s="289" t="s">
        <v>457</v>
      </c>
      <c r="K9" s="289" t="s">
        <v>622</v>
      </c>
      <c r="L9" s="289" t="s">
        <v>558</v>
      </c>
      <c r="M9" s="289" t="s">
        <v>559</v>
      </c>
      <c r="N9" s="289" t="s">
        <v>646</v>
      </c>
      <c r="O9" s="289" t="s">
        <v>647</v>
      </c>
      <c r="P9" s="692" t="s">
        <v>21</v>
      </c>
      <c r="Q9" s="692" t="s">
        <v>21</v>
      </c>
      <c r="R9" s="692" t="s">
        <v>21</v>
      </c>
      <c r="S9" s="692" t="s">
        <v>21</v>
      </c>
      <c r="T9" s="692" t="s">
        <v>21</v>
      </c>
      <c r="U9" s="1677"/>
    </row>
    <row r="10" spans="2:21" s="65" customFormat="1">
      <c r="B10" s="158">
        <v>1</v>
      </c>
      <c r="C10" s="159" t="s">
        <v>459</v>
      </c>
      <c r="D10" s="166" t="s">
        <v>353</v>
      </c>
      <c r="E10" s="1739" t="s">
        <v>738</v>
      </c>
      <c r="F10" s="1740"/>
      <c r="G10" s="1740"/>
      <c r="H10" s="1740"/>
      <c r="I10" s="1740"/>
      <c r="J10" s="1740"/>
      <c r="K10" s="1745" t="str">
        <f>E10</f>
        <v>Not Applicable for Thermal Power Plant</v>
      </c>
      <c r="L10" s="1745"/>
      <c r="M10" s="1745"/>
      <c r="N10" s="1745"/>
      <c r="O10" s="1745"/>
      <c r="P10" s="1745"/>
      <c r="Q10" s="1745"/>
      <c r="R10" s="1745"/>
      <c r="S10" s="1745"/>
      <c r="T10" s="1745"/>
      <c r="U10" s="1746"/>
    </row>
    <row r="11" spans="2:21" s="65" customFormat="1">
      <c r="B11" s="158">
        <f>B10+1</f>
        <v>2</v>
      </c>
      <c r="C11" s="159" t="s">
        <v>420</v>
      </c>
      <c r="D11" s="166" t="s">
        <v>354</v>
      </c>
      <c r="E11" s="1741"/>
      <c r="F11" s="1742"/>
      <c r="G11" s="1742"/>
      <c r="H11" s="1742"/>
      <c r="I11" s="1742"/>
      <c r="J11" s="1742"/>
      <c r="K11" s="1747"/>
      <c r="L11" s="1747"/>
      <c r="M11" s="1747"/>
      <c r="N11" s="1747"/>
      <c r="O11" s="1747"/>
      <c r="P11" s="1747"/>
      <c r="Q11" s="1747"/>
      <c r="R11" s="1747"/>
      <c r="S11" s="1747"/>
      <c r="T11" s="1747"/>
      <c r="U11" s="1748"/>
    </row>
    <row r="12" spans="2:21" s="65" customFormat="1">
      <c r="B12" s="158">
        <f t="shared" ref="B12:B18" si="0">B11+1</f>
        <v>3</v>
      </c>
      <c r="C12" s="159" t="s">
        <v>364</v>
      </c>
      <c r="D12" s="166" t="s">
        <v>358</v>
      </c>
      <c r="E12" s="1741"/>
      <c r="F12" s="1742"/>
      <c r="G12" s="1742"/>
      <c r="H12" s="1742"/>
      <c r="I12" s="1742"/>
      <c r="J12" s="1742"/>
      <c r="K12" s="1747"/>
      <c r="L12" s="1747"/>
      <c r="M12" s="1747"/>
      <c r="N12" s="1747"/>
      <c r="O12" s="1747"/>
      <c r="P12" s="1747"/>
      <c r="Q12" s="1747"/>
      <c r="R12" s="1747"/>
      <c r="S12" s="1747"/>
      <c r="T12" s="1747"/>
      <c r="U12" s="1748"/>
    </row>
    <row r="13" spans="2:21">
      <c r="B13" s="158">
        <f t="shared" si="0"/>
        <v>4</v>
      </c>
      <c r="C13" s="160" t="s">
        <v>461</v>
      </c>
      <c r="D13" s="166" t="s">
        <v>458</v>
      </c>
      <c r="E13" s="1741"/>
      <c r="F13" s="1742"/>
      <c r="G13" s="1742"/>
      <c r="H13" s="1742"/>
      <c r="I13" s="1742"/>
      <c r="J13" s="1742"/>
      <c r="K13" s="1747"/>
      <c r="L13" s="1747"/>
      <c r="M13" s="1747"/>
      <c r="N13" s="1747"/>
      <c r="O13" s="1747"/>
      <c r="P13" s="1747"/>
      <c r="Q13" s="1747"/>
      <c r="R13" s="1747"/>
      <c r="S13" s="1747"/>
      <c r="T13" s="1747"/>
      <c r="U13" s="1748"/>
    </row>
    <row r="14" spans="2:21">
      <c r="B14" s="158"/>
      <c r="C14" s="161"/>
      <c r="D14" s="166"/>
      <c r="E14" s="1741"/>
      <c r="F14" s="1742"/>
      <c r="G14" s="1742"/>
      <c r="H14" s="1742"/>
      <c r="I14" s="1742"/>
      <c r="J14" s="1742"/>
      <c r="K14" s="1747"/>
      <c r="L14" s="1747"/>
      <c r="M14" s="1747"/>
      <c r="N14" s="1747"/>
      <c r="O14" s="1747"/>
      <c r="P14" s="1747"/>
      <c r="Q14" s="1747"/>
      <c r="R14" s="1747"/>
      <c r="S14" s="1747"/>
      <c r="T14" s="1747"/>
      <c r="U14" s="1748"/>
    </row>
    <row r="15" spans="2:21">
      <c r="B15" s="158">
        <v>5</v>
      </c>
      <c r="C15" s="159" t="s">
        <v>365</v>
      </c>
      <c r="D15" s="166" t="s">
        <v>355</v>
      </c>
      <c r="E15" s="1741"/>
      <c r="F15" s="1742"/>
      <c r="G15" s="1742"/>
      <c r="H15" s="1742"/>
      <c r="I15" s="1742"/>
      <c r="J15" s="1742"/>
      <c r="K15" s="1747"/>
      <c r="L15" s="1747"/>
      <c r="M15" s="1747"/>
      <c r="N15" s="1747"/>
      <c r="O15" s="1747"/>
      <c r="P15" s="1747"/>
      <c r="Q15" s="1747"/>
      <c r="R15" s="1747"/>
      <c r="S15" s="1747"/>
      <c r="T15" s="1747"/>
      <c r="U15" s="1748"/>
    </row>
    <row r="16" spans="2:21" s="96" customFormat="1">
      <c r="B16" s="158">
        <f t="shared" si="0"/>
        <v>6</v>
      </c>
      <c r="C16" s="159" t="s">
        <v>366</v>
      </c>
      <c r="D16" s="166" t="s">
        <v>360</v>
      </c>
      <c r="E16" s="1741"/>
      <c r="F16" s="1742"/>
      <c r="G16" s="1742"/>
      <c r="H16" s="1742"/>
      <c r="I16" s="1742"/>
      <c r="J16" s="1742"/>
      <c r="K16" s="1747"/>
      <c r="L16" s="1747"/>
      <c r="M16" s="1747"/>
      <c r="N16" s="1747"/>
      <c r="O16" s="1747"/>
      <c r="P16" s="1747"/>
      <c r="Q16" s="1747"/>
      <c r="R16" s="1747"/>
      <c r="S16" s="1747"/>
      <c r="T16" s="1747"/>
      <c r="U16" s="1748"/>
    </row>
    <row r="17" spans="2:21" s="96" customFormat="1">
      <c r="B17" s="158">
        <f t="shared" si="0"/>
        <v>7</v>
      </c>
      <c r="C17" s="159" t="s">
        <v>367</v>
      </c>
      <c r="D17" s="166" t="s">
        <v>361</v>
      </c>
      <c r="E17" s="1741"/>
      <c r="F17" s="1742"/>
      <c r="G17" s="1742"/>
      <c r="H17" s="1742"/>
      <c r="I17" s="1742"/>
      <c r="J17" s="1742"/>
      <c r="K17" s="1747"/>
      <c r="L17" s="1747"/>
      <c r="M17" s="1747"/>
      <c r="N17" s="1747"/>
      <c r="O17" s="1747"/>
      <c r="P17" s="1747"/>
      <c r="Q17" s="1747"/>
      <c r="R17" s="1747"/>
      <c r="S17" s="1747"/>
      <c r="T17" s="1747"/>
      <c r="U17" s="1748"/>
    </row>
    <row r="18" spans="2:21" s="96" customFormat="1">
      <c r="B18" s="158">
        <f t="shared" si="0"/>
        <v>8</v>
      </c>
      <c r="C18" s="167" t="s">
        <v>368</v>
      </c>
      <c r="D18" s="166" t="s">
        <v>362</v>
      </c>
      <c r="E18" s="1743"/>
      <c r="F18" s="1744"/>
      <c r="G18" s="1744"/>
      <c r="H18" s="1744"/>
      <c r="I18" s="1744"/>
      <c r="J18" s="1744"/>
      <c r="K18" s="1749"/>
      <c r="L18" s="1749"/>
      <c r="M18" s="1749"/>
      <c r="N18" s="1749"/>
      <c r="O18" s="1749"/>
      <c r="P18" s="1749"/>
      <c r="Q18" s="1749"/>
      <c r="R18" s="1749"/>
      <c r="S18" s="1749"/>
      <c r="T18" s="1749"/>
      <c r="U18" s="1750"/>
    </row>
    <row r="19" spans="2:21" s="96" customFormat="1">
      <c r="B19" s="90"/>
      <c r="C19" s="90"/>
    </row>
    <row r="20" spans="2:21" s="96" customFormat="1">
      <c r="B20" s="176"/>
      <c r="C20" s="162"/>
      <c r="D20" s="162"/>
      <c r="E20" s="162"/>
      <c r="F20" s="162"/>
      <c r="G20" s="162"/>
      <c r="H20" s="162"/>
      <c r="I20" s="162"/>
      <c r="J20" s="162"/>
    </row>
    <row r="21" spans="2:21" s="96" customFormat="1" ht="16">
      <c r="B21" s="163"/>
      <c r="C21" s="164"/>
      <c r="D21" s="165"/>
      <c r="E21" s="92"/>
      <c r="F21" s="92"/>
      <c r="G21" s="92"/>
      <c r="H21" s="92"/>
      <c r="I21" s="92"/>
      <c r="J21" s="92"/>
    </row>
    <row r="22" spans="2:21" s="96" customFormat="1" ht="18" customHeight="1">
      <c r="B22" s="7"/>
      <c r="C22" s="163"/>
      <c r="D22" s="163"/>
      <c r="E22" s="163"/>
      <c r="F22" s="163"/>
      <c r="G22" s="163"/>
      <c r="H22" s="163"/>
      <c r="I22" s="163"/>
      <c r="J22" s="163"/>
    </row>
  </sheetData>
  <mergeCells count="16">
    <mergeCell ref="B2:J2"/>
    <mergeCell ref="B3:J3"/>
    <mergeCell ref="B4:J4"/>
    <mergeCell ref="K2:U2"/>
    <mergeCell ref="K3:U3"/>
    <mergeCell ref="K4:U4"/>
    <mergeCell ref="B7:B9"/>
    <mergeCell ref="C7:C9"/>
    <mergeCell ref="D7:D9"/>
    <mergeCell ref="E7:G7"/>
    <mergeCell ref="H7:J7"/>
    <mergeCell ref="E10:J18"/>
    <mergeCell ref="K10:U18"/>
    <mergeCell ref="U7:U9"/>
    <mergeCell ref="K7:O7"/>
    <mergeCell ref="P7:T7"/>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B13" sqref="B13"/>
    </sheetView>
  </sheetViews>
  <sheetFormatPr defaultColWidth="9.36328125" defaultRowHeight="14"/>
  <cols>
    <col min="1" max="1" width="3.36328125" style="5" customWidth="1"/>
    <col min="2" max="2" width="8.36328125" style="5" customWidth="1"/>
    <col min="3" max="3" width="43.6328125" style="5" customWidth="1"/>
    <col min="4" max="4" width="7.36328125" style="5" bestFit="1" customWidth="1"/>
    <col min="5" max="5" width="11.08984375" style="5" customWidth="1"/>
    <col min="6" max="6" width="14.6328125" style="5" customWidth="1"/>
    <col min="7" max="7" width="7.90625" style="5" bestFit="1" customWidth="1"/>
    <col min="8" max="8" width="10.90625" style="5" bestFit="1" customWidth="1"/>
    <col min="9" max="9" width="7.90625" style="5" bestFit="1" customWidth="1"/>
    <col min="10" max="10" width="10.90625" style="5" bestFit="1" customWidth="1"/>
    <col min="11" max="11" width="7.90625" style="5" bestFit="1" customWidth="1"/>
    <col min="12" max="12" width="10.90625" style="5" bestFit="1" customWidth="1"/>
    <col min="13" max="13" width="7.90625" style="5" bestFit="1" customWidth="1"/>
    <col min="14" max="14" width="10.90625" style="5" bestFit="1" customWidth="1"/>
    <col min="15" max="16384" width="9.36328125" style="5"/>
  </cols>
  <sheetData>
    <row r="2" spans="2:14">
      <c r="B2" s="1682" t="str">
        <f>Index!B2</f>
        <v xml:space="preserve">      Maharashtra State Power Generation Company Ltd.</v>
      </c>
      <c r="C2" s="1738"/>
      <c r="D2" s="1738"/>
      <c r="E2" s="1738"/>
      <c r="F2" s="1738"/>
      <c r="G2" s="1738"/>
      <c r="H2" s="1738"/>
      <c r="I2" s="1738"/>
      <c r="J2" s="1738"/>
      <c r="K2" s="1738"/>
      <c r="L2" s="1738"/>
      <c r="M2" s="1738"/>
    </row>
    <row r="3" spans="2:14">
      <c r="B3" s="1682" t="str">
        <f>Index!B3</f>
        <v>MYT Petition Formats for Bhusawal Units 4&amp;5</v>
      </c>
      <c r="C3" s="1738"/>
      <c r="D3" s="1738"/>
      <c r="E3" s="1738"/>
      <c r="F3" s="1738"/>
      <c r="G3" s="1738"/>
      <c r="H3" s="1738"/>
      <c r="I3" s="1738"/>
      <c r="J3" s="1738"/>
      <c r="K3" s="1738"/>
      <c r="L3" s="1738"/>
      <c r="M3" s="1738"/>
    </row>
    <row r="4" spans="2:14">
      <c r="B4" s="1683" t="s">
        <v>387</v>
      </c>
      <c r="C4" s="1738"/>
      <c r="D4" s="1738"/>
      <c r="E4" s="1738"/>
      <c r="F4" s="1738"/>
      <c r="G4" s="1738"/>
      <c r="H4" s="1738"/>
      <c r="I4" s="1738"/>
      <c r="J4" s="1738"/>
      <c r="K4" s="1738"/>
      <c r="L4" s="1738"/>
      <c r="M4" s="1738"/>
    </row>
    <row r="6" spans="2:14">
      <c r="B6" s="6" t="s">
        <v>995</v>
      </c>
    </row>
    <row r="7" spans="2:14">
      <c r="B7" s="53"/>
      <c r="C7" s="17"/>
      <c r="D7" s="18"/>
      <c r="E7" s="18"/>
      <c r="F7" s="21" t="s">
        <v>10</v>
      </c>
      <c r="G7" s="18"/>
      <c r="H7" s="18"/>
      <c r="I7" s="18"/>
      <c r="J7" s="18"/>
      <c r="K7" s="18"/>
      <c r="L7" s="18"/>
      <c r="M7" s="18"/>
      <c r="N7" s="18"/>
    </row>
    <row r="8" spans="2:14" s="35" customFormat="1" ht="15.75" customHeight="1">
      <c r="B8" s="1723" t="s">
        <v>341</v>
      </c>
      <c r="C8" s="1725" t="s">
        <v>37</v>
      </c>
      <c r="D8" s="1725" t="s">
        <v>145</v>
      </c>
      <c r="E8" s="1678" t="s">
        <v>509</v>
      </c>
      <c r="F8" s="1680"/>
      <c r="G8" s="1725" t="s">
        <v>145</v>
      </c>
      <c r="H8" s="1678" t="s">
        <v>510</v>
      </c>
      <c r="I8" s="1680"/>
      <c r="J8" s="1725" t="s">
        <v>145</v>
      </c>
      <c r="K8" s="1678" t="s">
        <v>511</v>
      </c>
      <c r="L8" s="1680"/>
    </row>
    <row r="9" spans="2:14" s="35" customFormat="1" ht="26.25" customHeight="1">
      <c r="B9" s="1724"/>
      <c r="C9" s="1726"/>
      <c r="D9" s="1726"/>
      <c r="E9" s="367" t="s">
        <v>781</v>
      </c>
      <c r="F9" s="253" t="s">
        <v>782</v>
      </c>
      <c r="G9" s="1726"/>
      <c r="H9" s="744" t="s">
        <v>781</v>
      </c>
      <c r="I9" s="744" t="s">
        <v>782</v>
      </c>
      <c r="J9" s="1726"/>
      <c r="K9" s="744" t="s">
        <v>781</v>
      </c>
      <c r="L9" s="744" t="s">
        <v>782</v>
      </c>
    </row>
    <row r="10" spans="2:14" s="6" customFormat="1">
      <c r="B10" s="137">
        <v>1</v>
      </c>
      <c r="C10" s="60" t="s">
        <v>380</v>
      </c>
      <c r="D10" s="1760" t="s">
        <v>738</v>
      </c>
      <c r="E10" s="1761"/>
      <c r="F10" s="1762"/>
      <c r="G10" s="1760" t="s">
        <v>738</v>
      </c>
      <c r="H10" s="1761"/>
      <c r="I10" s="1762"/>
      <c r="J10" s="1760" t="s">
        <v>738</v>
      </c>
      <c r="K10" s="1761"/>
      <c r="L10" s="1762"/>
    </row>
    <row r="11" spans="2:14" s="6" customFormat="1">
      <c r="B11" s="137">
        <v>2</v>
      </c>
      <c r="C11" s="60" t="s">
        <v>149</v>
      </c>
      <c r="D11" s="1763"/>
      <c r="E11" s="1764"/>
      <c r="F11" s="1765"/>
      <c r="G11" s="1763"/>
      <c r="H11" s="1764"/>
      <c r="I11" s="1765"/>
      <c r="J11" s="1763"/>
      <c r="K11" s="1764"/>
      <c r="L11" s="1765"/>
    </row>
    <row r="12" spans="2:14" s="6" customFormat="1">
      <c r="B12" s="137">
        <v>3</v>
      </c>
      <c r="C12" s="60" t="s">
        <v>150</v>
      </c>
      <c r="D12" s="1763"/>
      <c r="E12" s="1764"/>
      <c r="F12" s="1765"/>
      <c r="G12" s="1763"/>
      <c r="H12" s="1764"/>
      <c r="I12" s="1765"/>
      <c r="J12" s="1763"/>
      <c r="K12" s="1764"/>
      <c r="L12" s="1765"/>
    </row>
    <row r="13" spans="2:14">
      <c r="B13" s="137">
        <v>4</v>
      </c>
      <c r="C13" s="139" t="s">
        <v>151</v>
      </c>
      <c r="D13" s="1763"/>
      <c r="E13" s="1764"/>
      <c r="F13" s="1765"/>
      <c r="G13" s="1763"/>
      <c r="H13" s="1764"/>
      <c r="I13" s="1765"/>
      <c r="J13" s="1763"/>
      <c r="K13" s="1764"/>
      <c r="L13" s="1765"/>
    </row>
    <row r="14" spans="2:14">
      <c r="B14" s="10"/>
      <c r="C14" s="9"/>
      <c r="D14" s="1763"/>
      <c r="E14" s="1764"/>
      <c r="F14" s="1765"/>
      <c r="G14" s="1763"/>
      <c r="H14" s="1764"/>
      <c r="I14" s="1765"/>
      <c r="J14" s="1763"/>
      <c r="K14" s="1764"/>
      <c r="L14" s="1765"/>
    </row>
    <row r="15" spans="2:14" ht="14" customHeight="1">
      <c r="B15" s="140">
        <v>5</v>
      </c>
      <c r="C15" s="61" t="s">
        <v>152</v>
      </c>
      <c r="D15" s="1763"/>
      <c r="E15" s="1764"/>
      <c r="F15" s="1765"/>
      <c r="G15" s="1763"/>
      <c r="H15" s="1764"/>
      <c r="I15" s="1765"/>
      <c r="J15" s="1763"/>
      <c r="K15" s="1764"/>
      <c r="L15" s="1765"/>
    </row>
    <row r="16" spans="2:14" s="1" customFormat="1" ht="17.25" customHeight="1">
      <c r="B16" s="141">
        <v>6</v>
      </c>
      <c r="C16" s="60" t="s">
        <v>382</v>
      </c>
      <c r="D16" s="1763"/>
      <c r="E16" s="1764"/>
      <c r="F16" s="1765"/>
      <c r="G16" s="1763"/>
      <c r="H16" s="1764"/>
      <c r="I16" s="1765"/>
      <c r="J16" s="1763"/>
      <c r="K16" s="1764"/>
      <c r="L16" s="1765"/>
    </row>
    <row r="17" spans="2:14" s="1" customFormat="1">
      <c r="B17" s="137">
        <v>7</v>
      </c>
      <c r="C17" s="61" t="s">
        <v>87</v>
      </c>
      <c r="D17" s="1763"/>
      <c r="E17" s="1764"/>
      <c r="F17" s="1765"/>
      <c r="G17" s="1763"/>
      <c r="H17" s="1764"/>
      <c r="I17" s="1765"/>
      <c r="J17" s="1763"/>
      <c r="K17" s="1764"/>
      <c r="L17" s="1765"/>
    </row>
    <row r="18" spans="2:14" s="1" customFormat="1">
      <c r="B18" s="137"/>
      <c r="C18" s="61"/>
      <c r="D18" s="1763"/>
      <c r="E18" s="1764"/>
      <c r="F18" s="1765"/>
      <c r="G18" s="1763"/>
      <c r="H18" s="1764"/>
      <c r="I18" s="1765"/>
      <c r="J18" s="1763"/>
      <c r="K18" s="1764"/>
      <c r="L18" s="1765"/>
    </row>
    <row r="19" spans="2:14" s="1" customFormat="1">
      <c r="B19" s="158">
        <v>8</v>
      </c>
      <c r="C19" s="61" t="s">
        <v>487</v>
      </c>
      <c r="D19" s="1766"/>
      <c r="E19" s="1767"/>
      <c r="F19" s="1768"/>
      <c r="G19" s="1766"/>
      <c r="H19" s="1767"/>
      <c r="I19" s="1768"/>
      <c r="J19" s="1766"/>
      <c r="K19" s="1767"/>
      <c r="L19" s="1768"/>
    </row>
    <row r="20" spans="2:14" s="1" customFormat="1" hidden="1">
      <c r="B20" s="6" t="s">
        <v>161</v>
      </c>
      <c r="C20" s="36"/>
    </row>
    <row r="21" spans="2:14" s="1" customFormat="1" hidden="1">
      <c r="B21" s="5">
        <v>1</v>
      </c>
      <c r="C21" s="7" t="s">
        <v>677</v>
      </c>
    </row>
    <row r="22" spans="2:14" s="1" customFormat="1" hidden="1">
      <c r="B22" s="5">
        <v>2</v>
      </c>
      <c r="C22" s="7" t="s">
        <v>455</v>
      </c>
    </row>
    <row r="23" spans="2:14" s="1" customFormat="1" hidden="1">
      <c r="B23" s="5">
        <v>3</v>
      </c>
      <c r="C23" s="47" t="s">
        <v>160</v>
      </c>
    </row>
    <row r="24" spans="2:14" s="1" customFormat="1">
      <c r="B24" s="5"/>
      <c r="C24" s="47"/>
    </row>
    <row r="25" spans="2:14">
      <c r="B25" s="6" t="s">
        <v>986</v>
      </c>
    </row>
    <row r="26" spans="2:14">
      <c r="B26" s="53"/>
      <c r="C26" s="17"/>
      <c r="D26" s="18"/>
      <c r="E26" s="18"/>
      <c r="F26" s="18"/>
      <c r="G26" s="18"/>
      <c r="H26" s="18"/>
    </row>
    <row r="27" spans="2:14" s="35" customFormat="1" ht="15.75" customHeight="1">
      <c r="B27" s="1723" t="s">
        <v>341</v>
      </c>
      <c r="C27" s="1725" t="s">
        <v>37</v>
      </c>
      <c r="D27" s="1684" t="s">
        <v>381</v>
      </c>
      <c r="E27" s="1678" t="s">
        <v>947</v>
      </c>
      <c r="F27" s="1679"/>
      <c r="G27" s="1678" t="s">
        <v>948</v>
      </c>
      <c r="H27" s="1679"/>
      <c r="I27" s="1678" t="s">
        <v>949</v>
      </c>
      <c r="J27" s="1679"/>
      <c r="K27" s="1678" t="s">
        <v>950</v>
      </c>
      <c r="L27" s="1679"/>
      <c r="M27" s="1678" t="s">
        <v>951</v>
      </c>
      <c r="N27" s="1679"/>
    </row>
    <row r="28" spans="2:14" s="6" customFormat="1" ht="35" customHeight="1">
      <c r="B28" s="1724"/>
      <c r="C28" s="1726"/>
      <c r="D28" s="1722"/>
      <c r="E28" s="367" t="s">
        <v>781</v>
      </c>
      <c r="F28" s="367" t="s">
        <v>782</v>
      </c>
      <c r="G28" s="367" t="s">
        <v>781</v>
      </c>
      <c r="H28" s="367" t="s">
        <v>782</v>
      </c>
      <c r="I28" s="367" t="s">
        <v>781</v>
      </c>
      <c r="J28" s="367" t="s">
        <v>782</v>
      </c>
      <c r="K28" s="367" t="s">
        <v>781</v>
      </c>
      <c r="L28" s="367" t="s">
        <v>782</v>
      </c>
      <c r="M28" s="367" t="s">
        <v>781</v>
      </c>
      <c r="N28" s="367" t="s">
        <v>782</v>
      </c>
    </row>
    <row r="29" spans="2:14" s="6" customFormat="1">
      <c r="B29" s="137">
        <v>1</v>
      </c>
      <c r="C29" s="60" t="s">
        <v>380</v>
      </c>
      <c r="D29" s="138"/>
      <c r="E29" s="1751" t="s">
        <v>738</v>
      </c>
      <c r="F29" s="1752"/>
      <c r="G29" s="1752"/>
      <c r="H29" s="1752"/>
      <c r="I29" s="1752"/>
      <c r="J29" s="1752"/>
      <c r="K29" s="1752"/>
      <c r="L29" s="1752"/>
      <c r="M29" s="1752"/>
      <c r="N29" s="1753"/>
    </row>
    <row r="30" spans="2:14" s="6" customFormat="1">
      <c r="B30" s="137">
        <v>2</v>
      </c>
      <c r="C30" s="60" t="s">
        <v>149</v>
      </c>
      <c r="D30" s="138"/>
      <c r="E30" s="1754"/>
      <c r="F30" s="1755"/>
      <c r="G30" s="1755"/>
      <c r="H30" s="1755"/>
      <c r="I30" s="1755"/>
      <c r="J30" s="1755"/>
      <c r="K30" s="1755"/>
      <c r="L30" s="1755"/>
      <c r="M30" s="1755"/>
      <c r="N30" s="1756"/>
    </row>
    <row r="31" spans="2:14">
      <c r="B31" s="137">
        <v>3</v>
      </c>
      <c r="C31" s="60" t="s">
        <v>678</v>
      </c>
      <c r="D31" s="138"/>
      <c r="E31" s="1754"/>
      <c r="F31" s="1755"/>
      <c r="G31" s="1755"/>
      <c r="H31" s="1755"/>
      <c r="I31" s="1755"/>
      <c r="J31" s="1755"/>
      <c r="K31" s="1755"/>
      <c r="L31" s="1755"/>
      <c r="M31" s="1755"/>
      <c r="N31" s="1756"/>
    </row>
    <row r="32" spans="2:14">
      <c r="B32" s="137">
        <v>4</v>
      </c>
      <c r="C32" s="139" t="s">
        <v>151</v>
      </c>
      <c r="D32" s="138"/>
      <c r="E32" s="1754"/>
      <c r="F32" s="1755"/>
      <c r="G32" s="1755"/>
      <c r="H32" s="1755"/>
      <c r="I32" s="1755"/>
      <c r="J32" s="1755"/>
      <c r="K32" s="1755"/>
      <c r="L32" s="1755"/>
      <c r="M32" s="1755"/>
      <c r="N32" s="1756"/>
    </row>
    <row r="33" spans="2:14" ht="14" customHeight="1">
      <c r="B33" s="10"/>
      <c r="C33" s="9"/>
      <c r="D33" s="138"/>
      <c r="E33" s="1754"/>
      <c r="F33" s="1755"/>
      <c r="G33" s="1755"/>
      <c r="H33" s="1755"/>
      <c r="I33" s="1755"/>
      <c r="J33" s="1755"/>
      <c r="K33" s="1755"/>
      <c r="L33" s="1755"/>
      <c r="M33" s="1755"/>
      <c r="N33" s="1756"/>
    </row>
    <row r="34" spans="2:14" s="1" customFormat="1">
      <c r="B34" s="140">
        <v>5</v>
      </c>
      <c r="C34" s="61" t="s">
        <v>152</v>
      </c>
      <c r="D34" s="138"/>
      <c r="E34" s="1754"/>
      <c r="F34" s="1755"/>
      <c r="G34" s="1755"/>
      <c r="H34" s="1755"/>
      <c r="I34" s="1755"/>
      <c r="J34" s="1755"/>
      <c r="K34" s="1755"/>
      <c r="L34" s="1755"/>
      <c r="M34" s="1755"/>
      <c r="N34" s="1756"/>
    </row>
    <row r="35" spans="2:14" s="1" customFormat="1">
      <c r="B35" s="150">
        <v>6</v>
      </c>
      <c r="C35" s="60" t="s">
        <v>382</v>
      </c>
      <c r="D35" s="138"/>
      <c r="E35" s="1754"/>
      <c r="F35" s="1755"/>
      <c r="G35" s="1755"/>
      <c r="H35" s="1755"/>
      <c r="I35" s="1755"/>
      <c r="J35" s="1755"/>
      <c r="K35" s="1755"/>
      <c r="L35" s="1755"/>
      <c r="M35" s="1755"/>
      <c r="N35" s="1756"/>
    </row>
    <row r="36" spans="2:14" s="1" customFormat="1">
      <c r="B36" s="137">
        <v>7</v>
      </c>
      <c r="C36" s="61" t="s">
        <v>87</v>
      </c>
      <c r="D36" s="9"/>
      <c r="E36" s="1757"/>
      <c r="F36" s="1758"/>
      <c r="G36" s="1758"/>
      <c r="H36" s="1758"/>
      <c r="I36" s="1758"/>
      <c r="J36" s="1758"/>
      <c r="K36" s="1758"/>
      <c r="L36" s="1758"/>
      <c r="M36" s="1758"/>
      <c r="N36" s="1759"/>
    </row>
    <row r="37" spans="2:14" s="1" customFormat="1">
      <c r="B37" s="5"/>
      <c r="C37" s="36"/>
    </row>
    <row r="38" spans="2:14" s="1" customFormat="1">
      <c r="B38" s="54"/>
      <c r="C38" s="7"/>
      <c r="D38" s="48"/>
      <c r="E38" s="48"/>
      <c r="F38" s="48"/>
      <c r="G38" s="11"/>
      <c r="H38" s="11"/>
      <c r="I38" s="7"/>
    </row>
    <row r="39" spans="2:14" s="1" customFormat="1" ht="18" customHeight="1">
      <c r="B39" s="47"/>
      <c r="C39" s="45"/>
      <c r="D39" s="47"/>
      <c r="E39" s="47"/>
      <c r="F39" s="47"/>
      <c r="G39" s="47"/>
      <c r="H39" s="47"/>
      <c r="I39" s="7"/>
    </row>
    <row r="40" spans="2:14" s="1" customFormat="1" ht="13.5" customHeight="1">
      <c r="B40" s="47"/>
      <c r="C40" s="45"/>
      <c r="D40" s="47"/>
      <c r="E40" s="47"/>
      <c r="F40" s="47"/>
      <c r="G40" s="47"/>
      <c r="H40" s="47"/>
      <c r="I40" s="7"/>
    </row>
    <row r="41" spans="2:14">
      <c r="B41" s="47"/>
      <c r="C41" s="47"/>
      <c r="D41" s="7"/>
      <c r="E41" s="7"/>
      <c r="F41" s="7"/>
      <c r="G41" s="7"/>
      <c r="H41" s="7"/>
      <c r="I41" s="7"/>
    </row>
    <row r="42" spans="2:14">
      <c r="B42" s="7"/>
      <c r="C42" s="7"/>
      <c r="D42" s="7"/>
      <c r="E42" s="7"/>
      <c r="F42" s="7"/>
      <c r="G42" s="7"/>
      <c r="H42" s="7"/>
      <c r="I42" s="7"/>
    </row>
    <row r="43" spans="2:14">
      <c r="B43" s="7"/>
      <c r="C43" s="7"/>
      <c r="D43" s="7"/>
      <c r="E43" s="7"/>
      <c r="F43" s="7"/>
      <c r="G43" s="7"/>
      <c r="H43" s="56"/>
      <c r="I43" s="7"/>
    </row>
    <row r="44" spans="2:14">
      <c r="B44" s="7"/>
      <c r="C44" s="7"/>
      <c r="D44" s="7"/>
      <c r="E44" s="7"/>
      <c r="F44" s="7"/>
      <c r="G44" s="7"/>
      <c r="H44" s="7"/>
      <c r="I44" s="7"/>
    </row>
    <row r="45" spans="2:14">
      <c r="B45" s="7"/>
      <c r="C45" s="7"/>
    </row>
  </sheetData>
  <mergeCells count="23">
    <mergeCell ref="B27:B28"/>
    <mergeCell ref="B2:M2"/>
    <mergeCell ref="B3:M3"/>
    <mergeCell ref="B4:M4"/>
    <mergeCell ref="D8:D9"/>
    <mergeCell ref="E8:F8"/>
    <mergeCell ref="C8:C9"/>
    <mergeCell ref="B8:B9"/>
    <mergeCell ref="D27:D28"/>
    <mergeCell ref="C27:C28"/>
    <mergeCell ref="E27:F27"/>
    <mergeCell ref="G27:H27"/>
    <mergeCell ref="I27:J27"/>
    <mergeCell ref="D10:F19"/>
    <mergeCell ref="E29:N36"/>
    <mergeCell ref="G8:G9"/>
    <mergeCell ref="H8:I8"/>
    <mergeCell ref="G10:I19"/>
    <mergeCell ref="J8:J9"/>
    <mergeCell ref="K8:L8"/>
    <mergeCell ref="J10:L19"/>
    <mergeCell ref="K27:L27"/>
    <mergeCell ref="M27:N27"/>
  </mergeCell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36328125" defaultRowHeight="14"/>
  <cols>
    <col min="1" max="1" width="3.36328125" style="5" customWidth="1"/>
    <col min="2" max="2" width="8.36328125" style="5" customWidth="1"/>
    <col min="3" max="3" width="26.6328125" style="5" customWidth="1"/>
    <col min="4" max="7" width="16.6328125" style="5" customWidth="1"/>
    <col min="8" max="8" width="15.6328125" style="5" customWidth="1"/>
    <col min="9" max="9" width="14.36328125" style="5" customWidth="1"/>
    <col min="10" max="10" width="15.6328125" style="5" customWidth="1"/>
    <col min="11" max="11" width="18" style="5" bestFit="1" customWidth="1"/>
    <col min="12" max="16" width="15.6328125" style="5" customWidth="1"/>
    <col min="17" max="16384" width="9.36328125" style="5"/>
  </cols>
  <sheetData>
    <row r="2" spans="2:16">
      <c r="B2" s="1682" t="str">
        <f>Index!B2</f>
        <v xml:space="preserve">      Maharashtra State Power Generation Company Ltd.</v>
      </c>
      <c r="C2" s="1738"/>
      <c r="D2" s="1738"/>
      <c r="E2" s="1738"/>
      <c r="F2" s="1738"/>
      <c r="G2" s="1738"/>
      <c r="H2" s="1738"/>
      <c r="I2" s="1738"/>
      <c r="J2" s="1738"/>
      <c r="K2" s="1738"/>
      <c r="L2" s="1738"/>
      <c r="M2" s="1738"/>
      <c r="N2" s="1738"/>
      <c r="O2" s="1738"/>
      <c r="P2" s="1738"/>
    </row>
    <row r="3" spans="2:16">
      <c r="B3" s="1682" t="str">
        <f>Index!B3</f>
        <v>MYT Petition Formats for Bhusawal Units 4&amp;5</v>
      </c>
      <c r="C3" s="1738"/>
      <c r="D3" s="1738"/>
      <c r="E3" s="1738"/>
      <c r="F3" s="1738"/>
      <c r="G3" s="1738"/>
      <c r="H3" s="1738"/>
      <c r="I3" s="1738"/>
      <c r="J3" s="1738"/>
      <c r="K3" s="1738"/>
      <c r="L3" s="1738"/>
      <c r="M3" s="1738"/>
      <c r="N3" s="1738"/>
      <c r="O3" s="1738"/>
      <c r="P3" s="1738"/>
    </row>
    <row r="4" spans="2:16">
      <c r="B4" s="1683" t="s">
        <v>388</v>
      </c>
      <c r="C4" s="1738"/>
      <c r="D4" s="1738"/>
      <c r="E4" s="1738"/>
      <c r="F4" s="1738"/>
      <c r="G4" s="1738"/>
      <c r="H4" s="1738"/>
      <c r="I4" s="1738"/>
      <c r="J4" s="1738"/>
      <c r="K4" s="1738"/>
      <c r="L4" s="1738"/>
      <c r="M4" s="1738"/>
      <c r="N4" s="1738"/>
      <c r="O4" s="1738"/>
      <c r="P4" s="1738"/>
    </row>
    <row r="5" spans="2:16">
      <c r="C5" s="19"/>
      <c r="D5" s="19"/>
      <c r="E5" s="19"/>
      <c r="F5" s="19"/>
      <c r="G5" s="19"/>
    </row>
    <row r="6" spans="2:16">
      <c r="B6" s="53"/>
      <c r="C6" s="17"/>
      <c r="D6" s="17"/>
      <c r="E6" s="17"/>
      <c r="F6" s="17"/>
      <c r="G6" s="17"/>
      <c r="H6" s="18"/>
      <c r="I6" s="18"/>
      <c r="J6" s="18"/>
    </row>
    <row r="7" spans="2:16" s="35" customFormat="1">
      <c r="B7" s="1719" t="s">
        <v>6</v>
      </c>
      <c r="C7" s="1721" t="s">
        <v>37</v>
      </c>
      <c r="D7" s="1778" t="s">
        <v>509</v>
      </c>
      <c r="E7" s="1779"/>
      <c r="F7" s="1778" t="s">
        <v>510</v>
      </c>
      <c r="G7" s="1779"/>
      <c r="H7" s="1678" t="s">
        <v>511</v>
      </c>
      <c r="I7" s="1679"/>
      <c r="J7" s="1679"/>
      <c r="K7" s="1679"/>
      <c r="L7" s="1678" t="s">
        <v>510</v>
      </c>
      <c r="M7" s="1680"/>
      <c r="N7" s="1678" t="s">
        <v>511</v>
      </c>
      <c r="O7" s="1680"/>
      <c r="P7" s="1684" t="s">
        <v>27</v>
      </c>
    </row>
    <row r="8" spans="2:16" s="36" customFormat="1" ht="28">
      <c r="B8" s="1719"/>
      <c r="C8" s="1721"/>
      <c r="D8" s="233" t="s">
        <v>675</v>
      </c>
      <c r="E8" s="233" t="s">
        <v>79</v>
      </c>
      <c r="F8" s="289" t="s">
        <v>451</v>
      </c>
      <c r="G8" s="289" t="s">
        <v>79</v>
      </c>
      <c r="H8" s="289" t="s">
        <v>451</v>
      </c>
      <c r="I8" s="212" t="s">
        <v>445</v>
      </c>
      <c r="J8" s="212" t="s">
        <v>449</v>
      </c>
      <c r="K8" s="212" t="s">
        <v>80</v>
      </c>
      <c r="L8" s="289" t="s">
        <v>451</v>
      </c>
      <c r="M8" s="289" t="s">
        <v>643</v>
      </c>
      <c r="N8" s="289" t="s">
        <v>451</v>
      </c>
      <c r="O8" s="289" t="s">
        <v>643</v>
      </c>
      <c r="P8" s="1685"/>
    </row>
    <row r="9" spans="2:16" s="36" customFormat="1" ht="24.75" customHeight="1">
      <c r="B9" s="1720"/>
      <c r="C9" s="1688"/>
      <c r="D9" s="233" t="s">
        <v>81</v>
      </c>
      <c r="E9" s="233" t="s">
        <v>82</v>
      </c>
      <c r="F9" s="289" t="s">
        <v>462</v>
      </c>
      <c r="G9" s="289" t="s">
        <v>392</v>
      </c>
      <c r="H9" s="212" t="s">
        <v>411</v>
      </c>
      <c r="I9" s="212" t="s">
        <v>412</v>
      </c>
      <c r="J9" s="212" t="s">
        <v>504</v>
      </c>
      <c r="K9" s="212" t="s">
        <v>505</v>
      </c>
      <c r="L9" s="233" t="s">
        <v>558</v>
      </c>
      <c r="M9" s="233" t="s">
        <v>559</v>
      </c>
      <c r="N9" s="233" t="s">
        <v>560</v>
      </c>
      <c r="O9" s="233" t="s">
        <v>561</v>
      </c>
      <c r="P9" s="1722"/>
    </row>
    <row r="10" spans="2:16" s="36" customFormat="1" ht="28.25" customHeight="1">
      <c r="B10" s="154">
        <v>1</v>
      </c>
      <c r="C10" s="62" t="s">
        <v>335</v>
      </c>
      <c r="D10" s="1769" t="s">
        <v>739</v>
      </c>
      <c r="E10" s="1770"/>
      <c r="F10" s="1770"/>
      <c r="G10" s="1770"/>
      <c r="H10" s="1770"/>
      <c r="I10" s="1770"/>
      <c r="J10" s="1770"/>
      <c r="K10" s="1770"/>
      <c r="L10" s="1770"/>
      <c r="M10" s="1770"/>
      <c r="N10" s="1770"/>
      <c r="O10" s="1770"/>
      <c r="P10" s="1771"/>
    </row>
    <row r="11" spans="2:16" s="6" customFormat="1">
      <c r="B11" s="151" t="s">
        <v>162</v>
      </c>
      <c r="C11" s="58" t="s">
        <v>163</v>
      </c>
      <c r="D11" s="1772"/>
      <c r="E11" s="1773"/>
      <c r="F11" s="1773"/>
      <c r="G11" s="1773"/>
      <c r="H11" s="1773"/>
      <c r="I11" s="1773"/>
      <c r="J11" s="1773"/>
      <c r="K11" s="1773"/>
      <c r="L11" s="1773"/>
      <c r="M11" s="1773"/>
      <c r="N11" s="1773"/>
      <c r="O11" s="1773"/>
      <c r="P11" s="1774"/>
    </row>
    <row r="12" spans="2:16" s="6" customFormat="1">
      <c r="B12" s="137"/>
      <c r="C12" s="59" t="s">
        <v>164</v>
      </c>
      <c r="D12" s="1772"/>
      <c r="E12" s="1773"/>
      <c r="F12" s="1773"/>
      <c r="G12" s="1773"/>
      <c r="H12" s="1773"/>
      <c r="I12" s="1773"/>
      <c r="J12" s="1773"/>
      <c r="K12" s="1773"/>
      <c r="L12" s="1773"/>
      <c r="M12" s="1773"/>
      <c r="N12" s="1773"/>
      <c r="O12" s="1773"/>
      <c r="P12" s="1774"/>
    </row>
    <row r="13" spans="2:16" s="6" customFormat="1">
      <c r="B13" s="137"/>
      <c r="C13" s="59" t="s">
        <v>165</v>
      </c>
      <c r="D13" s="1772"/>
      <c r="E13" s="1773"/>
      <c r="F13" s="1773"/>
      <c r="G13" s="1773"/>
      <c r="H13" s="1773"/>
      <c r="I13" s="1773"/>
      <c r="J13" s="1773"/>
      <c r="K13" s="1773"/>
      <c r="L13" s="1773"/>
      <c r="M13" s="1773"/>
      <c r="N13" s="1773"/>
      <c r="O13" s="1773"/>
      <c r="P13" s="1774"/>
    </row>
    <row r="14" spans="2:16" s="6" customFormat="1">
      <c r="B14" s="137"/>
      <c r="C14" s="59" t="s">
        <v>166</v>
      </c>
      <c r="D14" s="1772"/>
      <c r="E14" s="1773"/>
      <c r="F14" s="1773"/>
      <c r="G14" s="1773"/>
      <c r="H14" s="1773"/>
      <c r="I14" s="1773"/>
      <c r="J14" s="1773"/>
      <c r="K14" s="1773"/>
      <c r="L14" s="1773"/>
      <c r="M14" s="1773"/>
      <c r="N14" s="1773"/>
      <c r="O14" s="1773"/>
      <c r="P14" s="1774"/>
    </row>
    <row r="15" spans="2:16" s="6" customFormat="1">
      <c r="B15" s="137"/>
      <c r="C15" s="60"/>
      <c r="D15" s="1772"/>
      <c r="E15" s="1773"/>
      <c r="F15" s="1773"/>
      <c r="G15" s="1773"/>
      <c r="H15" s="1773"/>
      <c r="I15" s="1773"/>
      <c r="J15" s="1773"/>
      <c r="K15" s="1773"/>
      <c r="L15" s="1773"/>
      <c r="M15" s="1773"/>
      <c r="N15" s="1773"/>
      <c r="O15" s="1773"/>
      <c r="P15" s="1774"/>
    </row>
    <row r="16" spans="2:16" s="6" customFormat="1">
      <c r="B16" s="151" t="s">
        <v>167</v>
      </c>
      <c r="C16" s="61" t="s">
        <v>168</v>
      </c>
      <c r="D16" s="1772"/>
      <c r="E16" s="1773"/>
      <c r="F16" s="1773"/>
      <c r="G16" s="1773"/>
      <c r="H16" s="1773"/>
      <c r="I16" s="1773"/>
      <c r="J16" s="1773"/>
      <c r="K16" s="1773"/>
      <c r="L16" s="1773"/>
      <c r="M16" s="1773"/>
      <c r="N16" s="1773"/>
      <c r="O16" s="1773"/>
      <c r="P16" s="1774"/>
    </row>
    <row r="17" spans="2:16" s="6" customFormat="1">
      <c r="B17" s="137"/>
      <c r="C17" s="59" t="s">
        <v>164</v>
      </c>
      <c r="D17" s="1772"/>
      <c r="E17" s="1773"/>
      <c r="F17" s="1773"/>
      <c r="G17" s="1773"/>
      <c r="H17" s="1773"/>
      <c r="I17" s="1773"/>
      <c r="J17" s="1773"/>
      <c r="K17" s="1773"/>
      <c r="L17" s="1773"/>
      <c r="M17" s="1773"/>
      <c r="N17" s="1773"/>
      <c r="O17" s="1773"/>
      <c r="P17" s="1774"/>
    </row>
    <row r="18" spans="2:16">
      <c r="B18" s="137"/>
      <c r="C18" s="59" t="s">
        <v>165</v>
      </c>
      <c r="D18" s="1772"/>
      <c r="E18" s="1773"/>
      <c r="F18" s="1773"/>
      <c r="G18" s="1773"/>
      <c r="H18" s="1773"/>
      <c r="I18" s="1773"/>
      <c r="J18" s="1773"/>
      <c r="K18" s="1773"/>
      <c r="L18" s="1773"/>
      <c r="M18" s="1773"/>
      <c r="N18" s="1773"/>
      <c r="O18" s="1773"/>
      <c r="P18" s="1774"/>
    </row>
    <row r="19" spans="2:16">
      <c r="B19" s="10"/>
      <c r="C19" s="59" t="s">
        <v>169</v>
      </c>
      <c r="D19" s="1772"/>
      <c r="E19" s="1773"/>
      <c r="F19" s="1773"/>
      <c r="G19" s="1773"/>
      <c r="H19" s="1773"/>
      <c r="I19" s="1773"/>
      <c r="J19" s="1773"/>
      <c r="K19" s="1773"/>
      <c r="L19" s="1773"/>
      <c r="M19" s="1773"/>
      <c r="N19" s="1773"/>
      <c r="O19" s="1773"/>
      <c r="P19" s="1774"/>
    </row>
    <row r="20" spans="2:16">
      <c r="B20" s="10"/>
      <c r="C20" s="61"/>
      <c r="D20" s="1772"/>
      <c r="E20" s="1773"/>
      <c r="F20" s="1773"/>
      <c r="G20" s="1773"/>
      <c r="H20" s="1773"/>
      <c r="I20" s="1773"/>
      <c r="J20" s="1773"/>
      <c r="K20" s="1773"/>
      <c r="L20" s="1773"/>
      <c r="M20" s="1773"/>
      <c r="N20" s="1773"/>
      <c r="O20" s="1773"/>
      <c r="P20" s="1774"/>
    </row>
    <row r="21" spans="2:16" s="1" customFormat="1" ht="17.25" customHeight="1">
      <c r="B21" s="141">
        <v>2</v>
      </c>
      <c r="C21" s="62" t="s">
        <v>336</v>
      </c>
      <c r="D21" s="1772"/>
      <c r="E21" s="1773"/>
      <c r="F21" s="1773"/>
      <c r="G21" s="1773"/>
      <c r="H21" s="1773"/>
      <c r="I21" s="1773"/>
      <c r="J21" s="1773"/>
      <c r="K21" s="1773"/>
      <c r="L21" s="1773"/>
      <c r="M21" s="1773"/>
      <c r="N21" s="1773"/>
      <c r="O21" s="1773"/>
      <c r="P21" s="1774"/>
    </row>
    <row r="22" spans="2:16" s="1" customFormat="1" ht="17.25" customHeight="1">
      <c r="B22" s="141"/>
      <c r="C22" s="62" t="s">
        <v>170</v>
      </c>
      <c r="D22" s="1772"/>
      <c r="E22" s="1773"/>
      <c r="F22" s="1773"/>
      <c r="G22" s="1773"/>
      <c r="H22" s="1773"/>
      <c r="I22" s="1773"/>
      <c r="J22" s="1773"/>
      <c r="K22" s="1773"/>
      <c r="L22" s="1773"/>
      <c r="M22" s="1773"/>
      <c r="N22" s="1773"/>
      <c r="O22" s="1773"/>
      <c r="P22" s="1774"/>
    </row>
    <row r="23" spans="2:16" s="1" customFormat="1" ht="17.25" customHeight="1">
      <c r="B23" s="141"/>
      <c r="C23" s="62" t="s">
        <v>170</v>
      </c>
      <c r="D23" s="1772"/>
      <c r="E23" s="1773"/>
      <c r="F23" s="1773"/>
      <c r="G23" s="1773"/>
      <c r="H23" s="1773"/>
      <c r="I23" s="1773"/>
      <c r="J23" s="1773"/>
      <c r="K23" s="1773"/>
      <c r="L23" s="1773"/>
      <c r="M23" s="1773"/>
      <c r="N23" s="1773"/>
      <c r="O23" s="1773"/>
      <c r="P23" s="1774"/>
    </row>
    <row r="24" spans="2:16" s="1" customFormat="1">
      <c r="B24" s="137"/>
      <c r="C24" s="61" t="s">
        <v>171</v>
      </c>
      <c r="D24" s="1775"/>
      <c r="E24" s="1776"/>
      <c r="F24" s="1776"/>
      <c r="G24" s="1776"/>
      <c r="H24" s="1776"/>
      <c r="I24" s="1776"/>
      <c r="J24" s="1776"/>
      <c r="K24" s="1776"/>
      <c r="L24" s="1776"/>
      <c r="M24" s="1776"/>
      <c r="N24" s="1776"/>
      <c r="O24" s="1776"/>
      <c r="P24" s="1777"/>
    </row>
    <row r="25" spans="2:16" s="1" customFormat="1">
      <c r="B25" s="5"/>
      <c r="C25" s="36"/>
      <c r="D25" s="36"/>
      <c r="E25" s="36"/>
      <c r="F25" s="36"/>
      <c r="G25" s="36"/>
    </row>
    <row r="26" spans="2:16" s="1" customFormat="1">
      <c r="B26" s="54"/>
      <c r="C26" s="7"/>
      <c r="D26" s="7"/>
      <c r="E26" s="7"/>
      <c r="F26" s="7"/>
      <c r="G26" s="7"/>
      <c r="H26" s="7"/>
      <c r="I26" s="7"/>
      <c r="J26" s="7"/>
      <c r="K26" s="7"/>
    </row>
    <row r="27" spans="2:16" s="1" customFormat="1">
      <c r="B27" s="42"/>
      <c r="C27" s="42"/>
      <c r="D27" s="42"/>
      <c r="E27" s="42"/>
      <c r="F27" s="42"/>
      <c r="G27" s="42"/>
      <c r="H27" s="48"/>
      <c r="I27" s="11"/>
      <c r="J27" s="11"/>
      <c r="K27" s="7"/>
    </row>
    <row r="28" spans="2:16" s="1" customFormat="1">
      <c r="B28" s="7"/>
      <c r="C28" s="42"/>
      <c r="D28" s="42"/>
      <c r="E28" s="42"/>
      <c r="F28" s="42"/>
      <c r="G28" s="42"/>
      <c r="H28" s="42"/>
      <c r="I28" s="42"/>
      <c r="J28" s="42"/>
      <c r="K28" s="7"/>
    </row>
    <row r="29" spans="2:16">
      <c r="B29" s="7"/>
      <c r="C29" s="7"/>
      <c r="D29" s="7"/>
      <c r="E29" s="7"/>
      <c r="F29" s="7"/>
      <c r="G29" s="7"/>
      <c r="H29" s="7"/>
      <c r="I29" s="7"/>
      <c r="J29" s="7"/>
      <c r="K29" s="7"/>
    </row>
    <row r="30" spans="2:16">
      <c r="B30" s="7"/>
      <c r="C30" s="7"/>
      <c r="D30" s="7"/>
      <c r="E30" s="7"/>
      <c r="F30" s="7"/>
      <c r="G30" s="7"/>
      <c r="H30" s="7"/>
      <c r="I30" s="7"/>
      <c r="J30" s="7"/>
      <c r="K30" s="7"/>
    </row>
    <row r="31" spans="2:16">
      <c r="B31" s="7"/>
      <c r="C31" s="7"/>
      <c r="D31" s="7"/>
      <c r="E31" s="7"/>
      <c r="F31" s="7"/>
      <c r="G31" s="7"/>
      <c r="H31" s="7"/>
      <c r="I31" s="7"/>
      <c r="J31" s="56"/>
      <c r="K31" s="7"/>
    </row>
    <row r="32" spans="2:16">
      <c r="B32" s="7"/>
      <c r="C32" s="7"/>
      <c r="D32" s="7"/>
      <c r="E32" s="7"/>
      <c r="F32" s="7"/>
      <c r="G32" s="7"/>
      <c r="H32" s="7"/>
      <c r="I32" s="7"/>
      <c r="J32" s="7"/>
      <c r="K32" s="7"/>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4"/>
  <sheetViews>
    <sheetView showGridLines="0" view="pageBreakPreview" zoomScale="70" zoomScaleSheetLayoutView="70" workbookViewId="0">
      <pane xSplit="4" ySplit="9" topLeftCell="E10" activePane="bottomRight" state="frozen"/>
      <selection pane="topRight" activeCell="E1" sqref="E1"/>
      <selection pane="bottomLeft" activeCell="A10" sqref="A10"/>
      <selection pane="bottomRight" activeCell="G10" sqref="G10"/>
    </sheetView>
  </sheetViews>
  <sheetFormatPr defaultColWidth="9.36328125" defaultRowHeight="14"/>
  <cols>
    <col min="1" max="1" width="4.36328125" style="5" customWidth="1"/>
    <col min="2" max="2" width="6.36328125" style="5" customWidth="1"/>
    <col min="3" max="3" width="46.54296875" style="5" customWidth="1"/>
    <col min="4" max="4" width="17.54296875" style="5" customWidth="1"/>
    <col min="5" max="5" width="11.08984375" style="5" customWidth="1"/>
    <col min="6" max="6" width="14.453125" style="5" customWidth="1"/>
    <col min="7" max="8" width="17.54296875" style="5" customWidth="1"/>
    <col min="9" max="9" width="11.08984375" style="5" customWidth="1"/>
    <col min="10" max="10" width="14.453125" style="5" customWidth="1"/>
    <col min="11" max="11" width="17.54296875" style="5" customWidth="1"/>
    <col min="12" max="12" width="15.36328125" style="5" customWidth="1"/>
    <col min="13" max="13" width="11.08984375" style="5" customWidth="1"/>
    <col min="14" max="23" width="15.6328125" style="5" customWidth="1"/>
    <col min="24" max="24" width="20.54296875" style="5" customWidth="1"/>
    <col min="25" max="16384" width="9.36328125" style="5"/>
  </cols>
  <sheetData>
    <row r="1" spans="2:27">
      <c r="B1" s="53"/>
    </row>
    <row r="2" spans="2:27">
      <c r="B2" s="1747" t="str">
        <f>Index!B2</f>
        <v xml:space="preserve">      Maharashtra State Power Generation Company Ltd.</v>
      </c>
      <c r="C2" s="1747"/>
      <c r="D2" s="1747"/>
      <c r="E2" s="1747"/>
      <c r="F2" s="1747"/>
      <c r="G2" s="1747"/>
      <c r="H2" s="1747"/>
      <c r="I2" s="1747"/>
      <c r="J2" s="1747"/>
      <c r="K2" s="1747"/>
      <c r="L2" s="1747"/>
      <c r="M2" s="631"/>
      <c r="N2" s="1747" t="s">
        <v>745</v>
      </c>
      <c r="O2" s="1747"/>
      <c r="P2" s="1747"/>
      <c r="Q2" s="1747"/>
      <c r="R2" s="1747"/>
      <c r="S2" s="1747"/>
      <c r="T2" s="1747"/>
      <c r="U2" s="1747"/>
      <c r="V2" s="1747"/>
      <c r="W2" s="1747"/>
      <c r="X2" s="1747"/>
      <c r="Y2" s="558"/>
      <c r="Z2" s="558"/>
      <c r="AA2" s="558"/>
    </row>
    <row r="3" spans="2:27">
      <c r="B3" s="1747" t="str">
        <f>Index!B3</f>
        <v>MYT Petition Formats for Bhusawal Units 4&amp;5</v>
      </c>
      <c r="C3" s="1747"/>
      <c r="D3" s="1747"/>
      <c r="E3" s="1747"/>
      <c r="F3" s="1747"/>
      <c r="G3" s="1747"/>
      <c r="H3" s="1747"/>
      <c r="I3" s="1747"/>
      <c r="J3" s="1747"/>
      <c r="K3" s="1747"/>
      <c r="L3" s="1747"/>
      <c r="M3" s="631"/>
      <c r="N3" s="1747" t="s">
        <v>746</v>
      </c>
      <c r="O3" s="1747"/>
      <c r="P3" s="1747"/>
      <c r="Q3" s="1747"/>
      <c r="R3" s="1747"/>
      <c r="S3" s="1747"/>
      <c r="T3" s="1747"/>
      <c r="U3" s="1747"/>
      <c r="V3" s="1747"/>
      <c r="W3" s="1747"/>
      <c r="X3" s="1747"/>
      <c r="Y3" s="558"/>
      <c r="Z3" s="558"/>
      <c r="AA3" s="558"/>
    </row>
    <row r="4" spans="2:27">
      <c r="B4" s="1747" t="s">
        <v>616</v>
      </c>
      <c r="C4" s="1747"/>
      <c r="D4" s="1747"/>
      <c r="E4" s="1747"/>
      <c r="F4" s="1747"/>
      <c r="G4" s="1747"/>
      <c r="H4" s="1747"/>
      <c r="I4" s="1747"/>
      <c r="J4" s="1747"/>
      <c r="K4" s="1747"/>
      <c r="L4" s="1747"/>
      <c r="M4" s="631"/>
      <c r="N4" s="1747" t="s">
        <v>895</v>
      </c>
      <c r="O4" s="1747"/>
      <c r="P4" s="1747"/>
      <c r="Q4" s="1747"/>
      <c r="R4" s="1747"/>
      <c r="S4" s="1747"/>
      <c r="T4" s="1747"/>
      <c r="U4" s="1747"/>
      <c r="V4" s="1747"/>
      <c r="W4" s="1747"/>
      <c r="X4" s="1747"/>
      <c r="Y4" s="558"/>
      <c r="Z4" s="558"/>
      <c r="AA4" s="558"/>
    </row>
    <row r="5" spans="2:27">
      <c r="C5" s="63"/>
      <c r="D5" s="63"/>
      <c r="E5" s="63"/>
      <c r="F5" s="63"/>
      <c r="G5" s="63"/>
      <c r="H5" s="63"/>
      <c r="I5" s="63"/>
      <c r="J5" s="63"/>
      <c r="K5" s="63"/>
      <c r="L5" s="63"/>
      <c r="M5" s="63"/>
      <c r="N5" s="63"/>
      <c r="O5" s="63"/>
      <c r="P5" s="63"/>
      <c r="Q5" s="63"/>
      <c r="R5" s="63"/>
      <c r="S5" s="63"/>
      <c r="T5" s="63"/>
      <c r="U5" s="63"/>
      <c r="V5" s="63"/>
      <c r="W5" s="63"/>
    </row>
    <row r="6" spans="2:27">
      <c r="X6" s="21" t="s">
        <v>10</v>
      </c>
    </row>
    <row r="7" spans="2:27" s="35" customFormat="1" ht="15" customHeight="1">
      <c r="B7" s="1788" t="s">
        <v>341</v>
      </c>
      <c r="C7" s="1789" t="s">
        <v>37</v>
      </c>
      <c r="D7" s="1691" t="s">
        <v>5</v>
      </c>
      <c r="E7" s="1691" t="s">
        <v>509</v>
      </c>
      <c r="F7" s="1691"/>
      <c r="G7" s="1691"/>
      <c r="H7" s="1691"/>
      <c r="I7" s="1691" t="s">
        <v>510</v>
      </c>
      <c r="J7" s="1691"/>
      <c r="K7" s="1691"/>
      <c r="L7" s="1691"/>
      <c r="M7" s="1691" t="s">
        <v>511</v>
      </c>
      <c r="N7" s="1691"/>
      <c r="O7" s="1691"/>
      <c r="P7" s="1691"/>
      <c r="Q7" s="1691"/>
      <c r="R7" s="1691"/>
      <c r="S7" s="1681" t="s">
        <v>946</v>
      </c>
      <c r="T7" s="1681"/>
      <c r="U7" s="1681"/>
      <c r="V7" s="1681"/>
      <c r="W7" s="1681"/>
      <c r="X7" s="1691" t="s">
        <v>27</v>
      </c>
    </row>
    <row r="8" spans="2:27" s="36" customFormat="1" ht="35.4" customHeight="1">
      <c r="B8" s="1788"/>
      <c r="C8" s="1789"/>
      <c r="D8" s="1691"/>
      <c r="E8" s="1084" t="s">
        <v>945</v>
      </c>
      <c r="F8" s="1084" t="s">
        <v>882</v>
      </c>
      <c r="G8" s="1084" t="s">
        <v>79</v>
      </c>
      <c r="H8" s="1084" t="s">
        <v>452</v>
      </c>
      <c r="I8" s="1231" t="s">
        <v>1489</v>
      </c>
      <c r="J8" s="1231" t="s">
        <v>882</v>
      </c>
      <c r="K8" s="1231" t="s">
        <v>79</v>
      </c>
      <c r="L8" s="1231" t="s">
        <v>452</v>
      </c>
      <c r="M8" s="1231" t="s">
        <v>1489</v>
      </c>
      <c r="N8" s="1231" t="s">
        <v>882</v>
      </c>
      <c r="O8" s="1231" t="s">
        <v>79</v>
      </c>
      <c r="P8" s="1231" t="s">
        <v>452</v>
      </c>
      <c r="Q8" s="1231" t="s">
        <v>1489</v>
      </c>
      <c r="R8" s="1231" t="s">
        <v>882</v>
      </c>
      <c r="S8" s="1231" t="s">
        <v>445</v>
      </c>
      <c r="T8" s="1231" t="s">
        <v>449</v>
      </c>
      <c r="U8" s="1231" t="s">
        <v>80</v>
      </c>
      <c r="V8" s="1231" t="s">
        <v>453</v>
      </c>
      <c r="W8" s="1083" t="s">
        <v>951</v>
      </c>
      <c r="X8" s="1691"/>
    </row>
    <row r="9" spans="2:27" s="36" customFormat="1" ht="15.75" customHeight="1">
      <c r="B9" s="1788"/>
      <c r="C9" s="1789"/>
      <c r="D9" s="1691"/>
      <c r="E9" s="1084"/>
      <c r="F9" s="1084" t="s">
        <v>81</v>
      </c>
      <c r="G9" s="1084" t="s">
        <v>82</v>
      </c>
      <c r="H9" s="1084" t="s">
        <v>644</v>
      </c>
      <c r="I9" s="1231" t="s">
        <v>81</v>
      </c>
      <c r="J9" s="1231" t="s">
        <v>82</v>
      </c>
      <c r="K9" s="1231" t="s">
        <v>1490</v>
      </c>
      <c r="L9" s="1231" t="s">
        <v>1491</v>
      </c>
      <c r="M9" s="1231" t="s">
        <v>1449</v>
      </c>
      <c r="N9" s="1231" t="s">
        <v>512</v>
      </c>
      <c r="O9" s="1231" t="s">
        <v>411</v>
      </c>
      <c r="P9" s="1231" t="s">
        <v>1492</v>
      </c>
      <c r="Q9" s="1231" t="s">
        <v>557</v>
      </c>
      <c r="R9" s="1231" t="s">
        <v>622</v>
      </c>
      <c r="S9" s="1231" t="s">
        <v>558</v>
      </c>
      <c r="T9" s="1231" t="s">
        <v>559</v>
      </c>
      <c r="U9" s="1231" t="s">
        <v>646</v>
      </c>
      <c r="V9" s="1231" t="s">
        <v>647</v>
      </c>
      <c r="W9" s="1082" t="s">
        <v>21</v>
      </c>
      <c r="X9" s="1692"/>
    </row>
    <row r="10" spans="2:27" s="92" customFormat="1" ht="18.649999999999999" customHeight="1">
      <c r="B10" s="177">
        <v>1</v>
      </c>
      <c r="C10" s="490" t="s">
        <v>173</v>
      </c>
      <c r="D10" s="178" t="s">
        <v>66</v>
      </c>
      <c r="E10" s="178"/>
      <c r="F10" s="584">
        <f>SUM(F11:F13)</f>
        <v>214.84421058897681</v>
      </c>
      <c r="G10" s="584">
        <f>SUM(G11:G13)</f>
        <v>258.41898474575959</v>
      </c>
      <c r="H10" s="584">
        <f>G10-F10</f>
        <v>43.57477415678278</v>
      </c>
      <c r="I10" s="584"/>
      <c r="J10" s="584">
        <f>SUM(J11:J13)</f>
        <v>222.73448330491931</v>
      </c>
      <c r="K10" s="1153">
        <f>SUM(K11:K13)</f>
        <v>294.21031957321401</v>
      </c>
      <c r="L10" s="584">
        <f>K10-J10</f>
        <v>71.475836268294699</v>
      </c>
      <c r="M10" s="1105"/>
      <c r="N10" s="584">
        <f>SUM(N11:N13)</f>
        <v>230.85482860918671</v>
      </c>
      <c r="O10" s="584">
        <f>'F3.1'!M10/2</f>
        <v>150.5</v>
      </c>
      <c r="P10" s="584">
        <f>'F3.1'!M10/2</f>
        <v>150.5</v>
      </c>
      <c r="Q10" s="491">
        <f>O10+P10</f>
        <v>301</v>
      </c>
      <c r="R10" s="1105">
        <f>Q10-N10</f>
        <v>70.145171390813289</v>
      </c>
      <c r="S10" s="1105">
        <f>S11</f>
        <v>286</v>
      </c>
      <c r="T10" s="1105">
        <f t="shared" ref="T10:W10" si="0">T11</f>
        <v>301</v>
      </c>
      <c r="U10" s="1105">
        <f t="shared" si="0"/>
        <v>316.8</v>
      </c>
      <c r="V10" s="1105">
        <f t="shared" si="0"/>
        <v>333.4</v>
      </c>
      <c r="W10" s="1105">
        <f t="shared" si="0"/>
        <v>350.9</v>
      </c>
      <c r="X10" s="689"/>
    </row>
    <row r="11" spans="2:27" s="92" customFormat="1" ht="18.649999999999999" customHeight="1">
      <c r="B11" s="177">
        <f>B10+1</f>
        <v>2</v>
      </c>
      <c r="C11" s="91" t="s">
        <v>174</v>
      </c>
      <c r="D11" s="178" t="s">
        <v>67</v>
      </c>
      <c r="E11" s="1785">
        <v>214.7012762781934</v>
      </c>
      <c r="F11" s="1781">
        <v>214.84421058897681</v>
      </c>
      <c r="G11" s="852">
        <f>'F3.2'!D36</f>
        <v>111.27627993874539</v>
      </c>
      <c r="H11" s="1781">
        <f>SUM(G11:G13)-F11</f>
        <v>43.57477415678278</v>
      </c>
      <c r="I11" s="1785">
        <v>222.51950847242537</v>
      </c>
      <c r="J11" s="1781">
        <v>222.73448330491931</v>
      </c>
      <c r="K11" s="852">
        <f>'F3.2'!E36</f>
        <v>127.03101592839198</v>
      </c>
      <c r="L11" s="1781">
        <f>SUM(K11:K13)-J11</f>
        <v>71.475836268294699</v>
      </c>
      <c r="M11" s="1785">
        <v>230.56208334041287</v>
      </c>
      <c r="N11" s="1781">
        <v>230.85482860918671</v>
      </c>
      <c r="O11" s="852">
        <f>'F3.2'!F36</f>
        <v>45.138138165397329</v>
      </c>
      <c r="P11" s="852">
        <f>'F3.2'!G36</f>
        <v>47.002616145785645</v>
      </c>
      <c r="Q11" s="852">
        <f>SUM(O11:P11)</f>
        <v>92.140754311182974</v>
      </c>
      <c r="R11" s="1781">
        <f>SUM(Q11:Q13)-N11</f>
        <v>26.362295122644696</v>
      </c>
      <c r="S11" s="1782">
        <f>'F3.1'!$K$10</f>
        <v>286</v>
      </c>
      <c r="T11" s="1782">
        <f>'F3.1'!$M$10</f>
        <v>301</v>
      </c>
      <c r="U11" s="1782">
        <f>'F3.1'!$O$10</f>
        <v>316.8</v>
      </c>
      <c r="V11" s="1782">
        <f>'F3.1'!$Q$10</f>
        <v>333.4</v>
      </c>
      <c r="W11" s="1782">
        <f>'F3.1'!$S$10</f>
        <v>350.9</v>
      </c>
      <c r="X11" s="1780"/>
    </row>
    <row r="12" spans="2:27" s="92" customFormat="1" ht="18.649999999999999" customHeight="1">
      <c r="B12" s="177">
        <v>3</v>
      </c>
      <c r="C12" s="91" t="s">
        <v>176</v>
      </c>
      <c r="D12" s="178" t="s">
        <v>68</v>
      </c>
      <c r="E12" s="1786"/>
      <c r="F12" s="1781"/>
      <c r="G12" s="852">
        <f>'F3.3'!D44</f>
        <v>35.131043824188438</v>
      </c>
      <c r="H12" s="1781"/>
      <c r="I12" s="1786"/>
      <c r="J12" s="1781"/>
      <c r="K12" s="852">
        <f>'F3.3'!E44</f>
        <v>53.590132705613811</v>
      </c>
      <c r="L12" s="1781"/>
      <c r="M12" s="1786"/>
      <c r="N12" s="1781"/>
      <c r="O12" s="852">
        <f>'F3.3'!F44</f>
        <v>14.743458165424189</v>
      </c>
      <c r="P12" s="852">
        <f>'F3.3'!G44</f>
        <v>34.809383961140163</v>
      </c>
      <c r="Q12" s="852">
        <f>SUM(O12:P12)</f>
        <v>49.55284212656435</v>
      </c>
      <c r="R12" s="1781"/>
      <c r="S12" s="1783"/>
      <c r="T12" s="1783"/>
      <c r="U12" s="1783"/>
      <c r="V12" s="1783"/>
      <c r="W12" s="1783"/>
      <c r="X12" s="1780"/>
    </row>
    <row r="13" spans="2:27" s="92" customFormat="1" ht="18.649999999999999" customHeight="1">
      <c r="B13" s="177">
        <v>4</v>
      </c>
      <c r="C13" s="91" t="s">
        <v>175</v>
      </c>
      <c r="D13" s="178" t="s">
        <v>69</v>
      </c>
      <c r="E13" s="1787"/>
      <c r="F13" s="1781"/>
      <c r="G13" s="852">
        <f>'F3.4'!D21</f>
        <v>112.01166098282576</v>
      </c>
      <c r="H13" s="1781"/>
      <c r="I13" s="1787"/>
      <c r="J13" s="1781"/>
      <c r="K13" s="852">
        <f>'F3.4'!E21</f>
        <v>113.5891709392082</v>
      </c>
      <c r="L13" s="1781"/>
      <c r="M13" s="1787"/>
      <c r="N13" s="1781"/>
      <c r="O13" s="852">
        <f>'F3.4'!F21</f>
        <v>48.437364658305256</v>
      </c>
      <c r="P13" s="852">
        <f>'F3.4'!G21</f>
        <v>67.086162635778834</v>
      </c>
      <c r="Q13" s="852">
        <f>SUM(O13:P13)</f>
        <v>115.52352729408409</v>
      </c>
      <c r="R13" s="1781"/>
      <c r="S13" s="1784"/>
      <c r="T13" s="1784"/>
      <c r="U13" s="1784"/>
      <c r="V13" s="1784"/>
      <c r="W13" s="1784"/>
      <c r="X13" s="1780"/>
    </row>
    <row r="14" spans="2:27" s="92" customFormat="1" ht="18.649999999999999" customHeight="1">
      <c r="B14" s="177">
        <v>5</v>
      </c>
      <c r="C14" s="557" t="s">
        <v>744</v>
      </c>
      <c r="D14" s="178"/>
      <c r="E14" s="1106"/>
      <c r="F14" s="584"/>
      <c r="G14" s="852"/>
      <c r="H14" s="584"/>
      <c r="I14" s="1106"/>
      <c r="J14" s="584">
        <f>K14</f>
        <v>22.885196202284533</v>
      </c>
      <c r="K14" s="852">
        <v>22.885196202284533</v>
      </c>
      <c r="L14" s="584"/>
      <c r="M14" s="1106"/>
      <c r="N14" s="584">
        <f>Q14</f>
        <v>23.882218202763308</v>
      </c>
      <c r="O14" s="852">
        <v>11.941109101381654</v>
      </c>
      <c r="P14" s="852">
        <f>O14</f>
        <v>11.941109101381654</v>
      </c>
      <c r="Q14" s="852">
        <f>SUM(O14:P14)</f>
        <v>23.882218202763308</v>
      </c>
      <c r="R14" s="584"/>
      <c r="S14" s="584">
        <f>'F3.1'!$K$13</f>
        <v>24.92267670519086</v>
      </c>
      <c r="T14" s="584">
        <f>'F3.1'!$M$13</f>
        <v>26.00846407473129</v>
      </c>
      <c r="U14" s="584">
        <f>'F3.1'!$O$13</f>
        <v>27.14155511978776</v>
      </c>
      <c r="V14" s="584">
        <f>'F3.1'!$Q$13</f>
        <v>28.324010683744618</v>
      </c>
      <c r="W14" s="584">
        <f>'F3.1'!$S$13</f>
        <v>29.557981393188228</v>
      </c>
      <c r="X14" s="1780"/>
    </row>
    <row r="15" spans="2:27" s="92" customFormat="1" ht="18.649999999999999" customHeight="1">
      <c r="B15" s="177">
        <f>B14+1</f>
        <v>6</v>
      </c>
      <c r="C15" s="91" t="s">
        <v>177</v>
      </c>
      <c r="D15" s="178"/>
      <c r="E15" s="1107"/>
      <c r="F15" s="1107"/>
      <c r="G15" s="1107">
        <f>'F3.3'!D45+'F3.2'!D37</f>
        <v>0</v>
      </c>
      <c r="H15" s="1107">
        <f>G15-F15</f>
        <v>0</v>
      </c>
      <c r="I15" s="1107"/>
      <c r="J15" s="1107"/>
      <c r="K15" s="1107">
        <f>'F3.3'!E45+'F3.2'!E37</f>
        <v>0</v>
      </c>
      <c r="L15" s="1107">
        <f>K15-J15</f>
        <v>0</v>
      </c>
      <c r="M15" s="1107"/>
      <c r="N15" s="852"/>
      <c r="O15" s="1107">
        <f>'F3.3'!F45+'F3.2'!F37</f>
        <v>0</v>
      </c>
      <c r="P15" s="1107">
        <f>'F3.3'!G45+'F3.2'!G37</f>
        <v>0</v>
      </c>
      <c r="Q15" s="852">
        <f>O15+P15</f>
        <v>0</v>
      </c>
      <c r="R15" s="852">
        <f>Q15-N15</f>
        <v>0</v>
      </c>
      <c r="S15" s="852"/>
      <c r="T15" s="852"/>
      <c r="U15" s="852"/>
      <c r="V15" s="852"/>
      <c r="W15" s="852"/>
      <c r="X15" s="91"/>
    </row>
    <row r="16" spans="2:27" s="92" customFormat="1" ht="18.649999999999999" customHeight="1">
      <c r="B16" s="177">
        <v>7</v>
      </c>
      <c r="C16" s="91" t="s">
        <v>549</v>
      </c>
      <c r="D16" s="178"/>
      <c r="E16" s="1107"/>
      <c r="F16" s="1107"/>
      <c r="G16" s="1107"/>
      <c r="H16" s="1107">
        <f>G16-F16</f>
        <v>0</v>
      </c>
      <c r="I16" s="1107"/>
      <c r="J16" s="1107"/>
      <c r="K16" s="1107"/>
      <c r="L16" s="1107">
        <f>K16-J16</f>
        <v>0</v>
      </c>
      <c r="M16" s="1107"/>
      <c r="N16" s="852"/>
      <c r="O16" s="852"/>
      <c r="P16" s="852"/>
      <c r="Q16" s="852">
        <f>O16+P16</f>
        <v>0</v>
      </c>
      <c r="R16" s="852">
        <f>Q16-N16</f>
        <v>0</v>
      </c>
      <c r="S16" s="852"/>
      <c r="T16" s="852"/>
      <c r="U16" s="852"/>
      <c r="V16" s="852"/>
      <c r="W16" s="852"/>
      <c r="X16" s="91"/>
    </row>
    <row r="17" spans="1:24" s="558" customFormat="1" ht="33.65" customHeight="1">
      <c r="B17" s="177">
        <v>8</v>
      </c>
      <c r="C17" s="179" t="s">
        <v>391</v>
      </c>
      <c r="D17" s="180"/>
      <c r="E17" s="1108">
        <f>SUM(E11:E14)-E15+E16</f>
        <v>214.7012762781934</v>
      </c>
      <c r="F17" s="1108">
        <f>SUM(F11:F14)-F15+F16</f>
        <v>214.84421058897681</v>
      </c>
      <c r="G17" s="1108">
        <f>SUM(G11:G14)-G15+G16</f>
        <v>258.41898474575959</v>
      </c>
      <c r="H17" s="1108">
        <f t="shared" ref="H17:W17" si="1">SUM(H11:H14)-H15+H16</f>
        <v>43.57477415678278</v>
      </c>
      <c r="I17" s="1108">
        <f t="shared" si="1"/>
        <v>222.51950847242537</v>
      </c>
      <c r="J17" s="1108">
        <f t="shared" si="1"/>
        <v>245.61967950720384</v>
      </c>
      <c r="K17" s="1108">
        <f t="shared" si="1"/>
        <v>317.09551577549854</v>
      </c>
      <c r="L17" s="1108">
        <f t="shared" si="1"/>
        <v>71.475836268294699</v>
      </c>
      <c r="M17" s="1108">
        <f t="shared" si="1"/>
        <v>230.56208334041287</v>
      </c>
      <c r="N17" s="1108">
        <f t="shared" si="1"/>
        <v>254.73704681195002</v>
      </c>
      <c r="O17" s="1108">
        <f t="shared" si="1"/>
        <v>120.26007009050842</v>
      </c>
      <c r="P17" s="1108">
        <f t="shared" si="1"/>
        <v>160.83927184408628</v>
      </c>
      <c r="Q17" s="1108">
        <f t="shared" si="1"/>
        <v>281.09934193459469</v>
      </c>
      <c r="R17" s="1108">
        <f t="shared" si="1"/>
        <v>26.362295122644696</v>
      </c>
      <c r="S17" s="1108">
        <f>SUM(S11:S14)-S15+S16</f>
        <v>310.92267670519084</v>
      </c>
      <c r="T17" s="1108">
        <f t="shared" si="1"/>
        <v>327.00846407473131</v>
      </c>
      <c r="U17" s="1108">
        <f t="shared" si="1"/>
        <v>343.94155511978778</v>
      </c>
      <c r="V17" s="1108">
        <f t="shared" si="1"/>
        <v>361.72401068374461</v>
      </c>
      <c r="W17" s="1108">
        <f t="shared" si="1"/>
        <v>380.45798139318822</v>
      </c>
      <c r="X17" s="181"/>
    </row>
    <row r="18" spans="1:24" s="1" customFormat="1" ht="15.75" customHeight="1">
      <c r="A18" s="5"/>
      <c r="B18" s="5"/>
      <c r="G18" s="620"/>
      <c r="H18" s="621"/>
      <c r="I18" s="621"/>
      <c r="J18" s="2"/>
      <c r="K18" s="620"/>
      <c r="L18" s="2"/>
      <c r="X18" s="5"/>
    </row>
    <row r="19" spans="1:24">
      <c r="B19" s="1109"/>
      <c r="C19" s="1109" t="s">
        <v>37</v>
      </c>
      <c r="D19" s="1109" t="s">
        <v>1485</v>
      </c>
      <c r="E19" s="1110" t="str">
        <f>S8</f>
        <v>Apr-Sep    (Actual)</v>
      </c>
      <c r="F19" s="1110" t="str">
        <f>T8</f>
        <v>Oct-Mar          (Estimated)</v>
      </c>
      <c r="G19" s="1110" t="str">
        <f>U8</f>
        <v>April - March (Estimated)</v>
      </c>
      <c r="H19" s="1110" t="str">
        <f>V8</f>
        <v>Provisional True-Up requirement</v>
      </c>
      <c r="I19" s="1110" t="str">
        <f>W8</f>
        <v>FY 2029-30</v>
      </c>
      <c r="K19" s="613"/>
    </row>
    <row r="20" spans="1:24" ht="28">
      <c r="B20" s="10"/>
      <c r="C20" s="1111" t="s">
        <v>1441</v>
      </c>
      <c r="D20" s="9"/>
      <c r="E20" s="9"/>
      <c r="F20" s="9"/>
      <c r="G20" s="9"/>
      <c r="H20" s="9"/>
      <c r="I20" s="9"/>
    </row>
    <row r="21" spans="1:24">
      <c r="B21" s="9"/>
      <c r="C21" s="9" t="s">
        <v>1442</v>
      </c>
      <c r="D21" s="9"/>
      <c r="E21" s="879">
        <v>0</v>
      </c>
      <c r="F21" s="879">
        <v>386.01</v>
      </c>
      <c r="G21" s="879">
        <v>386.01</v>
      </c>
      <c r="H21" s="879">
        <v>0</v>
      </c>
      <c r="I21" s="879">
        <v>0</v>
      </c>
    </row>
    <row r="22" spans="1:24">
      <c r="B22" s="9"/>
      <c r="C22" s="9" t="s">
        <v>1443</v>
      </c>
      <c r="D22" s="9"/>
      <c r="E22" s="9"/>
      <c r="F22" s="9"/>
      <c r="G22" s="9"/>
      <c r="H22" s="9"/>
      <c r="I22" s="9"/>
    </row>
    <row r="23" spans="1:24">
      <c r="B23" s="40"/>
      <c r="C23" s="40" t="s">
        <v>1444</v>
      </c>
      <c r="D23" s="40"/>
      <c r="E23" s="1112">
        <f>SUM(E21:E22)</f>
        <v>0</v>
      </c>
      <c r="F23" s="1112">
        <f>E23+SUM(F21:F22)</f>
        <v>386.01</v>
      </c>
      <c r="G23" s="1112">
        <f>F23+SUM(G21:G22)</f>
        <v>772.02</v>
      </c>
      <c r="H23" s="1112">
        <f>G23+SUM(H21:H22)</f>
        <v>772.02</v>
      </c>
      <c r="I23" s="1112">
        <f>H23+SUM(I21:I22)</f>
        <v>772.02</v>
      </c>
    </row>
    <row r="24" spans="1:24">
      <c r="B24" s="1113">
        <v>0.02</v>
      </c>
      <c r="C24" s="40" t="s">
        <v>1441</v>
      </c>
      <c r="D24" s="1201">
        <v>4.3299999999999998E-2</v>
      </c>
      <c r="E24" s="1112">
        <f>E23*$B$24</f>
        <v>0</v>
      </c>
      <c r="F24" s="1112">
        <f>F23*$B$24*(1+$D$24)</f>
        <v>8.05448466</v>
      </c>
      <c r="G24" s="1112">
        <f>G23*$B$24*(1+$D$24)^2</f>
        <v>16.806487691555997</v>
      </c>
      <c r="H24" s="1112">
        <f>H23*$B$24*(1+$D$24)^3</f>
        <v>17.53420860860037</v>
      </c>
      <c r="I24" s="1112">
        <f>I23*$B$24*(1+$D$24)^4</f>
        <v>18.293439841352768</v>
      </c>
    </row>
  </sheetData>
  <mergeCells count="29">
    <mergeCell ref="I11:I13"/>
    <mergeCell ref="J11:J13"/>
    <mergeCell ref="L11:L13"/>
    <mergeCell ref="M11:M13"/>
    <mergeCell ref="B2:L2"/>
    <mergeCell ref="B3:L3"/>
    <mergeCell ref="B4:L4"/>
    <mergeCell ref="I7:L7"/>
    <mergeCell ref="B7:B9"/>
    <mergeCell ref="E7:H7"/>
    <mergeCell ref="D7:D9"/>
    <mergeCell ref="C7:C9"/>
    <mergeCell ref="E11:E13"/>
    <mergeCell ref="F11:F13"/>
    <mergeCell ref="H11:H13"/>
    <mergeCell ref="N2:X2"/>
    <mergeCell ref="N3:X3"/>
    <mergeCell ref="N4:X4"/>
    <mergeCell ref="X7:X9"/>
    <mergeCell ref="X11:X14"/>
    <mergeCell ref="M7:R7"/>
    <mergeCell ref="S7:W7"/>
    <mergeCell ref="N11:N13"/>
    <mergeCell ref="R11:R13"/>
    <mergeCell ref="S11:S13"/>
    <mergeCell ref="T11:T13"/>
    <mergeCell ref="U11:U13"/>
    <mergeCell ref="V11:V13"/>
    <mergeCell ref="W11:W13"/>
  </mergeCells>
  <pageMargins left="1.02" right="0.25" top="1" bottom="1" header="0.25" footer="0.25"/>
  <pageSetup paperSize="9" scale="35" orientation="landscape" r:id="rId1"/>
  <headerFooter alignWithMargins="0">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C67"/>
  <sheetViews>
    <sheetView showGridLines="0" view="pageBreakPreview" zoomScale="80" zoomScaleNormal="80" zoomScaleSheetLayoutView="80" workbookViewId="0">
      <pane xSplit="3" ySplit="9" topLeftCell="D10" activePane="bottomRight" state="frozen"/>
      <selection pane="topRight" activeCell="D1" sqref="D1"/>
      <selection pane="bottomLeft" activeCell="A10" sqref="A10"/>
      <selection pane="bottomRight" activeCell="L47" sqref="L47"/>
    </sheetView>
  </sheetViews>
  <sheetFormatPr defaultColWidth="9.36328125" defaultRowHeight="14"/>
  <cols>
    <col min="1" max="1" width="9.36328125" style="1"/>
    <col min="2" max="2" width="7.36328125" style="1" customWidth="1"/>
    <col min="3" max="3" width="44.6328125" style="1" customWidth="1"/>
    <col min="4" max="4" width="13.08984375" style="1" customWidth="1"/>
    <col min="5" max="6" width="15" style="1" customWidth="1"/>
    <col min="7" max="7" width="16.6328125" style="1" bestFit="1" customWidth="1"/>
    <col min="8" max="8" width="12.36328125" style="1" customWidth="1"/>
    <col min="9" max="17" width="15" style="1" customWidth="1"/>
    <col min="18" max="18" width="17.36328125" style="1" customWidth="1"/>
    <col min="19" max="26" width="15" style="1" customWidth="1"/>
    <col min="27" max="27" width="11.81640625" style="1" customWidth="1"/>
    <col min="28" max="16384" width="9.36328125" style="1"/>
  </cols>
  <sheetData>
    <row r="1" spans="2:29">
      <c r="B1" s="1682" t="str">
        <f>Index!B2</f>
        <v xml:space="preserve">      Maharashtra State Power Generation Company Ltd.</v>
      </c>
      <c r="C1" s="1682"/>
      <c r="D1" s="1682"/>
      <c r="E1" s="1682"/>
      <c r="F1" s="1682"/>
      <c r="G1" s="1682"/>
      <c r="H1" s="1682"/>
      <c r="I1" s="1682"/>
      <c r="J1" s="1682"/>
      <c r="K1" s="1682"/>
      <c r="L1" s="1682"/>
      <c r="M1" s="1682"/>
      <c r="N1" s="1682"/>
      <c r="O1" s="1682"/>
      <c r="P1" s="1682"/>
      <c r="Q1" s="1682"/>
      <c r="R1" s="1682"/>
      <c r="S1" s="230"/>
      <c r="T1" s="230"/>
      <c r="U1" s="188"/>
      <c r="V1" s="213"/>
    </row>
    <row r="2" spans="2:29">
      <c r="B2" s="1682" t="str">
        <f>Index!B3</f>
        <v>MYT Petition Formats for Bhusawal Units 4&amp;5</v>
      </c>
      <c r="C2" s="1682"/>
      <c r="D2" s="1682"/>
      <c r="E2" s="1682"/>
      <c r="F2" s="1682"/>
      <c r="G2" s="1682"/>
      <c r="H2" s="1682"/>
      <c r="I2" s="1682"/>
      <c r="J2" s="1682"/>
      <c r="K2" s="1682"/>
      <c r="L2" s="1682"/>
      <c r="M2" s="1682"/>
      <c r="N2" s="1682"/>
      <c r="O2" s="1682"/>
      <c r="P2" s="1682"/>
      <c r="Q2" s="1682"/>
      <c r="R2" s="1682"/>
      <c r="S2" s="231"/>
      <c r="T2" s="231"/>
      <c r="U2" s="65"/>
      <c r="V2" s="214"/>
    </row>
    <row r="3" spans="2:29">
      <c r="B3" s="1683" t="s">
        <v>620</v>
      </c>
      <c r="C3" s="1683"/>
      <c r="D3" s="1683"/>
      <c r="E3" s="1683"/>
      <c r="F3" s="1683"/>
      <c r="G3" s="1683"/>
      <c r="H3" s="1683"/>
      <c r="I3" s="1683"/>
      <c r="J3" s="1683"/>
      <c r="K3" s="1683"/>
      <c r="L3" s="1683"/>
      <c r="M3" s="1683"/>
      <c r="N3" s="1683"/>
      <c r="O3" s="1683"/>
      <c r="P3" s="1683"/>
      <c r="Q3" s="1683"/>
      <c r="R3" s="1683"/>
      <c r="S3" s="231"/>
      <c r="T3" s="231"/>
      <c r="U3" s="65"/>
      <c r="V3" s="214"/>
    </row>
    <row r="4" spans="2:29">
      <c r="B4" s="93"/>
      <c r="C4" s="93"/>
      <c r="D4" s="629"/>
      <c r="E4" s="93"/>
      <c r="F4" s="93"/>
      <c r="G4" s="93"/>
      <c r="H4" s="629"/>
      <c r="I4" s="93"/>
      <c r="J4" s="93"/>
      <c r="K4" s="286"/>
      <c r="L4" s="629"/>
      <c r="M4" s="286"/>
      <c r="N4" s="286"/>
      <c r="O4" s="286"/>
      <c r="P4" s="629"/>
      <c r="Q4" s="93"/>
      <c r="R4" s="93"/>
      <c r="S4" s="231"/>
      <c r="T4" s="231"/>
      <c r="U4" s="93"/>
      <c r="V4" s="214"/>
    </row>
    <row r="5" spans="2:29" s="2" customFormat="1">
      <c r="B5" s="1809" t="s">
        <v>178</v>
      </c>
      <c r="C5" s="1809"/>
      <c r="D5" s="1809"/>
      <c r="E5" s="1809"/>
      <c r="F5" s="1809"/>
      <c r="G5" s="1809"/>
      <c r="H5" s="1809"/>
      <c r="I5" s="1809"/>
      <c r="J5" s="1809"/>
      <c r="K5" s="1809"/>
      <c r="L5" s="1809"/>
      <c r="M5" s="1809"/>
      <c r="N5" s="1809"/>
      <c r="O5" s="1809"/>
      <c r="P5" s="1809"/>
      <c r="Q5" s="1809"/>
      <c r="R5" s="1809"/>
      <c r="S5" s="1809"/>
      <c r="T5" s="1809"/>
      <c r="U5" s="1809"/>
      <c r="V5" s="776"/>
    </row>
    <row r="6" spans="2:29">
      <c r="T6" s="21" t="s">
        <v>10</v>
      </c>
      <c r="V6" s="21"/>
    </row>
    <row r="7" spans="2:29" s="96" customFormat="1" ht="18" customHeight="1">
      <c r="B7" s="1788" t="s">
        <v>341</v>
      </c>
      <c r="C7" s="1788" t="s">
        <v>37</v>
      </c>
      <c r="D7" s="1791" t="s">
        <v>1445</v>
      </c>
      <c r="E7" s="1792"/>
      <c r="F7" s="1792"/>
      <c r="G7" s="1792"/>
      <c r="H7" s="1793"/>
      <c r="I7" s="1788" t="s">
        <v>1446</v>
      </c>
      <c r="J7" s="1089" t="s">
        <v>1447</v>
      </c>
      <c r="K7" s="1789" t="s">
        <v>946</v>
      </c>
      <c r="L7" s="1789"/>
      <c r="M7" s="1789"/>
      <c r="N7" s="1789"/>
      <c r="O7" s="1789"/>
      <c r="P7" s="1789"/>
      <c r="Q7" s="1789"/>
      <c r="R7" s="1789"/>
      <c r="S7" s="1789"/>
      <c r="T7" s="1789"/>
      <c r="U7" s="1810" t="s">
        <v>27</v>
      </c>
      <c r="X7" s="558"/>
      <c r="Y7" s="558"/>
      <c r="Z7" s="1764"/>
      <c r="AA7" s="92"/>
      <c r="AB7" s="92"/>
    </row>
    <row r="8" spans="2:29" s="96" customFormat="1" ht="42" customHeight="1">
      <c r="B8" s="1788"/>
      <c r="C8" s="1788"/>
      <c r="D8" s="1089" t="s">
        <v>326</v>
      </c>
      <c r="E8" s="1089" t="s">
        <v>507</v>
      </c>
      <c r="F8" s="1089" t="s">
        <v>508</v>
      </c>
      <c r="G8" s="1089" t="s">
        <v>509</v>
      </c>
      <c r="H8" s="1089" t="s">
        <v>510</v>
      </c>
      <c r="I8" s="1788"/>
      <c r="J8" s="1089" t="s">
        <v>511</v>
      </c>
      <c r="K8" s="1803" t="s">
        <v>947</v>
      </c>
      <c r="L8" s="1804"/>
      <c r="M8" s="1803" t="s">
        <v>948</v>
      </c>
      <c r="N8" s="1804"/>
      <c r="O8" s="1803" t="s">
        <v>949</v>
      </c>
      <c r="P8" s="1804"/>
      <c r="Q8" s="1803" t="s">
        <v>950</v>
      </c>
      <c r="R8" s="1804"/>
      <c r="S8" s="1803" t="s">
        <v>951</v>
      </c>
      <c r="T8" s="1804"/>
      <c r="U8" s="1811"/>
      <c r="V8" s="355"/>
      <c r="W8" s="355"/>
      <c r="X8" s="1747"/>
      <c r="Y8" s="1747"/>
      <c r="Z8" s="1764"/>
      <c r="AA8" s="92"/>
      <c r="AB8" s="92"/>
    </row>
    <row r="9" spans="2:29" s="96" customFormat="1" ht="16" customHeight="1">
      <c r="B9" s="1788"/>
      <c r="C9" s="1788"/>
      <c r="D9" s="1084" t="s">
        <v>81</v>
      </c>
      <c r="E9" s="1084" t="s">
        <v>82</v>
      </c>
      <c r="F9" s="1084" t="s">
        <v>1448</v>
      </c>
      <c r="G9" s="1084" t="s">
        <v>392</v>
      </c>
      <c r="H9" s="1084" t="s">
        <v>1449</v>
      </c>
      <c r="I9" s="1084" t="s">
        <v>1450</v>
      </c>
      <c r="J9" s="1114" t="s">
        <v>411</v>
      </c>
      <c r="K9" s="1089" t="s">
        <v>966</v>
      </c>
      <c r="L9" s="1084" t="s">
        <v>21</v>
      </c>
      <c r="M9" s="1089" t="s">
        <v>966</v>
      </c>
      <c r="N9" s="1084" t="s">
        <v>21</v>
      </c>
      <c r="O9" s="1089" t="s">
        <v>966</v>
      </c>
      <c r="P9" s="1084" t="s">
        <v>21</v>
      </c>
      <c r="Q9" s="1089" t="s">
        <v>966</v>
      </c>
      <c r="R9" s="1084" t="s">
        <v>21</v>
      </c>
      <c r="S9" s="1089" t="s">
        <v>966</v>
      </c>
      <c r="T9" s="1084" t="s">
        <v>21</v>
      </c>
      <c r="U9" s="1812"/>
      <c r="V9" s="492" t="s">
        <v>414</v>
      </c>
      <c r="W9" s="493" t="s">
        <v>997</v>
      </c>
      <c r="X9" s="1085"/>
      <c r="Y9" s="1086"/>
      <c r="Z9" s="1764"/>
      <c r="AA9" s="1131"/>
      <c r="AB9" s="1132"/>
      <c r="AC9" s="494"/>
    </row>
    <row r="10" spans="2:29" s="2" customFormat="1">
      <c r="B10" s="422">
        <v>1</v>
      </c>
      <c r="C10" s="91" t="s">
        <v>179</v>
      </c>
      <c r="D10" s="1813"/>
      <c r="E10" s="1800"/>
      <c r="F10" s="1800"/>
      <c r="G10" s="1800"/>
      <c r="H10" s="1805"/>
      <c r="I10" s="1800"/>
      <c r="J10" s="1808"/>
      <c r="K10" s="1799">
        <f>E53</f>
        <v>286</v>
      </c>
      <c r="L10" s="1799">
        <f>K10</f>
        <v>286</v>
      </c>
      <c r="M10" s="1799">
        <f>F53</f>
        <v>301</v>
      </c>
      <c r="N10" s="1799">
        <f>M10</f>
        <v>301</v>
      </c>
      <c r="O10" s="1799">
        <f>G53</f>
        <v>316.8</v>
      </c>
      <c r="P10" s="1799">
        <f>O10</f>
        <v>316.8</v>
      </c>
      <c r="Q10" s="1799">
        <f>H53</f>
        <v>333.4</v>
      </c>
      <c r="R10" s="1799">
        <f>Q10</f>
        <v>333.4</v>
      </c>
      <c r="S10" s="1799">
        <f>I53</f>
        <v>350.9</v>
      </c>
      <c r="T10" s="1799">
        <f>S10</f>
        <v>350.9</v>
      </c>
      <c r="U10" s="3"/>
      <c r="V10" s="777" t="s">
        <v>509</v>
      </c>
      <c r="W10" s="778">
        <v>4.8836443567319074E-2</v>
      </c>
      <c r="X10" s="423"/>
      <c r="Y10" s="717"/>
      <c r="Z10" s="423"/>
      <c r="AA10" s="336"/>
      <c r="AB10" s="1136"/>
      <c r="AC10" s="577"/>
    </row>
    <row r="11" spans="2:29" s="356" customFormat="1" ht="29" customHeight="1">
      <c r="B11" s="422">
        <f>B10+1</f>
        <v>2</v>
      </c>
      <c r="C11" s="552" t="s">
        <v>395</v>
      </c>
      <c r="D11" s="1814"/>
      <c r="E11" s="1801"/>
      <c r="F11" s="1801"/>
      <c r="G11" s="1801"/>
      <c r="H11" s="1806"/>
      <c r="I11" s="1801"/>
      <c r="J11" s="1808"/>
      <c r="K11" s="1799"/>
      <c r="L11" s="1799"/>
      <c r="M11" s="1799"/>
      <c r="N11" s="1799"/>
      <c r="O11" s="1799"/>
      <c r="P11" s="1799"/>
      <c r="Q11" s="1799"/>
      <c r="R11" s="1799"/>
      <c r="S11" s="1799"/>
      <c r="T11" s="1799"/>
      <c r="U11" s="623"/>
      <c r="V11" s="777" t="s">
        <v>510</v>
      </c>
      <c r="W11" s="782">
        <v>4.3566242197182838E-2</v>
      </c>
      <c r="X11" s="423"/>
      <c r="Y11" s="717"/>
      <c r="Z11" s="423"/>
      <c r="AA11" s="336"/>
      <c r="AB11" s="1137"/>
      <c r="AC11" s="577"/>
    </row>
    <row r="12" spans="2:29" s="2" customFormat="1">
      <c r="B12" s="422">
        <f t="shared" ref="B12:B16" si="0">B11+1</f>
        <v>3</v>
      </c>
      <c r="C12" s="91" t="s">
        <v>463</v>
      </c>
      <c r="D12" s="1814"/>
      <c r="E12" s="1801"/>
      <c r="F12" s="1801"/>
      <c r="G12" s="1801"/>
      <c r="H12" s="1806"/>
      <c r="I12" s="1801"/>
      <c r="J12" s="1808"/>
      <c r="K12" s="1799"/>
      <c r="L12" s="1799"/>
      <c r="M12" s="1799"/>
      <c r="N12" s="1799"/>
      <c r="O12" s="1799"/>
      <c r="P12" s="1799"/>
      <c r="Q12" s="1799"/>
      <c r="R12" s="1799"/>
      <c r="S12" s="1799"/>
      <c r="T12" s="1799"/>
      <c r="U12" s="623"/>
      <c r="V12" s="777" t="s">
        <v>511</v>
      </c>
      <c r="W12" s="779">
        <f>W11</f>
        <v>4.3566242197182838E-2</v>
      </c>
      <c r="X12" s="423"/>
      <c r="Y12" s="717"/>
      <c r="Z12" s="423"/>
      <c r="AA12" s="336"/>
      <c r="AB12" s="1133"/>
      <c r="AC12" s="577"/>
    </row>
    <row r="13" spans="2:29" s="2" customFormat="1">
      <c r="B13" s="422">
        <f t="shared" si="0"/>
        <v>4</v>
      </c>
      <c r="C13" s="571" t="s">
        <v>996</v>
      </c>
      <c r="D13" s="1815"/>
      <c r="E13" s="1802"/>
      <c r="F13" s="1802"/>
      <c r="G13" s="1802"/>
      <c r="H13" s="1807"/>
      <c r="I13" s="1802"/>
      <c r="J13" s="1115"/>
      <c r="K13" s="491">
        <f>'F3'!Q14*(1+W$13)</f>
        <v>24.92267670519086</v>
      </c>
      <c r="L13" s="491">
        <f>K13</f>
        <v>24.92267670519086</v>
      </c>
      <c r="M13" s="491">
        <f>K13*(1+W$14)</f>
        <v>26.00846407473129</v>
      </c>
      <c r="N13" s="491">
        <f>M13</f>
        <v>26.00846407473129</v>
      </c>
      <c r="O13" s="491">
        <f>M13*(1+W$15)</f>
        <v>27.14155511978776</v>
      </c>
      <c r="P13" s="491">
        <f>O13</f>
        <v>27.14155511978776</v>
      </c>
      <c r="Q13" s="491">
        <f>O13*(1+W$16)</f>
        <v>28.324010683744618</v>
      </c>
      <c r="R13" s="491">
        <f>Q13</f>
        <v>28.324010683744618</v>
      </c>
      <c r="S13" s="1116">
        <f>Q13*(1+W$17)</f>
        <v>29.557981393188228</v>
      </c>
      <c r="T13" s="491">
        <f>S13</f>
        <v>29.557981393188228</v>
      </c>
      <c r="U13" s="623"/>
      <c r="V13" s="777" t="s">
        <v>947</v>
      </c>
      <c r="W13" s="578">
        <f>W12</f>
        <v>4.3566242197182838E-2</v>
      </c>
      <c r="X13" s="423"/>
      <c r="Y13" s="717"/>
      <c r="Z13" s="423"/>
      <c r="AA13" s="336"/>
      <c r="AB13" s="1133"/>
      <c r="AC13" s="577"/>
    </row>
    <row r="14" spans="2:29" s="465" customFormat="1">
      <c r="B14" s="422">
        <f t="shared" si="0"/>
        <v>5</v>
      </c>
      <c r="C14" s="181" t="s">
        <v>180</v>
      </c>
      <c r="D14" s="1117"/>
      <c r="E14" s="1117"/>
      <c r="F14" s="1117"/>
      <c r="G14" s="1117"/>
      <c r="H14" s="1117"/>
      <c r="I14" s="1117"/>
      <c r="J14" s="1117"/>
      <c r="K14" s="1117">
        <f t="shared" ref="K14:T14" si="1">SUM(K10:K13)</f>
        <v>310.92267670519084</v>
      </c>
      <c r="L14" s="1117">
        <f t="shared" si="1"/>
        <v>310.92267670519084</v>
      </c>
      <c r="M14" s="1117">
        <f t="shared" si="1"/>
        <v>327.00846407473131</v>
      </c>
      <c r="N14" s="1117">
        <f>SUM(N10:N13)</f>
        <v>327.00846407473131</v>
      </c>
      <c r="O14" s="1117">
        <f t="shared" si="1"/>
        <v>343.94155511978778</v>
      </c>
      <c r="P14" s="1117">
        <f t="shared" si="1"/>
        <v>343.94155511978778</v>
      </c>
      <c r="Q14" s="1117">
        <f t="shared" si="1"/>
        <v>361.72401068374461</v>
      </c>
      <c r="R14" s="1117">
        <f t="shared" si="1"/>
        <v>361.72401068374461</v>
      </c>
      <c r="S14" s="1117">
        <f t="shared" si="1"/>
        <v>380.45798139318822</v>
      </c>
      <c r="T14" s="1117">
        <f t="shared" si="1"/>
        <v>380.45798139318822</v>
      </c>
      <c r="U14" s="4"/>
      <c r="V14" s="777" t="s">
        <v>948</v>
      </c>
      <c r="W14" s="1118">
        <f>W12</f>
        <v>4.3566242197182838E-2</v>
      </c>
      <c r="X14" s="1134"/>
      <c r="Y14" s="1134"/>
      <c r="Z14" s="418"/>
      <c r="AA14" s="418"/>
      <c r="AB14" s="418"/>
    </row>
    <row r="15" spans="2:29" s="2" customFormat="1">
      <c r="B15" s="422">
        <f t="shared" si="0"/>
        <v>6</v>
      </c>
      <c r="C15" s="91" t="s">
        <v>339</v>
      </c>
      <c r="D15" s="852"/>
      <c r="E15" s="852"/>
      <c r="F15" s="852"/>
      <c r="G15" s="852"/>
      <c r="H15" s="852"/>
      <c r="I15" s="1119"/>
      <c r="J15" s="91"/>
      <c r="K15" s="852"/>
      <c r="L15" s="852"/>
      <c r="M15" s="852"/>
      <c r="N15" s="852"/>
      <c r="O15" s="852"/>
      <c r="P15" s="852"/>
      <c r="Q15" s="852"/>
      <c r="R15" s="852"/>
      <c r="S15" s="852"/>
      <c r="T15" s="852"/>
      <c r="U15" s="3"/>
      <c r="V15" s="777" t="s">
        <v>949</v>
      </c>
      <c r="W15" s="1118">
        <f>W12</f>
        <v>4.3566242197182838E-2</v>
      </c>
      <c r="X15" s="1135"/>
      <c r="Y15" s="1135"/>
      <c r="Z15" s="11"/>
      <c r="AA15" s="11"/>
      <c r="AB15" s="11"/>
    </row>
    <row r="16" spans="2:29">
      <c r="B16" s="422">
        <f t="shared" si="0"/>
        <v>7</v>
      </c>
      <c r="C16" s="552" t="s">
        <v>340</v>
      </c>
      <c r="D16" s="1120"/>
      <c r="E16" s="1120"/>
      <c r="F16" s="1120"/>
      <c r="G16" s="1120"/>
      <c r="H16" s="1120"/>
      <c r="I16" s="1121"/>
      <c r="J16" s="1120"/>
      <c r="K16" s="1120">
        <f t="shared" ref="K16:T16" si="2">SUM(K14:K15)</f>
        <v>310.92267670519084</v>
      </c>
      <c r="L16" s="1120">
        <f t="shared" si="2"/>
        <v>310.92267670519084</v>
      </c>
      <c r="M16" s="1120">
        <f t="shared" si="2"/>
        <v>327.00846407473131</v>
      </c>
      <c r="N16" s="1120">
        <f t="shared" si="2"/>
        <v>327.00846407473131</v>
      </c>
      <c r="O16" s="1120">
        <f t="shared" si="2"/>
        <v>343.94155511978778</v>
      </c>
      <c r="P16" s="1120">
        <f t="shared" si="2"/>
        <v>343.94155511978778</v>
      </c>
      <c r="Q16" s="1120">
        <f t="shared" si="2"/>
        <v>361.72401068374461</v>
      </c>
      <c r="R16" s="1120">
        <f t="shared" si="2"/>
        <v>361.72401068374461</v>
      </c>
      <c r="S16" s="1120">
        <f t="shared" si="2"/>
        <v>380.45798139318822</v>
      </c>
      <c r="T16" s="1120">
        <f t="shared" si="2"/>
        <v>380.45798139318822</v>
      </c>
      <c r="V16" s="777" t="s">
        <v>950</v>
      </c>
      <c r="W16" s="1118">
        <f>W12</f>
        <v>4.3566242197182838E-2</v>
      </c>
      <c r="X16" s="1134"/>
      <c r="Y16" s="1134"/>
      <c r="Z16" s="11"/>
      <c r="AA16" s="11"/>
      <c r="AB16" s="11"/>
    </row>
    <row r="17" spans="2:28">
      <c r="C17" s="2"/>
      <c r="D17" s="2"/>
      <c r="E17" s="2"/>
      <c r="F17" s="2"/>
      <c r="G17" s="2"/>
      <c r="H17" s="2"/>
      <c r="I17" s="2"/>
      <c r="J17" s="2"/>
      <c r="K17" s="2"/>
      <c r="L17" s="2"/>
      <c r="M17" s="2"/>
      <c r="N17" s="2"/>
      <c r="O17" s="2"/>
      <c r="P17" s="2"/>
      <c r="Q17" s="2"/>
      <c r="R17" s="2"/>
      <c r="S17" s="2"/>
      <c r="V17" s="777" t="s">
        <v>951</v>
      </c>
      <c r="W17" s="1118">
        <f>W13</f>
        <v>4.3566242197182838E-2</v>
      </c>
      <c r="X17" s="11"/>
      <c r="Y17" s="11"/>
      <c r="Z17" s="11"/>
      <c r="AA17" s="11"/>
      <c r="AB17" s="11"/>
    </row>
    <row r="18" spans="2:28">
      <c r="B18" s="44"/>
    </row>
    <row r="23" spans="2:28">
      <c r="K23" s="21"/>
      <c r="L23" s="21"/>
      <c r="M23" s="21"/>
      <c r="N23" s="21" t="s">
        <v>10</v>
      </c>
      <c r="O23" s="21"/>
      <c r="P23" s="21"/>
      <c r="X23" s="21" t="s">
        <v>10</v>
      </c>
    </row>
    <row r="24" spans="2:28" ht="18" customHeight="1">
      <c r="B24" s="1788" t="s">
        <v>341</v>
      </c>
      <c r="C24" s="1788" t="s">
        <v>37</v>
      </c>
      <c r="D24" s="1122"/>
      <c r="E24" s="1122"/>
      <c r="F24" s="1122"/>
      <c r="G24" s="1122"/>
      <c r="H24" s="1122"/>
      <c r="I24" s="1122"/>
      <c r="J24" s="1791" t="s">
        <v>1451</v>
      </c>
      <c r="K24" s="1792"/>
      <c r="L24" s="1792"/>
      <c r="M24" s="1792"/>
      <c r="N24" s="1793"/>
      <c r="O24" s="1123" t="s">
        <v>27</v>
      </c>
      <c r="P24" s="1130"/>
      <c r="Q24" s="1130"/>
      <c r="R24" s="1130"/>
      <c r="S24" s="1130"/>
      <c r="T24" s="57"/>
    </row>
    <row r="25" spans="2:28" ht="15">
      <c r="B25" s="1788"/>
      <c r="C25" s="1790"/>
      <c r="D25" s="1790" t="s">
        <v>509</v>
      </c>
      <c r="E25" s="1790"/>
      <c r="F25" s="1790" t="s">
        <v>510</v>
      </c>
      <c r="G25" s="1790"/>
      <c r="H25" s="1790" t="s">
        <v>511</v>
      </c>
      <c r="I25" s="1790"/>
      <c r="J25" s="1090" t="s">
        <v>947</v>
      </c>
      <c r="K25" s="1083" t="s">
        <v>948</v>
      </c>
      <c r="L25" s="1083" t="s">
        <v>949</v>
      </c>
      <c r="M25" s="1083" t="s">
        <v>950</v>
      </c>
      <c r="N25" s="1083" t="s">
        <v>951</v>
      </c>
      <c r="O25" s="1124"/>
      <c r="P25" s="1129"/>
      <c r="Q25" s="1129"/>
      <c r="R25" s="1129"/>
      <c r="S25" s="1129"/>
      <c r="T25" s="57"/>
    </row>
    <row r="26" spans="2:28">
      <c r="B26" s="1788"/>
      <c r="C26" s="1790"/>
      <c r="D26" s="1087" t="s">
        <v>945</v>
      </c>
      <c r="E26" s="1087" t="s">
        <v>7</v>
      </c>
      <c r="F26" s="1087" t="s">
        <v>945</v>
      </c>
      <c r="G26" s="1087" t="s">
        <v>7</v>
      </c>
      <c r="H26" s="1087" t="s">
        <v>945</v>
      </c>
      <c r="I26" s="1082" t="s">
        <v>21</v>
      </c>
      <c r="J26" s="1082" t="s">
        <v>21</v>
      </c>
      <c r="K26" s="1082" t="s">
        <v>21</v>
      </c>
      <c r="L26" s="1082" t="s">
        <v>21</v>
      </c>
      <c r="M26" s="1082" t="s">
        <v>21</v>
      </c>
      <c r="N26" s="1082" t="s">
        <v>21</v>
      </c>
      <c r="O26" s="1125"/>
      <c r="P26" s="1086"/>
      <c r="Q26" s="1086"/>
      <c r="R26" s="1086"/>
      <c r="S26" s="1086"/>
      <c r="T26" s="57"/>
    </row>
    <row r="27" spans="2:28" s="2" customFormat="1">
      <c r="B27" s="463">
        <v>1</v>
      </c>
      <c r="C27" s="3" t="s">
        <v>543</v>
      </c>
      <c r="D27" s="1126">
        <v>3.1399999999999997</v>
      </c>
      <c r="E27" s="1126">
        <v>9.1935441000000004</v>
      </c>
      <c r="F27" s="1126">
        <v>3.1399999999999997</v>
      </c>
      <c r="G27" s="1126">
        <v>20.111360491008533</v>
      </c>
      <c r="H27" s="1126">
        <v>3.1399999999999997</v>
      </c>
      <c r="I27" s="1126">
        <v>20.111360491008533</v>
      </c>
      <c r="J27" s="851">
        <v>5.0823636974999999</v>
      </c>
      <c r="K27" s="851">
        <v>5.7199363066125004</v>
      </c>
      <c r="L27" s="851">
        <v>364.5907182386905</v>
      </c>
      <c r="M27" s="851">
        <v>374.37136781732119</v>
      </c>
      <c r="N27" s="851">
        <v>384.3259898607231</v>
      </c>
      <c r="O27" s="1127"/>
      <c r="P27" s="732"/>
      <c r="Q27" s="704"/>
      <c r="R27" s="732"/>
      <c r="S27" s="704"/>
      <c r="T27" s="11"/>
    </row>
    <row r="28" spans="2:28">
      <c r="S28" s="610"/>
      <c r="T28" s="610"/>
    </row>
    <row r="29" spans="2:28">
      <c r="B29" s="1" t="s">
        <v>680</v>
      </c>
    </row>
    <row r="31" spans="2:28">
      <c r="B31" s="1816" t="s">
        <v>464</v>
      </c>
      <c r="C31" s="1816"/>
      <c r="D31" s="1816"/>
      <c r="E31" s="1816"/>
      <c r="F31" s="1816"/>
      <c r="G31" s="1816"/>
      <c r="H31" s="1816"/>
      <c r="I31" s="1816"/>
      <c r="J31" s="1816"/>
      <c r="K31" s="296"/>
      <c r="L31" s="632"/>
      <c r="M31" s="296"/>
      <c r="N31" s="296"/>
      <c r="O31" s="296"/>
      <c r="P31" s="632"/>
      <c r="Q31" s="130"/>
    </row>
    <row r="33" spans="2:25" ht="15" customHeight="1">
      <c r="B33" s="1788" t="s">
        <v>341</v>
      </c>
      <c r="C33" s="1788" t="s">
        <v>37</v>
      </c>
      <c r="D33" s="1788" t="s">
        <v>181</v>
      </c>
      <c r="E33" s="1681" t="s">
        <v>946</v>
      </c>
      <c r="F33" s="1681"/>
      <c r="G33" s="1681"/>
      <c r="H33" s="1681"/>
      <c r="I33" s="1681"/>
      <c r="J33" s="1691" t="s">
        <v>27</v>
      </c>
      <c r="K33" s="57"/>
      <c r="L33" s="57"/>
      <c r="M33" s="57"/>
      <c r="N33" s="57"/>
      <c r="O33" s="57"/>
      <c r="P33" s="57"/>
      <c r="Q33" s="57"/>
      <c r="R33" s="1794"/>
      <c r="S33" s="1794"/>
      <c r="T33" s="1794"/>
      <c r="U33" s="1794"/>
      <c r="V33" s="1794"/>
      <c r="W33" s="1764"/>
      <c r="X33" s="57"/>
      <c r="Y33" s="57"/>
    </row>
    <row r="34" spans="2:25" ht="15">
      <c r="B34" s="1788"/>
      <c r="C34" s="1790"/>
      <c r="D34" s="1790"/>
      <c r="E34" s="1083" t="s">
        <v>947</v>
      </c>
      <c r="F34" s="1083" t="s">
        <v>948</v>
      </c>
      <c r="G34" s="1083" t="s">
        <v>949</v>
      </c>
      <c r="H34" s="1083" t="s">
        <v>950</v>
      </c>
      <c r="I34" s="1083" t="s">
        <v>951</v>
      </c>
      <c r="J34" s="1691"/>
      <c r="K34" s="1086"/>
      <c r="L34" s="1086"/>
      <c r="M34" s="1086"/>
      <c r="N34" s="1086"/>
      <c r="O34" s="1086"/>
      <c r="P34" s="1086"/>
      <c r="Q34" s="1086"/>
      <c r="R34" s="1129"/>
      <c r="S34" s="1129"/>
      <c r="T34" s="1129"/>
      <c r="U34" s="1129"/>
      <c r="V34" s="1129"/>
      <c r="W34" s="1764"/>
      <c r="X34" s="699"/>
      <c r="Y34" s="699"/>
    </row>
    <row r="35" spans="2:25">
      <c r="B35" s="1788"/>
      <c r="C35" s="1790"/>
      <c r="D35" s="1790"/>
      <c r="E35" s="1082" t="s">
        <v>21</v>
      </c>
      <c r="F35" s="1082" t="s">
        <v>21</v>
      </c>
      <c r="G35" s="1082" t="s">
        <v>21</v>
      </c>
      <c r="H35" s="1082" t="s">
        <v>21</v>
      </c>
      <c r="I35" s="1082" t="s">
        <v>21</v>
      </c>
      <c r="J35" s="1692"/>
      <c r="K35" s="1086"/>
      <c r="L35" s="1086"/>
      <c r="M35" s="1086"/>
      <c r="N35" s="1086"/>
      <c r="O35" s="1086"/>
      <c r="P35" s="1086"/>
      <c r="Q35" s="1086"/>
      <c r="R35" s="1086"/>
      <c r="S35" s="1086"/>
      <c r="T35" s="1086"/>
      <c r="U35" s="1086"/>
      <c r="V35" s="1086"/>
      <c r="W35" s="1798"/>
      <c r="X35" s="699"/>
      <c r="Y35" s="699"/>
    </row>
    <row r="36" spans="2:25">
      <c r="B36" s="131" t="s">
        <v>172</v>
      </c>
      <c r="C36" s="109" t="s">
        <v>182</v>
      </c>
      <c r="D36" s="9"/>
      <c r="E36" s="9"/>
      <c r="F36" s="9"/>
      <c r="G36" s="9"/>
      <c r="H36" s="9"/>
      <c r="I36" s="266"/>
      <c r="J36" s="266"/>
      <c r="K36" s="11"/>
      <c r="L36" s="11"/>
      <c r="M36" s="11"/>
      <c r="N36" s="11"/>
      <c r="O36" s="11"/>
      <c r="P36" s="11"/>
      <c r="Q36" s="11"/>
      <c r="R36" s="11"/>
      <c r="S36" s="11"/>
      <c r="T36" s="11"/>
      <c r="U36" s="11"/>
      <c r="V36" s="11"/>
      <c r="W36" s="11"/>
      <c r="X36" s="11"/>
      <c r="Y36" s="11"/>
    </row>
    <row r="37" spans="2:25">
      <c r="B37" s="132">
        <v>1</v>
      </c>
      <c r="C37" s="3" t="s">
        <v>183</v>
      </c>
      <c r="D37" s="3" t="s">
        <v>467</v>
      </c>
      <c r="E37" s="345">
        <v>41.33</v>
      </c>
      <c r="F37" s="345">
        <v>43.12</v>
      </c>
      <c r="G37" s="345">
        <v>44.99</v>
      </c>
      <c r="H37" s="345">
        <v>46.94</v>
      </c>
      <c r="I37" s="1203">
        <v>48.97</v>
      </c>
      <c r="J37" s="266"/>
      <c r="K37" s="704"/>
      <c r="L37" s="704"/>
      <c r="M37" s="704"/>
      <c r="N37" s="704"/>
      <c r="O37" s="704"/>
      <c r="P37" s="704"/>
      <c r="Q37" s="704"/>
      <c r="R37" s="11"/>
      <c r="S37" s="11"/>
      <c r="T37" s="11"/>
      <c r="U37" s="11"/>
      <c r="V37" s="704"/>
      <c r="W37" s="11"/>
      <c r="X37" s="704"/>
      <c r="Y37" s="704"/>
    </row>
    <row r="38" spans="2:25">
      <c r="B38" s="132">
        <v>2</v>
      </c>
      <c r="C38" s="3" t="s">
        <v>327</v>
      </c>
      <c r="D38" s="3" t="s">
        <v>467</v>
      </c>
      <c r="E38" s="345">
        <v>30.24</v>
      </c>
      <c r="F38" s="345">
        <v>31.35</v>
      </c>
      <c r="G38" s="345">
        <v>32.49</v>
      </c>
      <c r="H38" s="345">
        <v>33.659999999999997</v>
      </c>
      <c r="I38" s="1203">
        <v>34.86</v>
      </c>
      <c r="J38" s="266"/>
      <c r="K38" s="704"/>
      <c r="L38" s="704"/>
      <c r="M38" s="704"/>
      <c r="N38" s="704"/>
      <c r="O38" s="704"/>
      <c r="P38" s="704"/>
      <c r="Q38" s="704"/>
      <c r="R38" s="11"/>
      <c r="S38" s="11"/>
      <c r="T38" s="11"/>
      <c r="U38" s="11"/>
      <c r="V38" s="704"/>
      <c r="W38" s="11"/>
      <c r="X38" s="704"/>
      <c r="Y38" s="704"/>
    </row>
    <row r="39" spans="2:25">
      <c r="B39" s="132">
        <v>3</v>
      </c>
      <c r="C39" s="3" t="s">
        <v>184</v>
      </c>
      <c r="D39" s="3" t="s">
        <v>467</v>
      </c>
      <c r="E39" s="345">
        <v>28.6</v>
      </c>
      <c r="F39" s="345">
        <v>30.1</v>
      </c>
      <c r="G39" s="345">
        <v>31.68</v>
      </c>
      <c r="H39" s="345">
        <v>33.340000000000003</v>
      </c>
      <c r="I39" s="1203">
        <v>35.090000000000003</v>
      </c>
      <c r="J39" s="266"/>
      <c r="K39" s="704"/>
      <c r="L39" s="704"/>
      <c r="M39" s="704"/>
      <c r="N39" s="704"/>
      <c r="O39" s="704"/>
      <c r="P39" s="704"/>
      <c r="Q39" s="704"/>
      <c r="R39" s="11"/>
      <c r="S39" s="11"/>
      <c r="T39" s="11"/>
      <c r="U39" s="11"/>
      <c r="V39" s="704"/>
      <c r="W39" s="11"/>
      <c r="X39" s="704"/>
      <c r="Y39" s="704"/>
    </row>
    <row r="40" spans="2:25">
      <c r="B40" s="132">
        <v>4</v>
      </c>
      <c r="C40" s="3" t="s">
        <v>550</v>
      </c>
      <c r="D40" s="3" t="s">
        <v>467</v>
      </c>
      <c r="E40" s="345">
        <v>24.21</v>
      </c>
      <c r="F40" s="345">
        <v>25.26</v>
      </c>
      <c r="G40" s="345">
        <v>26.36</v>
      </c>
      <c r="H40" s="345">
        <v>27.5</v>
      </c>
      <c r="I40" s="1203">
        <v>28.69</v>
      </c>
      <c r="J40" s="266"/>
      <c r="K40" s="704"/>
      <c r="L40" s="704"/>
      <c r="M40" s="704"/>
      <c r="N40" s="704"/>
      <c r="O40" s="704"/>
      <c r="P40" s="704"/>
      <c r="Q40" s="704"/>
      <c r="R40" s="11"/>
      <c r="S40" s="11"/>
      <c r="T40" s="11"/>
      <c r="U40" s="11"/>
      <c r="V40" s="704"/>
      <c r="W40" s="11"/>
      <c r="X40" s="704"/>
      <c r="Y40" s="704"/>
    </row>
    <row r="41" spans="2:25">
      <c r="B41" s="132">
        <v>5</v>
      </c>
      <c r="C41" s="3" t="s">
        <v>551</v>
      </c>
      <c r="D41" s="3" t="s">
        <v>467</v>
      </c>
      <c r="E41" s="9"/>
      <c r="F41" s="9"/>
      <c r="G41" s="9"/>
      <c r="H41" s="9"/>
      <c r="I41" s="1128"/>
      <c r="J41" s="266"/>
      <c r="K41" s="704"/>
      <c r="L41" s="704"/>
      <c r="M41" s="704"/>
      <c r="N41" s="704"/>
      <c r="O41" s="704"/>
      <c r="P41" s="704"/>
      <c r="Q41" s="704"/>
      <c r="R41" s="11"/>
      <c r="S41" s="11"/>
      <c r="T41" s="11"/>
      <c r="U41" s="11"/>
      <c r="V41" s="704"/>
      <c r="W41" s="11"/>
      <c r="X41" s="704"/>
      <c r="Y41" s="704"/>
    </row>
    <row r="42" spans="2:25">
      <c r="B42" s="132"/>
      <c r="C42" s="3"/>
      <c r="D42" s="3"/>
      <c r="E42" s="9"/>
      <c r="F42" s="9"/>
      <c r="G42" s="9"/>
      <c r="H42" s="9"/>
      <c r="I42" s="1128"/>
      <c r="J42" s="266"/>
      <c r="K42" s="704"/>
      <c r="L42" s="704"/>
      <c r="M42" s="704"/>
      <c r="N42" s="704"/>
      <c r="O42" s="704"/>
      <c r="P42" s="704"/>
      <c r="Q42" s="704"/>
      <c r="R42" s="11"/>
      <c r="S42" s="11"/>
      <c r="T42" s="11"/>
      <c r="U42" s="11"/>
      <c r="V42" s="704"/>
      <c r="W42" s="11"/>
      <c r="X42" s="704"/>
      <c r="Y42" s="704"/>
    </row>
    <row r="43" spans="2:25">
      <c r="B43" s="131" t="s">
        <v>185</v>
      </c>
      <c r="C43" s="626" t="s">
        <v>465</v>
      </c>
      <c r="D43" s="3"/>
      <c r="E43" s="9"/>
      <c r="F43" s="9"/>
      <c r="G43" s="9"/>
      <c r="H43" s="9"/>
      <c r="I43" s="1128"/>
      <c r="J43" s="266"/>
      <c r="K43" s="704"/>
      <c r="L43" s="704"/>
      <c r="M43" s="704"/>
      <c r="N43" s="704"/>
      <c r="O43" s="704"/>
      <c r="P43" s="704"/>
      <c r="Q43" s="704"/>
      <c r="R43" s="11"/>
      <c r="S43" s="11"/>
      <c r="T43" s="11"/>
      <c r="U43" s="11"/>
      <c r="V43" s="704"/>
      <c r="W43" s="11"/>
      <c r="X43" s="704"/>
      <c r="Y43" s="704"/>
    </row>
    <row r="44" spans="2:25">
      <c r="B44" s="132">
        <v>1</v>
      </c>
      <c r="C44" s="3" t="s">
        <v>183</v>
      </c>
      <c r="D44" s="3" t="s">
        <v>97</v>
      </c>
      <c r="E44" s="9"/>
      <c r="F44" s="9"/>
      <c r="G44" s="9"/>
      <c r="H44" s="9"/>
      <c r="I44" s="1128"/>
      <c r="J44" s="266"/>
      <c r="K44" s="704"/>
      <c r="L44" s="704"/>
      <c r="M44" s="704"/>
      <c r="N44" s="704"/>
      <c r="O44" s="704"/>
      <c r="P44" s="704"/>
      <c r="Q44" s="704"/>
      <c r="R44" s="11"/>
      <c r="S44" s="11"/>
      <c r="T44" s="11"/>
      <c r="U44" s="11"/>
      <c r="V44" s="704"/>
      <c r="W44" s="11"/>
      <c r="X44" s="704"/>
      <c r="Y44" s="704"/>
    </row>
    <row r="45" spans="2:25">
      <c r="B45" s="132">
        <v>2</v>
      </c>
      <c r="C45" s="3" t="s">
        <v>327</v>
      </c>
      <c r="D45" s="3" t="s">
        <v>97</v>
      </c>
      <c r="E45" s="9"/>
      <c r="F45" s="9"/>
      <c r="G45" s="9"/>
      <c r="H45" s="9"/>
      <c r="I45" s="1128"/>
      <c r="J45" s="266"/>
      <c r="K45" s="704"/>
      <c r="L45" s="704"/>
      <c r="M45" s="704"/>
      <c r="N45" s="704"/>
      <c r="O45" s="704"/>
      <c r="P45" s="704"/>
      <c r="Q45" s="704"/>
      <c r="R45" s="11"/>
      <c r="S45" s="11"/>
      <c r="T45" s="11"/>
      <c r="U45" s="11"/>
      <c r="V45" s="704"/>
      <c r="W45" s="11"/>
      <c r="X45" s="704"/>
      <c r="Y45" s="704"/>
    </row>
    <row r="46" spans="2:25">
      <c r="B46" s="132">
        <v>3</v>
      </c>
      <c r="C46" s="3" t="s">
        <v>184</v>
      </c>
      <c r="D46" s="3" t="s">
        <v>97</v>
      </c>
      <c r="E46" s="9">
        <f>2*500</f>
        <v>1000</v>
      </c>
      <c r="F46" s="9">
        <f>E46</f>
        <v>1000</v>
      </c>
      <c r="G46" s="9">
        <f>E46</f>
        <v>1000</v>
      </c>
      <c r="H46" s="9">
        <f>E46</f>
        <v>1000</v>
      </c>
      <c r="I46" s="1128">
        <f>E46</f>
        <v>1000</v>
      </c>
      <c r="J46" s="266"/>
      <c r="K46" s="704"/>
      <c r="L46" s="704"/>
      <c r="M46" s="704"/>
      <c r="N46" s="704"/>
      <c r="O46" s="704"/>
      <c r="P46" s="704"/>
      <c r="Q46" s="704"/>
      <c r="R46" s="11"/>
      <c r="S46" s="11"/>
      <c r="T46" s="11"/>
      <c r="U46" s="11"/>
      <c r="V46" s="704"/>
      <c r="W46" s="11"/>
      <c r="X46" s="704"/>
      <c r="Y46" s="704"/>
    </row>
    <row r="47" spans="2:25">
      <c r="B47" s="132">
        <v>4</v>
      </c>
      <c r="C47" s="3" t="s">
        <v>552</v>
      </c>
      <c r="D47" s="3" t="s">
        <v>97</v>
      </c>
      <c r="E47" s="9"/>
      <c r="F47" s="9"/>
      <c r="G47" s="9"/>
      <c r="H47" s="9"/>
      <c r="I47" s="1128"/>
      <c r="J47" s="266"/>
      <c r="K47" s="704"/>
      <c r="L47" s="704"/>
      <c r="M47" s="704"/>
      <c r="N47" s="704"/>
      <c r="O47" s="704"/>
      <c r="P47" s="704"/>
      <c r="Q47" s="704"/>
      <c r="R47" s="11"/>
      <c r="S47" s="11"/>
      <c r="T47" s="11"/>
      <c r="U47" s="11"/>
      <c r="V47" s="704"/>
      <c r="W47" s="11"/>
      <c r="X47" s="704"/>
      <c r="Y47" s="704"/>
    </row>
    <row r="48" spans="2:25">
      <c r="B48" s="132">
        <v>5</v>
      </c>
      <c r="C48" s="3" t="s">
        <v>551</v>
      </c>
      <c r="D48" s="3" t="s">
        <v>97</v>
      </c>
      <c r="E48" s="9"/>
      <c r="F48" s="9"/>
      <c r="G48" s="9"/>
      <c r="H48" s="9"/>
      <c r="I48" s="1128"/>
      <c r="J48" s="266"/>
      <c r="K48" s="704"/>
      <c r="L48" s="704"/>
      <c r="M48" s="704"/>
      <c r="N48" s="704"/>
      <c r="O48" s="704"/>
      <c r="P48" s="704"/>
      <c r="Q48" s="704"/>
      <c r="R48" s="11"/>
      <c r="S48" s="11"/>
      <c r="T48" s="11"/>
      <c r="U48" s="11"/>
      <c r="V48" s="704"/>
      <c r="W48" s="11"/>
      <c r="X48" s="704"/>
      <c r="Y48" s="704"/>
    </row>
    <row r="49" spans="2:25">
      <c r="B49" s="132"/>
      <c r="C49" s="3"/>
      <c r="D49" s="3"/>
      <c r="E49" s="9"/>
      <c r="F49" s="9"/>
      <c r="G49" s="9"/>
      <c r="H49" s="9"/>
      <c r="I49" s="1128"/>
      <c r="J49" s="266"/>
      <c r="K49" s="704"/>
      <c r="L49" s="704"/>
      <c r="M49" s="704"/>
      <c r="N49" s="704"/>
      <c r="O49" s="704"/>
      <c r="P49" s="704"/>
      <c r="Q49" s="704"/>
      <c r="R49" s="11"/>
      <c r="S49" s="11"/>
      <c r="T49" s="11"/>
      <c r="U49" s="11"/>
      <c r="V49" s="704"/>
      <c r="W49" s="11"/>
      <c r="X49" s="704"/>
      <c r="Y49" s="704"/>
    </row>
    <row r="50" spans="2:25">
      <c r="B50" s="131" t="s">
        <v>186</v>
      </c>
      <c r="C50" s="626" t="s">
        <v>466</v>
      </c>
      <c r="D50" s="3"/>
      <c r="E50" s="9"/>
      <c r="F50" s="9"/>
      <c r="G50" s="9"/>
      <c r="H50" s="9"/>
      <c r="I50" s="1128"/>
      <c r="J50" s="266"/>
      <c r="K50" s="704"/>
      <c r="L50" s="704"/>
      <c r="M50" s="704"/>
      <c r="N50" s="704"/>
      <c r="O50" s="704"/>
      <c r="P50" s="704"/>
      <c r="Q50" s="704"/>
      <c r="R50" s="11"/>
      <c r="S50" s="11"/>
      <c r="T50" s="11"/>
      <c r="U50" s="11"/>
      <c r="V50" s="704"/>
      <c r="W50" s="11"/>
      <c r="X50" s="704"/>
      <c r="Y50" s="704"/>
    </row>
    <row r="51" spans="2:25">
      <c r="B51" s="132">
        <v>1</v>
      </c>
      <c r="C51" s="3" t="s">
        <v>183</v>
      </c>
      <c r="D51" s="3" t="s">
        <v>443</v>
      </c>
      <c r="E51" s="879">
        <f>E37*E44/100</f>
        <v>0</v>
      </c>
      <c r="F51" s="879">
        <f>F37*F44/100</f>
        <v>0</v>
      </c>
      <c r="G51" s="879">
        <f>G37*G44/100</f>
        <v>0</v>
      </c>
      <c r="H51" s="879">
        <f>H37*H44/100</f>
        <v>0</v>
      </c>
      <c r="I51" s="879">
        <f>I37*I44/100</f>
        <v>0</v>
      </c>
      <c r="J51" s="266"/>
      <c r="K51" s="704"/>
      <c r="L51" s="704"/>
      <c r="M51" s="704"/>
      <c r="N51" s="704"/>
      <c r="O51" s="704"/>
      <c r="P51" s="704"/>
      <c r="Q51" s="704"/>
      <c r="R51" s="11"/>
      <c r="S51" s="11"/>
      <c r="T51" s="11"/>
      <c r="U51" s="11"/>
      <c r="V51" s="704"/>
      <c r="W51" s="11"/>
      <c r="X51" s="704"/>
      <c r="Y51" s="704"/>
    </row>
    <row r="52" spans="2:25">
      <c r="B52" s="132">
        <v>2</v>
      </c>
      <c r="C52" s="3" t="s">
        <v>327</v>
      </c>
      <c r="D52" s="3" t="s">
        <v>443</v>
      </c>
      <c r="E52" s="879">
        <f t="shared" ref="E52:I52" si="3">E38*E45/100</f>
        <v>0</v>
      </c>
      <c r="F52" s="879">
        <f t="shared" si="3"/>
        <v>0</v>
      </c>
      <c r="G52" s="879">
        <f t="shared" si="3"/>
        <v>0</v>
      </c>
      <c r="H52" s="879">
        <f t="shared" si="3"/>
        <v>0</v>
      </c>
      <c r="I52" s="879">
        <f t="shared" si="3"/>
        <v>0</v>
      </c>
      <c r="J52" s="266"/>
      <c r="K52" s="704"/>
      <c r="L52" s="704"/>
      <c r="M52" s="704"/>
      <c r="N52" s="704"/>
      <c r="O52" s="704"/>
      <c r="P52" s="704"/>
      <c r="Q52" s="704"/>
      <c r="R52" s="11"/>
      <c r="S52" s="11"/>
      <c r="T52" s="11"/>
      <c r="U52" s="11"/>
      <c r="V52" s="704"/>
      <c r="W52" s="11"/>
      <c r="X52" s="704"/>
      <c r="Y52" s="704"/>
    </row>
    <row r="53" spans="2:25">
      <c r="B53" s="132">
        <v>3</v>
      </c>
      <c r="C53" s="3" t="s">
        <v>184</v>
      </c>
      <c r="D53" s="3" t="s">
        <v>443</v>
      </c>
      <c r="E53" s="879">
        <f t="shared" ref="E53:I53" si="4">E39*E46/100</f>
        <v>286</v>
      </c>
      <c r="F53" s="879">
        <f t="shared" si="4"/>
        <v>301</v>
      </c>
      <c r="G53" s="879">
        <f t="shared" si="4"/>
        <v>316.8</v>
      </c>
      <c r="H53" s="879">
        <f t="shared" si="4"/>
        <v>333.4</v>
      </c>
      <c r="I53" s="879">
        <f t="shared" si="4"/>
        <v>350.9</v>
      </c>
      <c r="J53" s="266"/>
      <c r="K53" s="704"/>
      <c r="L53" s="704"/>
      <c r="M53" s="704"/>
      <c r="N53" s="704"/>
      <c r="O53" s="704"/>
      <c r="P53" s="704"/>
      <c r="Q53" s="704"/>
      <c r="R53" s="11"/>
      <c r="S53" s="11"/>
      <c r="T53" s="11"/>
      <c r="U53" s="11"/>
      <c r="V53" s="704"/>
      <c r="W53" s="11"/>
      <c r="X53" s="704"/>
      <c r="Y53" s="704"/>
    </row>
    <row r="54" spans="2:25">
      <c r="B54" s="132">
        <v>4</v>
      </c>
      <c r="C54" s="3" t="s">
        <v>552</v>
      </c>
      <c r="D54" s="3" t="s">
        <v>443</v>
      </c>
      <c r="E54" s="879">
        <f t="shared" ref="E54:I54" si="5">E40*E47/100</f>
        <v>0</v>
      </c>
      <c r="F54" s="879">
        <f t="shared" si="5"/>
        <v>0</v>
      </c>
      <c r="G54" s="879">
        <f t="shared" si="5"/>
        <v>0</v>
      </c>
      <c r="H54" s="879">
        <f t="shared" si="5"/>
        <v>0</v>
      </c>
      <c r="I54" s="879">
        <f t="shared" si="5"/>
        <v>0</v>
      </c>
      <c r="J54" s="266"/>
      <c r="K54" s="704"/>
      <c r="L54" s="704"/>
      <c r="M54" s="704"/>
      <c r="N54" s="704"/>
      <c r="O54" s="704"/>
      <c r="P54" s="704"/>
      <c r="Q54" s="704"/>
      <c r="R54" s="11"/>
      <c r="S54" s="11"/>
      <c r="T54" s="11"/>
      <c r="U54" s="11"/>
      <c r="V54" s="704"/>
      <c r="W54" s="11"/>
      <c r="X54" s="704"/>
      <c r="Y54" s="704"/>
    </row>
    <row r="55" spans="2:25">
      <c r="B55" s="132">
        <v>5</v>
      </c>
      <c r="C55" s="3" t="s">
        <v>551</v>
      </c>
      <c r="D55" s="3" t="s">
        <v>443</v>
      </c>
      <c r="E55" s="879">
        <f t="shared" ref="E55:I55" si="6">E41*E48/100</f>
        <v>0</v>
      </c>
      <c r="F55" s="879">
        <f t="shared" si="6"/>
        <v>0</v>
      </c>
      <c r="G55" s="879">
        <f t="shared" si="6"/>
        <v>0</v>
      </c>
      <c r="H55" s="879">
        <f t="shared" si="6"/>
        <v>0</v>
      </c>
      <c r="I55" s="879">
        <f t="shared" si="6"/>
        <v>0</v>
      </c>
      <c r="J55" s="266"/>
      <c r="K55" s="704"/>
      <c r="L55" s="704"/>
      <c r="M55" s="704"/>
      <c r="N55" s="704"/>
      <c r="O55" s="704"/>
      <c r="P55" s="704"/>
      <c r="Q55" s="704"/>
      <c r="R55" s="11"/>
      <c r="S55" s="11"/>
      <c r="T55" s="11"/>
      <c r="U55" s="11"/>
      <c r="V55" s="704"/>
      <c r="W55" s="11"/>
      <c r="X55" s="704"/>
      <c r="Y55" s="704"/>
    </row>
    <row r="56" spans="2:25">
      <c r="B56" s="50"/>
      <c r="C56" s="5"/>
      <c r="D56" s="5"/>
      <c r="E56" s="5"/>
      <c r="F56" s="5"/>
      <c r="G56" s="5"/>
      <c r="H56" s="5"/>
      <c r="I56" s="5"/>
      <c r="J56" s="5"/>
      <c r="K56" s="5"/>
      <c r="L56" s="5"/>
      <c r="M56" s="5"/>
      <c r="N56" s="5"/>
      <c r="O56" s="5"/>
      <c r="P56" s="5"/>
      <c r="Q56" s="5"/>
    </row>
    <row r="59" spans="2:25">
      <c r="B59" s="1816" t="s">
        <v>544</v>
      </c>
      <c r="C59" s="1816"/>
      <c r="D59" s="1816"/>
      <c r="E59" s="1816"/>
      <c r="F59" s="1816"/>
      <c r="G59" s="1816"/>
      <c r="H59" s="1816"/>
      <c r="I59" s="1816"/>
      <c r="J59" s="1816"/>
      <c r="K59" s="296"/>
      <c r="L59" s="632"/>
      <c r="M59" s="296"/>
      <c r="N59" s="296"/>
      <c r="O59" s="296"/>
      <c r="P59" s="632"/>
    </row>
    <row r="60" spans="2:25">
      <c r="K60" s="21"/>
      <c r="L60" s="21"/>
      <c r="M60" s="21"/>
      <c r="N60" s="21"/>
      <c r="O60" s="21"/>
      <c r="P60" s="21"/>
      <c r="T60" s="21" t="s">
        <v>10</v>
      </c>
    </row>
    <row r="61" spans="2:25" ht="15">
      <c r="B61" s="1788" t="s">
        <v>341</v>
      </c>
      <c r="C61" s="1788" t="s">
        <v>37</v>
      </c>
      <c r="D61" s="1795" t="s">
        <v>509</v>
      </c>
      <c r="E61" s="1796"/>
      <c r="F61" s="1797"/>
      <c r="G61" s="1795" t="s">
        <v>510</v>
      </c>
      <c r="H61" s="1796"/>
      <c r="I61" s="1797"/>
      <c r="J61" s="1795" t="s">
        <v>511</v>
      </c>
      <c r="K61" s="1796"/>
      <c r="L61" s="1796"/>
      <c r="M61" s="1796"/>
      <c r="N61" s="1797"/>
      <c r="O61" s="1681" t="s">
        <v>946</v>
      </c>
      <c r="P61" s="1681"/>
      <c r="Q61" s="1681"/>
      <c r="R61" s="1681"/>
      <c r="S61" s="1681"/>
      <c r="T61" s="1691" t="s">
        <v>27</v>
      </c>
    </row>
    <row r="62" spans="2:25" ht="42">
      <c r="B62" s="1788"/>
      <c r="C62" s="1790"/>
      <c r="D62" s="298" t="s">
        <v>451</v>
      </c>
      <c r="E62" s="293" t="s">
        <v>79</v>
      </c>
      <c r="F62" s="293" t="s">
        <v>452</v>
      </c>
      <c r="G62" s="298" t="s">
        <v>451</v>
      </c>
      <c r="H62" s="293" t="s">
        <v>79</v>
      </c>
      <c r="I62" s="293" t="s">
        <v>452</v>
      </c>
      <c r="J62" s="293" t="s">
        <v>451</v>
      </c>
      <c r="K62" s="293" t="s">
        <v>445</v>
      </c>
      <c r="L62" s="293" t="s">
        <v>449</v>
      </c>
      <c r="M62" s="293" t="s">
        <v>80</v>
      </c>
      <c r="N62" s="293" t="s">
        <v>453</v>
      </c>
      <c r="O62" s="702" t="s">
        <v>947</v>
      </c>
      <c r="P62" s="702" t="s">
        <v>948</v>
      </c>
      <c r="Q62" s="702" t="s">
        <v>949</v>
      </c>
      <c r="R62" s="702" t="s">
        <v>950</v>
      </c>
      <c r="S62" s="702" t="s">
        <v>951</v>
      </c>
      <c r="T62" s="1691"/>
    </row>
    <row r="63" spans="2:25">
      <c r="B63" s="1788"/>
      <c r="C63" s="1790"/>
      <c r="D63" s="293" t="s">
        <v>81</v>
      </c>
      <c r="E63" s="293" t="s">
        <v>82</v>
      </c>
      <c r="F63" s="293" t="s">
        <v>644</v>
      </c>
      <c r="G63" s="293" t="s">
        <v>392</v>
      </c>
      <c r="H63" s="293" t="s">
        <v>410</v>
      </c>
      <c r="I63" s="293" t="s">
        <v>457</v>
      </c>
      <c r="J63" s="693" t="s">
        <v>411</v>
      </c>
      <c r="K63" s="693" t="s">
        <v>412</v>
      </c>
      <c r="L63" s="693" t="s">
        <v>557</v>
      </c>
      <c r="M63" s="693" t="s">
        <v>645</v>
      </c>
      <c r="N63" s="693" t="s">
        <v>506</v>
      </c>
      <c r="O63" s="692" t="s">
        <v>21</v>
      </c>
      <c r="P63" s="692" t="s">
        <v>21</v>
      </c>
      <c r="Q63" s="692" t="s">
        <v>21</v>
      </c>
      <c r="R63" s="692" t="s">
        <v>21</v>
      </c>
      <c r="S63" s="692" t="s">
        <v>21</v>
      </c>
      <c r="T63" s="1692"/>
    </row>
    <row r="64" spans="2:25">
      <c r="B64" s="166">
        <v>1</v>
      </c>
      <c r="C64" s="38" t="s">
        <v>545</v>
      </c>
      <c r="D64" s="345"/>
      <c r="E64" s="442"/>
      <c r="F64" s="345">
        <f>E64-D64</f>
        <v>0</v>
      </c>
      <c r="G64" s="345"/>
      <c r="H64" s="345"/>
      <c r="I64" s="345">
        <f>H64-G64</f>
        <v>0</v>
      </c>
      <c r="J64" s="345"/>
      <c r="K64" s="345"/>
      <c r="L64" s="345"/>
      <c r="M64" s="345">
        <f>K64+L64</f>
        <v>0</v>
      </c>
      <c r="N64" s="345">
        <f>M64-J64</f>
        <v>0</v>
      </c>
      <c r="O64" s="345"/>
      <c r="P64" s="345"/>
      <c r="Q64" s="345"/>
      <c r="R64" s="345"/>
      <c r="S64" s="9"/>
      <c r="T64" s="345"/>
    </row>
    <row r="65" spans="2:20">
      <c r="B65" s="132">
        <v>2</v>
      </c>
      <c r="C65" s="9" t="s">
        <v>546</v>
      </c>
      <c r="D65" s="345"/>
      <c r="E65" s="442"/>
      <c r="F65" s="345">
        <f>E65-D65</f>
        <v>0</v>
      </c>
      <c r="G65" s="345"/>
      <c r="H65" s="345"/>
      <c r="I65" s="345">
        <f>H65-G65</f>
        <v>0</v>
      </c>
      <c r="J65" s="345"/>
      <c r="K65" s="345"/>
      <c r="L65" s="345"/>
      <c r="M65" s="345">
        <f>K65+L65</f>
        <v>0</v>
      </c>
      <c r="N65" s="345">
        <f>M65-J65</f>
        <v>0</v>
      </c>
      <c r="O65" s="345"/>
      <c r="P65" s="345"/>
      <c r="Q65" s="345"/>
      <c r="R65" s="345"/>
      <c r="S65" s="9"/>
      <c r="T65" s="345"/>
    </row>
    <row r="66" spans="2:20">
      <c r="B66" s="132">
        <v>3</v>
      </c>
      <c r="C66" s="9" t="s">
        <v>547</v>
      </c>
      <c r="D66" s="345"/>
      <c r="E66" s="442"/>
      <c r="F66" s="345">
        <f>E66-D66</f>
        <v>0</v>
      </c>
      <c r="G66" s="345"/>
      <c r="H66" s="345"/>
      <c r="I66" s="345">
        <f>H66-G66</f>
        <v>0</v>
      </c>
      <c r="J66" s="345"/>
      <c r="K66" s="345"/>
      <c r="L66" s="345"/>
      <c r="M66" s="345">
        <f>K66+L66</f>
        <v>0</v>
      </c>
      <c r="N66" s="345">
        <f>M66-J66</f>
        <v>0</v>
      </c>
      <c r="O66" s="345"/>
      <c r="P66" s="345"/>
      <c r="Q66" s="345"/>
      <c r="R66" s="345"/>
      <c r="S66" s="9"/>
      <c r="T66" s="345"/>
    </row>
    <row r="67" spans="2:20">
      <c r="B67" s="132" t="s">
        <v>478</v>
      </c>
      <c r="C67" s="9"/>
      <c r="D67" s="345"/>
      <c r="E67" s="442"/>
      <c r="F67" s="345">
        <f>E67-D67</f>
        <v>0</v>
      </c>
      <c r="G67" s="345"/>
      <c r="H67" s="345"/>
      <c r="I67" s="345">
        <f>H67-G67</f>
        <v>0</v>
      </c>
      <c r="J67" s="345"/>
      <c r="K67" s="345"/>
      <c r="L67" s="345"/>
      <c r="M67" s="345">
        <f>K67+L67</f>
        <v>0</v>
      </c>
      <c r="N67" s="345">
        <f>M67-J67</f>
        <v>0</v>
      </c>
      <c r="O67" s="345"/>
      <c r="P67" s="345"/>
      <c r="Q67" s="345"/>
      <c r="R67" s="345"/>
      <c r="S67" s="9"/>
      <c r="T67" s="345"/>
    </row>
  </sheetData>
  <mergeCells count="56">
    <mergeCell ref="D10:D13"/>
    <mergeCell ref="B24:B26"/>
    <mergeCell ref="C24:C26"/>
    <mergeCell ref="B61:B63"/>
    <mergeCell ref="C61:C63"/>
    <mergeCell ref="B59:J59"/>
    <mergeCell ref="B31:J31"/>
    <mergeCell ref="B33:B35"/>
    <mergeCell ref="C33:C35"/>
    <mergeCell ref="D33:D35"/>
    <mergeCell ref="E33:I33"/>
    <mergeCell ref="J33:J35"/>
    <mergeCell ref="D61:F61"/>
    <mergeCell ref="G61:I61"/>
    <mergeCell ref="D25:E25"/>
    <mergeCell ref="H25:I25"/>
    <mergeCell ref="B1:R1"/>
    <mergeCell ref="B2:R2"/>
    <mergeCell ref="B3:R3"/>
    <mergeCell ref="B5:U5"/>
    <mergeCell ref="B7:B9"/>
    <mergeCell ref="C7:C9"/>
    <mergeCell ref="D7:H7"/>
    <mergeCell ref="I7:I8"/>
    <mergeCell ref="K7:T7"/>
    <mergeCell ref="U7:U9"/>
    <mergeCell ref="K8:L8"/>
    <mergeCell ref="M8:N8"/>
    <mergeCell ref="O8:P8"/>
    <mergeCell ref="E10:E13"/>
    <mergeCell ref="M10:M12"/>
    <mergeCell ref="Z7:Z9"/>
    <mergeCell ref="X8:Y8"/>
    <mergeCell ref="Q8:R8"/>
    <mergeCell ref="S8:T8"/>
    <mergeCell ref="F10:F13"/>
    <mergeCell ref="G10:G13"/>
    <mergeCell ref="H10:H13"/>
    <mergeCell ref="I10:I13"/>
    <mergeCell ref="J10:J12"/>
    <mergeCell ref="P10:P12"/>
    <mergeCell ref="O10:O12"/>
    <mergeCell ref="N10:N12"/>
    <mergeCell ref="L10:L12"/>
    <mergeCell ref="K10:K12"/>
    <mergeCell ref="W33:W35"/>
    <mergeCell ref="S10:S12"/>
    <mergeCell ref="T10:T12"/>
    <mergeCell ref="Q10:Q12"/>
    <mergeCell ref="R10:R12"/>
    <mergeCell ref="F25:G25"/>
    <mergeCell ref="T61:T63"/>
    <mergeCell ref="J24:N24"/>
    <mergeCell ref="R33:V33"/>
    <mergeCell ref="O61:S61"/>
    <mergeCell ref="J61:N61"/>
  </mergeCells>
  <pageMargins left="0.70866141732283472" right="0.70866141732283472" top="0.74803149606299213" bottom="0.74803149606299213" header="0.31496062992125984" footer="0.31496062992125984"/>
  <pageSetup paperSize="9" scale="31"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M79"/>
  <sheetViews>
    <sheetView showGridLines="0" view="pageBreakPreview" zoomScale="75" zoomScaleNormal="75" zoomScaleSheetLayoutView="75" workbookViewId="0">
      <pane xSplit="3" ySplit="10" topLeftCell="D53" activePane="bottomRight" state="frozen"/>
      <selection activeCell="B28" sqref="B28"/>
      <selection pane="topRight" activeCell="B28" sqref="B28"/>
      <selection pane="bottomLeft" activeCell="B28" sqref="B28"/>
      <selection pane="bottomRight" activeCell="D78" sqref="D78"/>
    </sheetView>
  </sheetViews>
  <sheetFormatPr defaultColWidth="9.36328125" defaultRowHeight="14"/>
  <cols>
    <col min="1" max="1" width="6.6328125" style="14" customWidth="1"/>
    <col min="2" max="2" width="7" style="14" customWidth="1"/>
    <col min="3" max="3" width="47.81640625" style="14" bestFit="1" customWidth="1"/>
    <col min="4" max="4" width="22.90625" style="14" customWidth="1"/>
    <col min="5" max="5" width="16.6328125" style="14" customWidth="1"/>
    <col min="6" max="7" width="14.453125" style="14" customWidth="1"/>
    <col min="8" max="13" width="18" style="14" customWidth="1"/>
    <col min="14" max="14" width="13.6328125" style="14" customWidth="1"/>
    <col min="15" max="15" width="13.54296875" style="14" customWidth="1"/>
    <col min="16" max="16384" width="9.36328125" style="14"/>
  </cols>
  <sheetData>
    <row r="2" spans="2:13">
      <c r="B2" s="1682" t="str">
        <f>Index!B2</f>
        <v xml:space="preserve">      Maharashtra State Power Generation Company Ltd.</v>
      </c>
      <c r="C2" s="1738"/>
      <c r="D2" s="1738"/>
      <c r="E2" s="1738"/>
      <c r="F2" s="1738"/>
      <c r="G2" s="1738"/>
      <c r="H2" s="1738"/>
      <c r="I2" s="698"/>
      <c r="J2" s="698"/>
      <c r="K2" s="698"/>
      <c r="L2" s="698"/>
      <c r="M2" s="698"/>
    </row>
    <row r="3" spans="2:13" s="5" customFormat="1">
      <c r="B3" s="1682" t="str">
        <f>Index!B3</f>
        <v>MYT Petition Formats for Bhusawal Units 4&amp;5</v>
      </c>
      <c r="C3" s="1738"/>
      <c r="D3" s="1738"/>
      <c r="E3" s="1738"/>
      <c r="F3" s="1738"/>
      <c r="G3" s="1738"/>
      <c r="H3" s="1738"/>
      <c r="I3" s="698"/>
      <c r="J3" s="698"/>
      <c r="K3" s="698"/>
      <c r="L3" s="698"/>
      <c r="M3" s="698"/>
    </row>
    <row r="4" spans="2:13" s="5" customFormat="1">
      <c r="B4" s="1683" t="s">
        <v>187</v>
      </c>
      <c r="C4" s="1738"/>
      <c r="D4" s="1738"/>
      <c r="E4" s="1738"/>
      <c r="F4" s="1738"/>
      <c r="G4" s="1738"/>
      <c r="H4" s="1738"/>
      <c r="I4" s="698"/>
      <c r="J4" s="698"/>
      <c r="K4" s="698"/>
      <c r="L4" s="698"/>
      <c r="M4" s="698"/>
    </row>
    <row r="5" spans="2:13" s="5" customFormat="1">
      <c r="C5" s="19"/>
      <c r="D5" s="19"/>
      <c r="E5" s="19"/>
      <c r="F5" s="18"/>
      <c r="G5" s="18"/>
      <c r="H5" s="18"/>
      <c r="I5" s="18"/>
      <c r="J5" s="18"/>
      <c r="K5" s="18"/>
      <c r="L5" s="18"/>
      <c r="M5" s="18"/>
    </row>
    <row r="6" spans="2:13">
      <c r="B6" s="22" t="s">
        <v>188</v>
      </c>
    </row>
    <row r="7" spans="2:13">
      <c r="H7" s="21" t="s">
        <v>10</v>
      </c>
      <c r="I7" s="21"/>
      <c r="J7" s="21"/>
      <c r="K7" s="21"/>
      <c r="L7" s="21"/>
    </row>
    <row r="8" spans="2:13" ht="12.75" customHeight="1">
      <c r="B8" s="1687" t="s">
        <v>6</v>
      </c>
      <c r="C8" s="1687" t="s">
        <v>37</v>
      </c>
      <c r="D8" s="135" t="s">
        <v>509</v>
      </c>
      <c r="E8" s="289" t="s">
        <v>510</v>
      </c>
      <c r="F8" s="1676" t="s">
        <v>511</v>
      </c>
      <c r="G8" s="1676"/>
      <c r="H8" s="1676"/>
      <c r="I8" s="57"/>
      <c r="J8" s="1817"/>
    </row>
    <row r="9" spans="2:13" ht="28">
      <c r="B9" s="1687"/>
      <c r="C9" s="1687"/>
      <c r="D9" s="135" t="s">
        <v>79</v>
      </c>
      <c r="E9" s="289" t="s">
        <v>79</v>
      </c>
      <c r="F9" s="189" t="s">
        <v>446</v>
      </c>
      <c r="G9" s="208" t="s">
        <v>449</v>
      </c>
      <c r="H9" s="135" t="s">
        <v>80</v>
      </c>
      <c r="I9" s="12"/>
      <c r="J9" s="1817"/>
    </row>
    <row r="10" spans="2:13">
      <c r="B10" s="1818"/>
      <c r="C10" s="1687"/>
      <c r="D10" s="135" t="s">
        <v>81</v>
      </c>
      <c r="E10" s="289" t="s">
        <v>82</v>
      </c>
      <c r="F10" s="135" t="s">
        <v>392</v>
      </c>
      <c r="G10" s="135" t="s">
        <v>393</v>
      </c>
      <c r="H10" s="135" t="s">
        <v>394</v>
      </c>
      <c r="I10" s="12"/>
      <c r="J10" s="1817"/>
    </row>
    <row r="11" spans="2:13">
      <c r="B11" s="99">
        <v>1</v>
      </c>
      <c r="C11" s="9" t="s">
        <v>189</v>
      </c>
      <c r="D11" s="345">
        <v>54.317553989245091</v>
      </c>
      <c r="E11" s="345">
        <v>49.374834934903731</v>
      </c>
      <c r="F11" s="345">
        <v>25.051597708438834</v>
      </c>
      <c r="G11" s="345">
        <v>26.08678769639085</v>
      </c>
      <c r="H11" s="305">
        <f t="shared" ref="H11:H35" si="0">F11+G11</f>
        <v>51.138385404829684</v>
      </c>
      <c r="I11" s="64"/>
      <c r="J11" s="64"/>
    </row>
    <row r="12" spans="2:13">
      <c r="B12" s="99">
        <v>2</v>
      </c>
      <c r="C12" s="9" t="s">
        <v>190</v>
      </c>
      <c r="D12" s="345">
        <v>17.764751691002093</v>
      </c>
      <c r="E12" s="345">
        <v>16.371003056716429</v>
      </c>
      <c r="F12" s="345">
        <v>9.7834808620024614</v>
      </c>
      <c r="G12" s="345">
        <v>10.187756930680251</v>
      </c>
      <c r="H12" s="305">
        <f t="shared" si="0"/>
        <v>19.971237792682714</v>
      </c>
      <c r="I12" s="64"/>
      <c r="J12" s="64"/>
    </row>
    <row r="13" spans="2:13">
      <c r="B13" s="99">
        <v>3</v>
      </c>
      <c r="C13" s="24" t="s">
        <v>794</v>
      </c>
      <c r="D13" s="305">
        <v>6.26204416622687</v>
      </c>
      <c r="E13" s="305">
        <v>5.138427467961769</v>
      </c>
      <c r="F13" s="305">
        <v>2.1879075164051422</v>
      </c>
      <c r="G13" s="305">
        <v>2.2775825774136189</v>
      </c>
      <c r="H13" s="305">
        <f t="shared" si="0"/>
        <v>4.4654900938187616</v>
      </c>
      <c r="I13" s="64"/>
      <c r="J13" s="64"/>
    </row>
    <row r="14" spans="2:13">
      <c r="B14" s="99">
        <v>4</v>
      </c>
      <c r="C14" s="9" t="s">
        <v>191</v>
      </c>
      <c r="D14" s="345"/>
      <c r="E14" s="345"/>
      <c r="F14" s="345"/>
      <c r="G14" s="345"/>
      <c r="H14" s="305">
        <f t="shared" si="0"/>
        <v>0</v>
      </c>
      <c r="I14" s="64"/>
      <c r="J14" s="64"/>
    </row>
    <row r="15" spans="2:13">
      <c r="B15" s="99">
        <v>5</v>
      </c>
      <c r="C15" s="9" t="s">
        <v>192</v>
      </c>
      <c r="D15" s="345"/>
      <c r="E15" s="345"/>
      <c r="F15" s="345"/>
      <c r="G15" s="345"/>
      <c r="H15" s="305">
        <f t="shared" si="0"/>
        <v>0</v>
      </c>
      <c r="I15" s="64"/>
      <c r="J15" s="64"/>
    </row>
    <row r="16" spans="2:13">
      <c r="B16" s="99">
        <v>6</v>
      </c>
      <c r="C16" s="24" t="s">
        <v>193</v>
      </c>
      <c r="D16" s="305">
        <v>8.720369523776883</v>
      </c>
      <c r="E16" s="305">
        <v>19.193128419847152</v>
      </c>
      <c r="F16" s="305">
        <v>2.9163839108934049</v>
      </c>
      <c r="G16" s="305">
        <v>3.0368956427485045</v>
      </c>
      <c r="H16" s="305">
        <f t="shared" si="0"/>
        <v>5.9532795536419094</v>
      </c>
      <c r="I16" s="64"/>
      <c r="J16" s="64"/>
    </row>
    <row r="17" spans="2:10">
      <c r="B17" s="99">
        <v>7</v>
      </c>
      <c r="C17" s="9" t="s">
        <v>194</v>
      </c>
      <c r="D17" s="345"/>
      <c r="E17" s="345"/>
      <c r="F17" s="345"/>
      <c r="G17" s="345"/>
      <c r="H17" s="305">
        <f t="shared" si="0"/>
        <v>0</v>
      </c>
      <c r="I17" s="64"/>
      <c r="J17" s="64"/>
    </row>
    <row r="18" spans="2:10">
      <c r="B18" s="99">
        <v>8</v>
      </c>
      <c r="C18" s="9" t="s">
        <v>195</v>
      </c>
      <c r="D18" s="345"/>
      <c r="E18" s="345"/>
      <c r="F18" s="345"/>
      <c r="G18" s="345"/>
      <c r="H18" s="305">
        <f t="shared" si="0"/>
        <v>0</v>
      </c>
      <c r="I18" s="64"/>
      <c r="J18" s="64"/>
    </row>
    <row r="19" spans="2:10">
      <c r="B19" s="99">
        <v>9</v>
      </c>
      <c r="C19" s="9" t="s">
        <v>196</v>
      </c>
      <c r="D19" s="345"/>
      <c r="E19" s="345"/>
      <c r="F19" s="345"/>
      <c r="G19" s="345"/>
      <c r="H19" s="305">
        <f t="shared" si="0"/>
        <v>0</v>
      </c>
      <c r="I19" s="64"/>
      <c r="J19" s="64"/>
    </row>
    <row r="20" spans="2:10">
      <c r="B20" s="99">
        <v>10</v>
      </c>
      <c r="C20" s="9" t="s">
        <v>197</v>
      </c>
      <c r="D20" s="345"/>
      <c r="E20" s="345"/>
      <c r="F20" s="345"/>
      <c r="G20" s="345"/>
      <c r="H20" s="305">
        <f t="shared" si="0"/>
        <v>0</v>
      </c>
      <c r="I20" s="64"/>
      <c r="J20" s="64"/>
    </row>
    <row r="21" spans="2:10">
      <c r="B21" s="99">
        <v>11</v>
      </c>
      <c r="C21" s="9" t="s">
        <v>198</v>
      </c>
      <c r="D21" s="345"/>
      <c r="E21" s="345"/>
      <c r="F21" s="345"/>
      <c r="G21" s="345"/>
      <c r="H21" s="305">
        <f t="shared" si="0"/>
        <v>0</v>
      </c>
      <c r="I21" s="64"/>
      <c r="J21" s="64"/>
    </row>
    <row r="22" spans="2:10">
      <c r="B22" s="99">
        <v>12</v>
      </c>
      <c r="C22" s="9" t="s">
        <v>199</v>
      </c>
      <c r="D22" s="345">
        <v>2.4931431372688673</v>
      </c>
      <c r="E22" s="345">
        <v>2.5767527771613312</v>
      </c>
      <c r="F22" s="345">
        <v>1.0573890803911943</v>
      </c>
      <c r="G22" s="345">
        <v>1.1010828440437228</v>
      </c>
      <c r="H22" s="305">
        <f t="shared" si="0"/>
        <v>2.1584719244349171</v>
      </c>
      <c r="I22" s="64"/>
      <c r="J22" s="64"/>
    </row>
    <row r="23" spans="2:10">
      <c r="B23" s="99">
        <v>13</v>
      </c>
      <c r="C23" s="9" t="s">
        <v>200</v>
      </c>
      <c r="D23" s="345"/>
      <c r="E23" s="345"/>
      <c r="F23" s="345"/>
      <c r="G23" s="345"/>
      <c r="H23" s="305">
        <f t="shared" si="0"/>
        <v>0</v>
      </c>
      <c r="I23" s="64"/>
      <c r="J23" s="64"/>
    </row>
    <row r="24" spans="2:10">
      <c r="B24" s="99">
        <v>14</v>
      </c>
      <c r="C24" s="9" t="s">
        <v>201</v>
      </c>
      <c r="D24" s="345"/>
      <c r="E24" s="345"/>
      <c r="F24" s="345"/>
      <c r="G24" s="345"/>
      <c r="H24" s="305">
        <f t="shared" si="0"/>
        <v>0</v>
      </c>
      <c r="I24" s="64"/>
      <c r="J24" s="64"/>
    </row>
    <row r="25" spans="2:10">
      <c r="B25" s="99">
        <v>15</v>
      </c>
      <c r="C25" s="9" t="s">
        <v>202</v>
      </c>
      <c r="D25" s="345"/>
      <c r="E25" s="345"/>
      <c r="F25" s="345"/>
      <c r="G25" s="345"/>
      <c r="H25" s="305">
        <f t="shared" si="0"/>
        <v>0</v>
      </c>
      <c r="I25" s="64"/>
      <c r="J25" s="64"/>
    </row>
    <row r="26" spans="2:10">
      <c r="B26" s="99">
        <v>16</v>
      </c>
      <c r="C26" s="9" t="s">
        <v>203</v>
      </c>
      <c r="D26" s="345"/>
      <c r="E26" s="345"/>
      <c r="F26" s="345"/>
      <c r="G26" s="345"/>
      <c r="H26" s="305">
        <f t="shared" si="0"/>
        <v>0</v>
      </c>
      <c r="I26" s="64"/>
      <c r="J26" s="64"/>
    </row>
    <row r="27" spans="2:10">
      <c r="B27" s="99">
        <v>17</v>
      </c>
      <c r="C27" s="9" t="s">
        <v>204</v>
      </c>
      <c r="D27" s="345"/>
      <c r="E27" s="345"/>
      <c r="F27" s="345"/>
      <c r="G27" s="345"/>
      <c r="H27" s="305">
        <f t="shared" si="0"/>
        <v>0</v>
      </c>
      <c r="I27" s="64"/>
      <c r="J27" s="64"/>
    </row>
    <row r="28" spans="2:10">
      <c r="B28" s="99">
        <v>18</v>
      </c>
      <c r="C28" s="9" t="s">
        <v>205</v>
      </c>
      <c r="D28" s="345"/>
      <c r="E28" s="345"/>
      <c r="F28" s="345"/>
      <c r="G28" s="345"/>
      <c r="H28" s="305">
        <f t="shared" si="0"/>
        <v>0</v>
      </c>
      <c r="I28" s="64"/>
      <c r="J28" s="64"/>
    </row>
    <row r="29" spans="2:10">
      <c r="B29" s="99">
        <f>+B28+0.1</f>
        <v>18.100000000000001</v>
      </c>
      <c r="C29" s="9" t="s">
        <v>206</v>
      </c>
      <c r="D29" s="442">
        <v>7.2574316651144626</v>
      </c>
      <c r="E29" s="442">
        <v>6.2519917337820363</v>
      </c>
      <c r="F29" s="442">
        <v>3.4276763252989197</v>
      </c>
      <c r="G29" s="442">
        <v>3.5693158428732561</v>
      </c>
      <c r="H29" s="318">
        <f t="shared" si="0"/>
        <v>6.9969921681721754</v>
      </c>
      <c r="I29" s="64"/>
      <c r="J29" s="64"/>
    </row>
    <row r="30" spans="2:10">
      <c r="B30" s="99">
        <f>+B29+0.1</f>
        <v>18.200000000000003</v>
      </c>
      <c r="C30" s="9" t="s">
        <v>207</v>
      </c>
      <c r="D30" s="442"/>
      <c r="E30" s="442"/>
      <c r="F30" s="442"/>
      <c r="G30" s="442"/>
      <c r="H30" s="318">
        <f t="shared" si="0"/>
        <v>0</v>
      </c>
      <c r="I30" s="64"/>
      <c r="J30" s="64"/>
    </row>
    <row r="31" spans="2:10">
      <c r="B31" s="99">
        <f>+B30+0.1</f>
        <v>18.300000000000004</v>
      </c>
      <c r="C31" s="9" t="s">
        <v>208</v>
      </c>
      <c r="D31" s="442"/>
      <c r="E31" s="442"/>
      <c r="F31" s="442"/>
      <c r="G31" s="442"/>
      <c r="H31" s="318">
        <f t="shared" si="0"/>
        <v>0</v>
      </c>
      <c r="I31" s="64"/>
      <c r="J31" s="64"/>
    </row>
    <row r="32" spans="2:10">
      <c r="B32" s="99">
        <f>+B31+0.1</f>
        <v>18.400000000000006</v>
      </c>
      <c r="C32" s="9" t="s">
        <v>209</v>
      </c>
      <c r="D32" s="442">
        <v>6.4045230847842367</v>
      </c>
      <c r="E32" s="442">
        <v>15.334702461344484</v>
      </c>
      <c r="F32" s="442">
        <v>0</v>
      </c>
      <c r="G32" s="442">
        <v>0</v>
      </c>
      <c r="H32" s="318">
        <f t="shared" si="0"/>
        <v>0</v>
      </c>
      <c r="I32" s="64"/>
      <c r="J32" s="64"/>
    </row>
    <row r="33" spans="2:13">
      <c r="B33" s="99">
        <v>19</v>
      </c>
      <c r="C33" s="9" t="s">
        <v>210</v>
      </c>
      <c r="D33" s="442">
        <v>6.3966419120087714E-2</v>
      </c>
      <c r="E33" s="442">
        <v>0</v>
      </c>
      <c r="F33" s="442">
        <v>0</v>
      </c>
      <c r="G33" s="442">
        <v>0</v>
      </c>
      <c r="H33" s="318">
        <f t="shared" si="0"/>
        <v>0</v>
      </c>
      <c r="I33" s="64"/>
      <c r="J33" s="64"/>
    </row>
    <row r="34" spans="2:13" s="314" customFormat="1">
      <c r="B34" s="241">
        <v>20</v>
      </c>
      <c r="C34" s="3" t="s">
        <v>770</v>
      </c>
      <c r="D34" s="442">
        <v>2.3838798269059431</v>
      </c>
      <c r="E34" s="442">
        <v>2.5576089677076852</v>
      </c>
      <c r="F34" s="442">
        <v>0.71370276196736571</v>
      </c>
      <c r="G34" s="442">
        <v>0.74319461163543865</v>
      </c>
      <c r="H34" s="318">
        <f t="shared" si="0"/>
        <v>1.4568973736028044</v>
      </c>
      <c r="I34" s="64"/>
      <c r="J34" s="64"/>
    </row>
    <row r="35" spans="2:13" s="314" customFormat="1">
      <c r="B35" s="241">
        <v>21</v>
      </c>
      <c r="C35" s="3" t="s">
        <v>772</v>
      </c>
      <c r="D35" s="442">
        <v>5.6086164353008447</v>
      </c>
      <c r="E35" s="442">
        <v>10.232566108967367</v>
      </c>
      <c r="F35" s="442">
        <v>0</v>
      </c>
      <c r="G35" s="442">
        <v>0</v>
      </c>
      <c r="H35" s="318">
        <f t="shared" si="0"/>
        <v>0</v>
      </c>
      <c r="I35" s="64"/>
      <c r="J35" s="64"/>
    </row>
    <row r="36" spans="2:13" s="314" customFormat="1">
      <c r="B36" s="313">
        <f>B35+1</f>
        <v>22</v>
      </c>
      <c r="C36" s="4" t="s">
        <v>211</v>
      </c>
      <c r="D36" s="443">
        <f>SUM(D11:D35)</f>
        <v>111.27627993874539</v>
      </c>
      <c r="E36" s="443">
        <f t="shared" ref="E36:H36" si="1">SUM(E11:E35)</f>
        <v>127.03101592839198</v>
      </c>
      <c r="F36" s="443">
        <f t="shared" si="1"/>
        <v>45.138138165397329</v>
      </c>
      <c r="G36" s="443">
        <f t="shared" si="1"/>
        <v>47.002616145785645</v>
      </c>
      <c r="H36" s="443">
        <f t="shared" si="1"/>
        <v>92.14075431118296</v>
      </c>
      <c r="I36" s="64"/>
      <c r="J36" s="64"/>
    </row>
    <row r="37" spans="2:13" s="314" customFormat="1">
      <c r="B37" s="313">
        <f>B36+1</f>
        <v>23</v>
      </c>
      <c r="C37" s="3" t="s">
        <v>35</v>
      </c>
      <c r="D37" s="442"/>
      <c r="E37" s="442"/>
      <c r="F37" s="318"/>
      <c r="G37" s="318"/>
      <c r="H37" s="318">
        <f>F37+G37</f>
        <v>0</v>
      </c>
      <c r="I37" s="64"/>
      <c r="J37" s="64"/>
    </row>
    <row r="38" spans="2:13" s="314" customFormat="1">
      <c r="B38" s="313">
        <f>B37+1</f>
        <v>24</v>
      </c>
      <c r="C38" s="523" t="s">
        <v>212</v>
      </c>
      <c r="D38" s="360">
        <f t="shared" ref="D38:G38" si="2">D36-D37</f>
        <v>111.27627993874539</v>
      </c>
      <c r="E38" s="360">
        <f t="shared" si="2"/>
        <v>127.03101592839198</v>
      </c>
      <c r="F38" s="360">
        <f t="shared" si="2"/>
        <v>45.138138165397329</v>
      </c>
      <c r="G38" s="360">
        <f t="shared" si="2"/>
        <v>47.002616145785645</v>
      </c>
      <c r="H38" s="360">
        <f>H36-H37</f>
        <v>92.14075431118296</v>
      </c>
      <c r="I38" s="64"/>
      <c r="J38" s="64"/>
    </row>
    <row r="39" spans="2:13" s="314" customFormat="1">
      <c r="B39" s="622">
        <f>B38+1</f>
        <v>25</v>
      </c>
      <c r="C39" s="314" t="s">
        <v>933</v>
      </c>
      <c r="D39" s="318">
        <f>SUM('F13'!P17:P19)</f>
        <v>0</v>
      </c>
      <c r="E39" s="318">
        <f>SUM('F13'!P46:P47)</f>
        <v>0</v>
      </c>
      <c r="F39" s="318"/>
      <c r="G39" s="318"/>
      <c r="H39" s="318"/>
    </row>
    <row r="40" spans="2:13" s="314" customFormat="1">
      <c r="B40" s="313">
        <f>B39+1</f>
        <v>26</v>
      </c>
      <c r="C40" s="244" t="s">
        <v>894</v>
      </c>
      <c r="D40" s="497">
        <f>SUM(D38:D39)</f>
        <v>111.27627993874539</v>
      </c>
      <c r="E40" s="497">
        <f t="shared" ref="E40:G40" si="3">SUM(E38:E39)</f>
        <v>127.03101592839198</v>
      </c>
      <c r="F40" s="497">
        <f t="shared" si="3"/>
        <v>45.138138165397329</v>
      </c>
      <c r="G40" s="497">
        <f t="shared" si="3"/>
        <v>47.002616145785645</v>
      </c>
      <c r="H40" s="497">
        <f>SUM(H38:H39)</f>
        <v>92.14075431118296</v>
      </c>
    </row>
    <row r="41" spans="2:13" s="314" customFormat="1">
      <c r="B41" s="585"/>
      <c r="D41" s="586"/>
      <c r="E41" s="586"/>
      <c r="H41" s="586"/>
      <c r="I41" s="586"/>
      <c r="J41" s="586"/>
      <c r="K41" s="586"/>
      <c r="L41" s="586"/>
      <c r="M41" s="586"/>
    </row>
    <row r="42" spans="2:13">
      <c r="D42" s="503"/>
      <c r="E42" s="503"/>
    </row>
    <row r="43" spans="2:13">
      <c r="B43" s="22" t="s">
        <v>213</v>
      </c>
    </row>
    <row r="44" spans="2:13">
      <c r="H44" s="22" t="s">
        <v>573</v>
      </c>
      <c r="I44" s="22"/>
      <c r="J44" s="22"/>
      <c r="K44" s="22"/>
      <c r="L44" s="22"/>
      <c r="M44" s="22"/>
    </row>
    <row r="45" spans="2:13" ht="15" customHeight="1">
      <c r="B45" s="1687" t="s">
        <v>341</v>
      </c>
      <c r="C45" s="1687" t="s">
        <v>37</v>
      </c>
      <c r="D45" s="692" t="s">
        <v>509</v>
      </c>
      <c r="E45" s="692" t="s">
        <v>510</v>
      </c>
      <c r="F45" s="1676" t="s">
        <v>511</v>
      </c>
      <c r="G45" s="1676"/>
      <c r="H45" s="1676"/>
    </row>
    <row r="46" spans="2:13" ht="28">
      <c r="B46" s="1687"/>
      <c r="C46" s="1687"/>
      <c r="D46" s="289" t="s">
        <v>79</v>
      </c>
      <c r="E46" s="289" t="s">
        <v>79</v>
      </c>
      <c r="F46" s="289" t="s">
        <v>446</v>
      </c>
      <c r="G46" s="289" t="s">
        <v>449</v>
      </c>
      <c r="H46" s="289" t="s">
        <v>80</v>
      </c>
    </row>
    <row r="47" spans="2:13">
      <c r="B47" s="1687"/>
      <c r="C47" s="1687"/>
      <c r="D47" s="289" t="s">
        <v>81</v>
      </c>
      <c r="E47" s="289" t="s">
        <v>82</v>
      </c>
      <c r="F47" s="289" t="s">
        <v>392</v>
      </c>
      <c r="G47" s="289" t="s">
        <v>393</v>
      </c>
      <c r="H47" s="289" t="s">
        <v>394</v>
      </c>
    </row>
    <row r="48" spans="2:13">
      <c r="B48" s="24"/>
      <c r="C48" s="24"/>
      <c r="D48" s="24"/>
      <c r="E48" s="24"/>
      <c r="F48" s="24"/>
      <c r="G48" s="24"/>
      <c r="H48" s="24"/>
    </row>
    <row r="49" spans="2:8">
      <c r="B49" s="100" t="s">
        <v>172</v>
      </c>
      <c r="C49" s="27" t="s">
        <v>214</v>
      </c>
      <c r="D49" s="324"/>
      <c r="E49" s="324"/>
      <c r="F49" s="305"/>
      <c r="G49" s="305"/>
      <c r="H49" s="305"/>
    </row>
    <row r="50" spans="2:8">
      <c r="B50" s="95">
        <v>1</v>
      </c>
      <c r="C50" s="182" t="s">
        <v>215</v>
      </c>
      <c r="D50" s="862">
        <v>36</v>
      </c>
      <c r="E50" s="862">
        <v>61</v>
      </c>
      <c r="F50" s="1386">
        <f>E50</f>
        <v>61</v>
      </c>
      <c r="G50" s="1386">
        <f>E50</f>
        <v>61</v>
      </c>
      <c r="H50" s="1386">
        <f>E50</f>
        <v>61</v>
      </c>
    </row>
    <row r="51" spans="2:8">
      <c r="B51" s="95">
        <v>2</v>
      </c>
      <c r="C51" s="182" t="s">
        <v>216</v>
      </c>
      <c r="D51" s="862">
        <v>0</v>
      </c>
      <c r="E51" s="862">
        <v>0</v>
      </c>
      <c r="F51" s="1386">
        <f t="shared" ref="F51:F78" si="4">E51</f>
        <v>0</v>
      </c>
      <c r="G51" s="1386">
        <f t="shared" ref="G51:G78" si="5">E51</f>
        <v>0</v>
      </c>
      <c r="H51" s="1386">
        <f t="shared" ref="H51:H78" si="6">E51</f>
        <v>0</v>
      </c>
    </row>
    <row r="52" spans="2:8">
      <c r="B52" s="95">
        <v>3</v>
      </c>
      <c r="C52" s="182" t="s">
        <v>217</v>
      </c>
      <c r="D52" s="862">
        <v>0</v>
      </c>
      <c r="E52" s="862">
        <v>0</v>
      </c>
      <c r="F52" s="1386">
        <f t="shared" si="4"/>
        <v>0</v>
      </c>
      <c r="G52" s="1386">
        <f t="shared" si="5"/>
        <v>0</v>
      </c>
      <c r="H52" s="1386">
        <f t="shared" si="6"/>
        <v>0</v>
      </c>
    </row>
    <row r="53" spans="2:8">
      <c r="B53" s="95">
        <v>4</v>
      </c>
      <c r="C53" s="182" t="s">
        <v>218</v>
      </c>
      <c r="D53" s="862">
        <v>0</v>
      </c>
      <c r="E53" s="862">
        <v>0</v>
      </c>
      <c r="F53" s="1386">
        <f t="shared" si="4"/>
        <v>0</v>
      </c>
      <c r="G53" s="1386">
        <f t="shared" si="5"/>
        <v>0</v>
      </c>
      <c r="H53" s="1386">
        <f t="shared" si="6"/>
        <v>0</v>
      </c>
    </row>
    <row r="54" spans="2:8">
      <c r="B54" s="95"/>
      <c r="C54" s="182"/>
      <c r="D54" s="863"/>
      <c r="E54" s="863"/>
      <c r="F54" s="1386">
        <f t="shared" si="4"/>
        <v>0</v>
      </c>
      <c r="G54" s="1386">
        <f t="shared" si="5"/>
        <v>0</v>
      </c>
      <c r="H54" s="1386">
        <f t="shared" si="6"/>
        <v>0</v>
      </c>
    </row>
    <row r="55" spans="2:8">
      <c r="B55" s="183" t="s">
        <v>185</v>
      </c>
      <c r="C55" s="148" t="s">
        <v>219</v>
      </c>
      <c r="D55" s="864"/>
      <c r="E55" s="864"/>
      <c r="F55" s="1386">
        <f t="shared" si="4"/>
        <v>0</v>
      </c>
      <c r="G55" s="1386">
        <f t="shared" si="5"/>
        <v>0</v>
      </c>
      <c r="H55" s="1386">
        <f t="shared" si="6"/>
        <v>0</v>
      </c>
    </row>
    <row r="56" spans="2:8">
      <c r="B56" s="95">
        <v>5</v>
      </c>
      <c r="C56" s="148" t="s">
        <v>215</v>
      </c>
      <c r="D56" s="862"/>
      <c r="E56" s="862"/>
      <c r="F56" s="1386">
        <f t="shared" si="4"/>
        <v>0</v>
      </c>
      <c r="G56" s="1386">
        <f t="shared" si="5"/>
        <v>0</v>
      </c>
      <c r="H56" s="1386">
        <f t="shared" si="6"/>
        <v>0</v>
      </c>
    </row>
    <row r="57" spans="2:8">
      <c r="B57" s="95">
        <f>+B56+0.1</f>
        <v>5.0999999999999996</v>
      </c>
      <c r="C57" s="182" t="s">
        <v>220</v>
      </c>
      <c r="D57" s="862">
        <v>36</v>
      </c>
      <c r="E57" s="862">
        <v>61</v>
      </c>
      <c r="F57" s="1386">
        <f t="shared" si="4"/>
        <v>61</v>
      </c>
      <c r="G57" s="1386">
        <f t="shared" si="5"/>
        <v>61</v>
      </c>
      <c r="H57" s="1386">
        <f t="shared" si="6"/>
        <v>61</v>
      </c>
    </row>
    <row r="58" spans="2:8">
      <c r="B58" s="95">
        <f>+B57+0.1</f>
        <v>5.1999999999999993</v>
      </c>
      <c r="C58" s="182" t="s">
        <v>221</v>
      </c>
      <c r="D58" s="862">
        <v>142</v>
      </c>
      <c r="E58" s="862">
        <v>142</v>
      </c>
      <c r="F58" s="1386">
        <f t="shared" si="4"/>
        <v>142</v>
      </c>
      <c r="G58" s="1386">
        <f t="shared" si="5"/>
        <v>142</v>
      </c>
      <c r="H58" s="1386">
        <f t="shared" si="6"/>
        <v>142</v>
      </c>
    </row>
    <row r="59" spans="2:8">
      <c r="B59" s="95">
        <f>+B58+0.1</f>
        <v>5.2999999999999989</v>
      </c>
      <c r="C59" s="182" t="s">
        <v>222</v>
      </c>
      <c r="D59" s="862">
        <v>464</v>
      </c>
      <c r="E59" s="862">
        <v>460</v>
      </c>
      <c r="F59" s="1386">
        <f t="shared" si="4"/>
        <v>460</v>
      </c>
      <c r="G59" s="1386">
        <f t="shared" si="5"/>
        <v>460</v>
      </c>
      <c r="H59" s="1386">
        <f t="shared" si="6"/>
        <v>460</v>
      </c>
    </row>
    <row r="60" spans="2:8">
      <c r="B60" s="95">
        <f>+B59+0.1</f>
        <v>5.3999999999999986</v>
      </c>
      <c r="C60" s="182" t="s">
        <v>223</v>
      </c>
      <c r="D60" s="863">
        <v>0</v>
      </c>
      <c r="E60" s="863">
        <v>0</v>
      </c>
      <c r="F60" s="1386">
        <f t="shared" si="4"/>
        <v>0</v>
      </c>
      <c r="G60" s="1386">
        <f t="shared" si="5"/>
        <v>0</v>
      </c>
      <c r="H60" s="1386">
        <f t="shared" si="6"/>
        <v>0</v>
      </c>
    </row>
    <row r="61" spans="2:8">
      <c r="B61" s="95"/>
      <c r="C61" s="182"/>
      <c r="D61" s="864"/>
      <c r="E61" s="864"/>
      <c r="F61" s="1386">
        <f t="shared" si="4"/>
        <v>0</v>
      </c>
      <c r="G61" s="1386">
        <f t="shared" si="5"/>
        <v>0</v>
      </c>
      <c r="H61" s="1386">
        <f t="shared" si="6"/>
        <v>0</v>
      </c>
    </row>
    <row r="62" spans="2:8">
      <c r="B62" s="95">
        <v>6</v>
      </c>
      <c r="C62" s="148" t="s">
        <v>216</v>
      </c>
      <c r="D62" s="862"/>
      <c r="E62" s="862"/>
      <c r="F62" s="1386">
        <f t="shared" si="4"/>
        <v>0</v>
      </c>
      <c r="G62" s="1386">
        <f t="shared" si="5"/>
        <v>0</v>
      </c>
      <c r="H62" s="1386">
        <f t="shared" si="6"/>
        <v>0</v>
      </c>
    </row>
    <row r="63" spans="2:8">
      <c r="B63" s="95">
        <f>+B62+0.1</f>
        <v>6.1</v>
      </c>
      <c r="C63" s="182" t="s">
        <v>220</v>
      </c>
      <c r="D63" s="862">
        <v>0</v>
      </c>
      <c r="E63" s="862">
        <v>0</v>
      </c>
      <c r="F63" s="1386">
        <f t="shared" si="4"/>
        <v>0</v>
      </c>
      <c r="G63" s="1386">
        <f t="shared" si="5"/>
        <v>0</v>
      </c>
      <c r="H63" s="1386">
        <f t="shared" si="6"/>
        <v>0</v>
      </c>
    </row>
    <row r="64" spans="2:8">
      <c r="B64" s="95">
        <f>+B63+0.1</f>
        <v>6.1999999999999993</v>
      </c>
      <c r="C64" s="182" t="s">
        <v>221</v>
      </c>
      <c r="D64" s="862">
        <v>0</v>
      </c>
      <c r="E64" s="862">
        <v>0</v>
      </c>
      <c r="F64" s="1386">
        <f t="shared" si="4"/>
        <v>0</v>
      </c>
      <c r="G64" s="1386">
        <f t="shared" si="5"/>
        <v>0</v>
      </c>
      <c r="H64" s="1386">
        <f t="shared" si="6"/>
        <v>0</v>
      </c>
    </row>
    <row r="65" spans="2:8">
      <c r="B65" s="95">
        <f>+B64+0.1</f>
        <v>6.2999999999999989</v>
      </c>
      <c r="C65" s="182" t="s">
        <v>222</v>
      </c>
      <c r="D65" s="862">
        <v>0</v>
      </c>
      <c r="E65" s="862">
        <v>0</v>
      </c>
      <c r="F65" s="1386">
        <f t="shared" si="4"/>
        <v>0</v>
      </c>
      <c r="G65" s="1386">
        <f t="shared" si="5"/>
        <v>0</v>
      </c>
      <c r="H65" s="1386">
        <f t="shared" si="6"/>
        <v>0</v>
      </c>
    </row>
    <row r="66" spans="2:8">
      <c r="B66" s="95">
        <f>+B65+0.1</f>
        <v>6.3999999999999986</v>
      </c>
      <c r="C66" s="182" t="s">
        <v>223</v>
      </c>
      <c r="D66" s="862">
        <v>0</v>
      </c>
      <c r="E66" s="862">
        <v>0</v>
      </c>
      <c r="F66" s="1386">
        <f t="shared" si="4"/>
        <v>0</v>
      </c>
      <c r="G66" s="1386">
        <f t="shared" si="5"/>
        <v>0</v>
      </c>
      <c r="H66" s="1386">
        <f t="shared" si="6"/>
        <v>0</v>
      </c>
    </row>
    <row r="67" spans="2:8">
      <c r="B67" s="95"/>
      <c r="C67" s="182"/>
      <c r="D67" s="864"/>
      <c r="E67" s="864"/>
      <c r="F67" s="1386">
        <f t="shared" si="4"/>
        <v>0</v>
      </c>
      <c r="G67" s="1386">
        <f t="shared" si="5"/>
        <v>0</v>
      </c>
      <c r="H67" s="1386">
        <f t="shared" si="6"/>
        <v>0</v>
      </c>
    </row>
    <row r="68" spans="2:8">
      <c r="B68" s="95">
        <v>7</v>
      </c>
      <c r="C68" s="148" t="s">
        <v>217</v>
      </c>
      <c r="D68" s="862"/>
      <c r="E68" s="862"/>
      <c r="F68" s="1386">
        <f t="shared" si="4"/>
        <v>0</v>
      </c>
      <c r="G68" s="1386">
        <f t="shared" si="5"/>
        <v>0</v>
      </c>
      <c r="H68" s="1386">
        <f t="shared" si="6"/>
        <v>0</v>
      </c>
    </row>
    <row r="69" spans="2:8">
      <c r="B69" s="95">
        <f>+B68+0.1</f>
        <v>7.1</v>
      </c>
      <c r="C69" s="182" t="s">
        <v>220</v>
      </c>
      <c r="D69" s="862">
        <v>0</v>
      </c>
      <c r="E69" s="862">
        <v>0</v>
      </c>
      <c r="F69" s="1386">
        <f t="shared" si="4"/>
        <v>0</v>
      </c>
      <c r="G69" s="1386">
        <f t="shared" si="5"/>
        <v>0</v>
      </c>
      <c r="H69" s="1386">
        <f t="shared" si="6"/>
        <v>0</v>
      </c>
    </row>
    <row r="70" spans="2:8">
      <c r="B70" s="95">
        <f>+B69+0.1</f>
        <v>7.1999999999999993</v>
      </c>
      <c r="C70" s="182" t="s">
        <v>221</v>
      </c>
      <c r="D70" s="862">
        <v>0</v>
      </c>
      <c r="E70" s="862">
        <v>0</v>
      </c>
      <c r="F70" s="1386">
        <f t="shared" si="4"/>
        <v>0</v>
      </c>
      <c r="G70" s="1386">
        <f t="shared" si="5"/>
        <v>0</v>
      </c>
      <c r="H70" s="1386">
        <f t="shared" si="6"/>
        <v>0</v>
      </c>
    </row>
    <row r="71" spans="2:8">
      <c r="B71" s="95">
        <f>+B70+0.1</f>
        <v>7.2999999999999989</v>
      </c>
      <c r="C71" s="182" t="s">
        <v>222</v>
      </c>
      <c r="D71" s="862">
        <v>0</v>
      </c>
      <c r="E71" s="862">
        <v>0</v>
      </c>
      <c r="F71" s="1386">
        <f t="shared" si="4"/>
        <v>0</v>
      </c>
      <c r="G71" s="1386">
        <f t="shared" si="5"/>
        <v>0</v>
      </c>
      <c r="H71" s="1386">
        <f t="shared" si="6"/>
        <v>0</v>
      </c>
    </row>
    <row r="72" spans="2:8">
      <c r="B72" s="95">
        <f>+B71+0.1</f>
        <v>7.3999999999999986</v>
      </c>
      <c r="C72" s="182" t="s">
        <v>223</v>
      </c>
      <c r="D72" s="862">
        <v>0</v>
      </c>
      <c r="E72" s="862">
        <v>0</v>
      </c>
      <c r="F72" s="1386">
        <f t="shared" si="4"/>
        <v>0</v>
      </c>
      <c r="G72" s="1386">
        <f t="shared" si="5"/>
        <v>0</v>
      </c>
      <c r="H72" s="1386">
        <f t="shared" si="6"/>
        <v>0</v>
      </c>
    </row>
    <row r="73" spans="2:8">
      <c r="B73" s="95"/>
      <c r="C73" s="182"/>
      <c r="D73" s="863"/>
      <c r="E73" s="863"/>
      <c r="F73" s="1386">
        <f t="shared" si="4"/>
        <v>0</v>
      </c>
      <c r="G73" s="1386">
        <f t="shared" si="5"/>
        <v>0</v>
      </c>
      <c r="H73" s="1386">
        <f t="shared" si="6"/>
        <v>0</v>
      </c>
    </row>
    <row r="74" spans="2:8">
      <c r="B74" s="95">
        <v>8</v>
      </c>
      <c r="C74" s="148" t="s">
        <v>224</v>
      </c>
      <c r="D74" s="864"/>
      <c r="E74" s="864"/>
      <c r="F74" s="1386">
        <f t="shared" si="4"/>
        <v>0</v>
      </c>
      <c r="G74" s="1386">
        <f t="shared" si="5"/>
        <v>0</v>
      </c>
      <c r="H74" s="1386">
        <f t="shared" si="6"/>
        <v>0</v>
      </c>
    </row>
    <row r="75" spans="2:8">
      <c r="B75" s="95">
        <f>+B74+0.1</f>
        <v>8.1</v>
      </c>
      <c r="C75" s="182" t="s">
        <v>220</v>
      </c>
      <c r="D75" s="862">
        <v>15</v>
      </c>
      <c r="E75" s="862">
        <v>23</v>
      </c>
      <c r="F75" s="1386">
        <f t="shared" si="4"/>
        <v>23</v>
      </c>
      <c r="G75" s="1386">
        <f t="shared" si="5"/>
        <v>23</v>
      </c>
      <c r="H75" s="1386">
        <f t="shared" si="6"/>
        <v>23</v>
      </c>
    </row>
    <row r="76" spans="2:8">
      <c r="B76" s="95">
        <f>+B75+0.1</f>
        <v>8.1999999999999993</v>
      </c>
      <c r="C76" s="182" t="s">
        <v>221</v>
      </c>
      <c r="D76" s="862">
        <v>31</v>
      </c>
      <c r="E76" s="862">
        <v>45</v>
      </c>
      <c r="F76" s="1386">
        <f t="shared" si="4"/>
        <v>45</v>
      </c>
      <c r="G76" s="1386">
        <f t="shared" si="5"/>
        <v>45</v>
      </c>
      <c r="H76" s="1386">
        <f t="shared" si="6"/>
        <v>45</v>
      </c>
    </row>
    <row r="77" spans="2:8">
      <c r="B77" s="95">
        <f>+B76+0.1</f>
        <v>8.2999999999999989</v>
      </c>
      <c r="C77" s="182" t="s">
        <v>222</v>
      </c>
      <c r="D77" s="862">
        <v>46</v>
      </c>
      <c r="E77" s="862">
        <v>26</v>
      </c>
      <c r="F77" s="1386">
        <f t="shared" si="4"/>
        <v>26</v>
      </c>
      <c r="G77" s="1386">
        <f t="shared" si="5"/>
        <v>26</v>
      </c>
      <c r="H77" s="1386">
        <f t="shared" si="6"/>
        <v>26</v>
      </c>
    </row>
    <row r="78" spans="2:8">
      <c r="B78" s="95">
        <f>+B77+0.1</f>
        <v>8.3999999999999986</v>
      </c>
      <c r="C78" s="182" t="s">
        <v>223</v>
      </c>
      <c r="D78" s="862">
        <v>27</v>
      </c>
      <c r="E78" s="862">
        <v>27</v>
      </c>
      <c r="F78" s="1386">
        <f t="shared" si="4"/>
        <v>27</v>
      </c>
      <c r="G78" s="1386">
        <f t="shared" si="5"/>
        <v>27</v>
      </c>
      <c r="H78" s="1386">
        <f t="shared" si="6"/>
        <v>27</v>
      </c>
    </row>
    <row r="79" spans="2:8">
      <c r="B79" s="184"/>
      <c r="C79" s="13" t="s">
        <v>225</v>
      </c>
      <c r="D79" s="865">
        <f>SUM(D57:D78)</f>
        <v>761</v>
      </c>
      <c r="E79" s="865">
        <f>SUM(E57:E78)</f>
        <v>784</v>
      </c>
      <c r="F79" s="865">
        <f t="shared" ref="F79:H79" si="7">SUM(F57:F78)</f>
        <v>784</v>
      </c>
      <c r="G79" s="865">
        <f t="shared" si="7"/>
        <v>784</v>
      </c>
      <c r="H79" s="865">
        <f t="shared" si="7"/>
        <v>784</v>
      </c>
    </row>
  </sheetData>
  <mergeCells count="10">
    <mergeCell ref="J8:J10"/>
    <mergeCell ref="B45:B47"/>
    <mergeCell ref="C45:C47"/>
    <mergeCell ref="F45:H45"/>
    <mergeCell ref="B2:H2"/>
    <mergeCell ref="B3:H3"/>
    <mergeCell ref="B4:H4"/>
    <mergeCell ref="B8:B10"/>
    <mergeCell ref="C8:C10"/>
    <mergeCell ref="F8:H8"/>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19" activePane="bottomRight" state="frozen"/>
      <selection activeCell="B28" sqref="B28"/>
      <selection pane="topRight" activeCell="B28" sqref="B28"/>
      <selection pane="bottomLeft" activeCell="B28" sqref="B28"/>
      <selection pane="bottomRight" activeCell="I23" sqref="I23"/>
    </sheetView>
  </sheetViews>
  <sheetFormatPr defaultColWidth="9.36328125" defaultRowHeight="14"/>
  <cols>
    <col min="1" max="1" width="6.6328125" style="14" customWidth="1"/>
    <col min="2" max="2" width="7" style="98" customWidth="1"/>
    <col min="3" max="3" width="44.36328125" style="14" customWidth="1"/>
    <col min="4" max="4" width="25.54296875" style="14" customWidth="1"/>
    <col min="5" max="12" width="15.6328125" style="14" customWidth="1"/>
    <col min="13" max="13" width="14.6328125" style="14" customWidth="1"/>
    <col min="14" max="16384" width="9.36328125" style="14"/>
  </cols>
  <sheetData>
    <row r="2" spans="2:13">
      <c r="B2" s="1682" t="str">
        <f>Index!B2</f>
        <v xml:space="preserve">      Maharashtra State Power Generation Company Ltd.</v>
      </c>
      <c r="C2" s="1738"/>
      <c r="D2" s="1738"/>
      <c r="E2" s="1738"/>
      <c r="F2" s="1738"/>
      <c r="G2" s="1738"/>
      <c r="H2" s="1738"/>
      <c r="I2" s="1738"/>
      <c r="J2" s="1738"/>
      <c r="K2" s="1738"/>
      <c r="L2" s="1738"/>
      <c r="M2" s="1738"/>
    </row>
    <row r="3" spans="2:13" s="5" customFormat="1">
      <c r="B3" s="1682" t="str">
        <f>Index!B3</f>
        <v>MYT Petition Formats for Bhusawal Units 4&amp;5</v>
      </c>
      <c r="C3" s="1738"/>
      <c r="D3" s="1738"/>
      <c r="E3" s="1738"/>
      <c r="F3" s="1738"/>
      <c r="G3" s="1738"/>
      <c r="H3" s="1738"/>
      <c r="I3" s="1738"/>
      <c r="J3" s="1738"/>
      <c r="K3" s="1738"/>
      <c r="L3" s="1738"/>
      <c r="M3" s="1738"/>
    </row>
    <row r="4" spans="2:13" s="5" customFormat="1">
      <c r="B4" s="1683" t="s">
        <v>226</v>
      </c>
      <c r="C4" s="1738"/>
      <c r="D4" s="1738"/>
      <c r="E4" s="1738"/>
      <c r="F4" s="1738"/>
      <c r="G4" s="1738"/>
      <c r="H4" s="1738"/>
      <c r="I4" s="1738"/>
      <c r="J4" s="1738"/>
      <c r="K4" s="1738"/>
      <c r="L4" s="1738"/>
      <c r="M4" s="1738"/>
    </row>
    <row r="6" spans="2:13">
      <c r="H6" s="21" t="s">
        <v>10</v>
      </c>
    </row>
    <row r="7" spans="2:13" ht="12.75" customHeight="1">
      <c r="B7" s="1676" t="s">
        <v>341</v>
      </c>
      <c r="C7" s="1687" t="s">
        <v>37</v>
      </c>
      <c r="D7" s="289" t="s">
        <v>509</v>
      </c>
      <c r="E7" s="289" t="s">
        <v>510</v>
      </c>
      <c r="F7" s="1676" t="s">
        <v>511</v>
      </c>
      <c r="G7" s="1676"/>
      <c r="H7" s="1676"/>
    </row>
    <row r="8" spans="2:13" ht="28">
      <c r="B8" s="1676"/>
      <c r="C8" s="1687"/>
      <c r="D8" s="448" t="s">
        <v>954</v>
      </c>
      <c r="E8" s="289" t="s">
        <v>79</v>
      </c>
      <c r="F8" s="289" t="s">
        <v>446</v>
      </c>
      <c r="G8" s="289" t="s">
        <v>449</v>
      </c>
      <c r="H8" s="289" t="s">
        <v>80</v>
      </c>
    </row>
    <row r="9" spans="2:13">
      <c r="B9" s="1676"/>
      <c r="C9" s="1687"/>
      <c r="D9" s="289" t="s">
        <v>81</v>
      </c>
      <c r="E9" s="289" t="s">
        <v>82</v>
      </c>
      <c r="F9" s="289" t="s">
        <v>392</v>
      </c>
      <c r="G9" s="289" t="s">
        <v>393</v>
      </c>
      <c r="H9" s="289" t="s">
        <v>394</v>
      </c>
    </row>
    <row r="10" spans="2:13">
      <c r="B10" s="99"/>
      <c r="C10" s="24"/>
      <c r="D10" s="24"/>
      <c r="E10" s="24"/>
      <c r="F10" s="24"/>
      <c r="G10" s="24"/>
      <c r="H10" s="24"/>
    </row>
    <row r="11" spans="2:13">
      <c r="B11" s="99">
        <v>1</v>
      </c>
      <c r="C11" s="24" t="s">
        <v>797</v>
      </c>
      <c r="D11" s="305">
        <v>0.83226446280991695</v>
      </c>
      <c r="E11" s="305">
        <v>4.461351625396774</v>
      </c>
      <c r="F11" s="305">
        <v>0.123900826446281</v>
      </c>
      <c r="G11" s="305">
        <v>0.74340495867768608</v>
      </c>
      <c r="H11" s="305">
        <f>F11+G11</f>
        <v>0.86730578512396705</v>
      </c>
    </row>
    <row r="12" spans="2:13">
      <c r="B12" s="99">
        <f>B11+1</f>
        <v>2</v>
      </c>
      <c r="C12" s="28" t="s">
        <v>227</v>
      </c>
      <c r="D12" s="305">
        <v>1.687905041322314</v>
      </c>
      <c r="E12" s="305">
        <v>7.3769022768595036</v>
      </c>
      <c r="F12" s="305">
        <v>0.17709563164108619</v>
      </c>
      <c r="G12" s="305">
        <v>1.0625737898465171</v>
      </c>
      <c r="H12" s="305">
        <f>F12+G12</f>
        <v>1.2396694214876032</v>
      </c>
    </row>
    <row r="13" spans="2:13">
      <c r="B13" s="99">
        <f t="shared" ref="B13:B46" si="0">B12+1</f>
        <v>3</v>
      </c>
      <c r="C13" s="26" t="s">
        <v>228</v>
      </c>
      <c r="D13" s="305">
        <v>2.7461999173553719</v>
      </c>
      <c r="E13" s="305">
        <v>2.7461997520661159</v>
      </c>
      <c r="F13" s="305">
        <v>3.7246567391915448</v>
      </c>
      <c r="G13" s="305">
        <v>7.8118906830831527</v>
      </c>
      <c r="H13" s="305">
        <f>F13+G13</f>
        <v>11.536547422274698</v>
      </c>
    </row>
    <row r="14" spans="2:13">
      <c r="B14" s="99">
        <f t="shared" si="0"/>
        <v>4</v>
      </c>
      <c r="C14" s="26" t="s">
        <v>229</v>
      </c>
      <c r="D14" s="305">
        <v>0.15714189173553719</v>
      </c>
      <c r="E14" s="305">
        <v>0.128114747107438</v>
      </c>
      <c r="F14" s="305">
        <v>2.1766112475403387E-2</v>
      </c>
      <c r="G14" s="305">
        <v>4.5651050059031889E-2</v>
      </c>
      <c r="H14" s="305">
        <f t="shared" ref="H14:H43" si="1">F14+G14</f>
        <v>6.7417162534435277E-2</v>
      </c>
    </row>
    <row r="15" spans="2:13" s="314" customFormat="1">
      <c r="B15" s="241">
        <f t="shared" si="0"/>
        <v>5</v>
      </c>
      <c r="C15" s="59" t="s">
        <v>230</v>
      </c>
      <c r="D15" s="318">
        <v>1.5454545454545455E-2</v>
      </c>
      <c r="E15" s="318">
        <v>8.0082644628099178E-2</v>
      </c>
      <c r="F15" s="318">
        <v>2.4141226738629333E-2</v>
      </c>
      <c r="G15" s="318">
        <v>5.0632484398718175E-2</v>
      </c>
      <c r="H15" s="318">
        <f t="shared" si="1"/>
        <v>7.4773711137347515E-2</v>
      </c>
    </row>
    <row r="16" spans="2:13" s="314" customFormat="1">
      <c r="B16" s="241">
        <f t="shared" si="0"/>
        <v>6</v>
      </c>
      <c r="C16" s="59" t="s">
        <v>231</v>
      </c>
      <c r="D16" s="318">
        <v>1.2004104859504132</v>
      </c>
      <c r="E16" s="318">
        <v>1.6464273330578512</v>
      </c>
      <c r="F16" s="318">
        <v>0.65380469183111267</v>
      </c>
      <c r="G16" s="318">
        <v>1.3712540881767585</v>
      </c>
      <c r="H16" s="318">
        <f t="shared" si="1"/>
        <v>2.0250587800078712</v>
      </c>
    </row>
    <row r="17" spans="2:8">
      <c r="B17" s="99">
        <f t="shared" si="0"/>
        <v>7</v>
      </c>
      <c r="C17" s="26" t="s">
        <v>232</v>
      </c>
      <c r="D17" s="305">
        <v>3.663835061157025</v>
      </c>
      <c r="E17" s="305">
        <v>5.0720302074380168</v>
      </c>
      <c r="F17" s="305">
        <v>1.3185051108674875</v>
      </c>
      <c r="G17" s="305">
        <v>2.7653602767751728</v>
      </c>
      <c r="H17" s="305">
        <f t="shared" si="1"/>
        <v>4.0838653876426605</v>
      </c>
    </row>
    <row r="18" spans="2:8">
      <c r="B18" s="99">
        <f t="shared" si="0"/>
        <v>8</v>
      </c>
      <c r="C18" s="26" t="s">
        <v>233</v>
      </c>
      <c r="D18" s="318"/>
      <c r="E18" s="318"/>
      <c r="F18" s="318"/>
      <c r="G18" s="318"/>
      <c r="H18" s="305">
        <f t="shared" si="1"/>
        <v>0</v>
      </c>
    </row>
    <row r="19" spans="2:8">
      <c r="B19" s="99">
        <f t="shared" si="0"/>
        <v>9</v>
      </c>
      <c r="C19" s="185" t="s">
        <v>234</v>
      </c>
      <c r="D19" s="318"/>
      <c r="E19" s="318"/>
      <c r="F19" s="318"/>
      <c r="G19" s="318"/>
      <c r="H19" s="305">
        <f t="shared" si="1"/>
        <v>0</v>
      </c>
    </row>
    <row r="20" spans="2:8">
      <c r="B20" s="99">
        <f t="shared" si="0"/>
        <v>10</v>
      </c>
      <c r="C20" s="26" t="s">
        <v>235</v>
      </c>
      <c r="D20" s="318">
        <v>10.332764848760331</v>
      </c>
      <c r="E20" s="318">
        <v>18.877726875206609</v>
      </c>
      <c r="F20" s="318">
        <v>6.4433848052678933</v>
      </c>
      <c r="G20" s="318">
        <v>15.569039525822234</v>
      </c>
      <c r="H20" s="305">
        <f t="shared" si="1"/>
        <v>22.012424331090127</v>
      </c>
    </row>
    <row r="21" spans="2:8">
      <c r="B21" s="99">
        <f t="shared" si="0"/>
        <v>11</v>
      </c>
      <c r="C21" s="26" t="s">
        <v>236</v>
      </c>
      <c r="D21" s="318"/>
      <c r="E21" s="318"/>
      <c r="F21" s="318"/>
      <c r="G21" s="318"/>
      <c r="H21" s="305">
        <f t="shared" si="1"/>
        <v>0</v>
      </c>
    </row>
    <row r="22" spans="2:8">
      <c r="B22" s="99">
        <f t="shared" si="0"/>
        <v>12</v>
      </c>
      <c r="C22" s="26" t="s">
        <v>237</v>
      </c>
      <c r="D22" s="318">
        <v>7.9190247933884295E-2</v>
      </c>
      <c r="E22" s="318">
        <v>0.24560768595041321</v>
      </c>
      <c r="F22" s="318">
        <v>9.554081070444706E-2</v>
      </c>
      <c r="G22" s="318">
        <v>0.20038205430932701</v>
      </c>
      <c r="H22" s="305">
        <f t="shared" si="1"/>
        <v>0.29592286501377407</v>
      </c>
    </row>
    <row r="23" spans="2:8">
      <c r="B23" s="99">
        <f t="shared" si="0"/>
        <v>13</v>
      </c>
      <c r="C23" s="26" t="s">
        <v>238</v>
      </c>
      <c r="D23" s="318"/>
      <c r="E23" s="318"/>
      <c r="F23" s="318"/>
      <c r="G23" s="318"/>
      <c r="H23" s="305">
        <f t="shared" si="1"/>
        <v>0</v>
      </c>
    </row>
    <row r="24" spans="2:8">
      <c r="B24" s="99">
        <f t="shared" si="0"/>
        <v>14</v>
      </c>
      <c r="C24" s="26" t="s">
        <v>239</v>
      </c>
      <c r="D24" s="318">
        <v>0.206452847107438</v>
      </c>
      <c r="E24" s="318">
        <v>0.48716692066115697</v>
      </c>
      <c r="F24" s="318">
        <v>-5.4986575493337825E-2</v>
      </c>
      <c r="G24" s="318">
        <v>0.48421708588294826</v>
      </c>
      <c r="H24" s="305">
        <f t="shared" si="1"/>
        <v>0.42923051038961046</v>
      </c>
    </row>
    <row r="25" spans="2:8">
      <c r="B25" s="99">
        <f t="shared" si="0"/>
        <v>15</v>
      </c>
      <c r="C25" s="26" t="s">
        <v>240</v>
      </c>
      <c r="D25" s="318"/>
      <c r="E25" s="318"/>
      <c r="F25" s="318"/>
      <c r="G25" s="318"/>
      <c r="H25" s="305">
        <f t="shared" si="1"/>
        <v>0</v>
      </c>
    </row>
    <row r="26" spans="2:8">
      <c r="B26" s="99">
        <f t="shared" si="0"/>
        <v>16</v>
      </c>
      <c r="C26" s="26" t="s">
        <v>241</v>
      </c>
      <c r="D26" s="318"/>
      <c r="E26" s="318"/>
      <c r="F26" s="318"/>
      <c r="G26" s="318"/>
      <c r="H26" s="305">
        <f t="shared" si="1"/>
        <v>0</v>
      </c>
    </row>
    <row r="27" spans="2:8">
      <c r="B27" s="99">
        <f t="shared" si="0"/>
        <v>17</v>
      </c>
      <c r="C27" s="28" t="s">
        <v>242</v>
      </c>
      <c r="D27" s="318"/>
      <c r="E27" s="318"/>
      <c r="F27" s="318"/>
      <c r="G27" s="318"/>
      <c r="H27" s="305">
        <f t="shared" si="1"/>
        <v>0</v>
      </c>
    </row>
    <row r="28" spans="2:8">
      <c r="B28" s="99">
        <f t="shared" si="0"/>
        <v>18</v>
      </c>
      <c r="C28" s="28" t="s">
        <v>243</v>
      </c>
      <c r="D28" s="318"/>
      <c r="E28" s="318"/>
      <c r="F28" s="318"/>
      <c r="G28" s="318"/>
      <c r="H28" s="305">
        <f t="shared" si="1"/>
        <v>0</v>
      </c>
    </row>
    <row r="29" spans="2:8">
      <c r="B29" s="99">
        <f t="shared" si="0"/>
        <v>19</v>
      </c>
      <c r="C29" s="26" t="s">
        <v>244</v>
      </c>
      <c r="D29" s="318"/>
      <c r="E29" s="318"/>
      <c r="F29" s="318"/>
      <c r="G29" s="318"/>
      <c r="H29" s="305">
        <f t="shared" si="1"/>
        <v>0</v>
      </c>
    </row>
    <row r="30" spans="2:8">
      <c r="B30" s="99">
        <f t="shared" si="0"/>
        <v>20</v>
      </c>
      <c r="C30" s="26" t="s">
        <v>245</v>
      </c>
      <c r="D30" s="318"/>
      <c r="E30" s="318"/>
      <c r="F30" s="318"/>
      <c r="G30" s="318"/>
      <c r="H30" s="305">
        <f t="shared" si="1"/>
        <v>0</v>
      </c>
    </row>
    <row r="31" spans="2:8">
      <c r="B31" s="99">
        <f t="shared" si="0"/>
        <v>21</v>
      </c>
      <c r="C31" s="446" t="s">
        <v>1397</v>
      </c>
      <c r="D31" s="318">
        <v>2.4828574259956842</v>
      </c>
      <c r="E31" s="318">
        <v>1.3154916346645324</v>
      </c>
      <c r="F31" s="318">
        <v>1.7023232518468545</v>
      </c>
      <c r="G31" s="318">
        <v>3.6283571540563337</v>
      </c>
      <c r="H31" s="305">
        <f t="shared" si="1"/>
        <v>5.3306804059031885</v>
      </c>
    </row>
    <row r="32" spans="2:8">
      <c r="B32" s="99">
        <f t="shared" si="0"/>
        <v>22</v>
      </c>
      <c r="C32" s="26" t="s">
        <v>246</v>
      </c>
      <c r="D32" s="318"/>
      <c r="E32" s="318"/>
      <c r="F32" s="318"/>
      <c r="G32" s="318"/>
      <c r="H32" s="305">
        <f t="shared" si="1"/>
        <v>0</v>
      </c>
    </row>
    <row r="33" spans="2:8">
      <c r="B33" s="99">
        <f t="shared" si="0"/>
        <v>23</v>
      </c>
      <c r="C33" s="26" t="s">
        <v>247</v>
      </c>
      <c r="D33" s="318"/>
      <c r="E33" s="318"/>
      <c r="F33" s="318"/>
      <c r="G33" s="318"/>
      <c r="H33" s="305">
        <f t="shared" si="1"/>
        <v>0</v>
      </c>
    </row>
    <row r="34" spans="2:8">
      <c r="B34" s="99">
        <f t="shared" si="0"/>
        <v>24</v>
      </c>
      <c r="C34" s="26" t="s">
        <v>248</v>
      </c>
      <c r="D34" s="318"/>
      <c r="E34" s="318"/>
      <c r="F34" s="318"/>
      <c r="G34" s="318"/>
      <c r="H34" s="305">
        <f t="shared" si="1"/>
        <v>0</v>
      </c>
    </row>
    <row r="35" spans="2:8">
      <c r="B35" s="99">
        <f t="shared" si="0"/>
        <v>25</v>
      </c>
      <c r="C35" s="26" t="s">
        <v>249</v>
      </c>
      <c r="D35" s="318"/>
      <c r="E35" s="318"/>
      <c r="F35" s="318"/>
      <c r="G35" s="318"/>
      <c r="H35" s="305">
        <f t="shared" si="1"/>
        <v>0</v>
      </c>
    </row>
    <row r="36" spans="2:8">
      <c r="B36" s="99">
        <f t="shared" si="0"/>
        <v>26</v>
      </c>
      <c r="C36" s="26" t="s">
        <v>250</v>
      </c>
      <c r="D36" s="318"/>
      <c r="E36" s="318"/>
      <c r="F36" s="318"/>
      <c r="G36" s="318"/>
      <c r="H36" s="305">
        <f t="shared" si="1"/>
        <v>0</v>
      </c>
    </row>
    <row r="37" spans="2:8">
      <c r="B37" s="99">
        <f t="shared" si="0"/>
        <v>27</v>
      </c>
      <c r="C37" s="26" t="s">
        <v>251</v>
      </c>
      <c r="D37" s="318">
        <v>7.1662376774049523</v>
      </c>
      <c r="E37" s="318">
        <v>0</v>
      </c>
      <c r="F37" s="318">
        <v>2.563471356608759E-2</v>
      </c>
      <c r="G37" s="318">
        <v>5.3764841727104065E-2</v>
      </c>
      <c r="H37" s="305">
        <f t="shared" si="1"/>
        <v>7.9399555293191648E-2</v>
      </c>
    </row>
    <row r="38" spans="2:8">
      <c r="B38" s="99">
        <f t="shared" si="0"/>
        <v>28</v>
      </c>
      <c r="C38" s="26" t="s">
        <v>252</v>
      </c>
      <c r="D38" s="318"/>
      <c r="E38" s="318"/>
      <c r="F38" s="318"/>
      <c r="G38" s="318"/>
      <c r="H38" s="305">
        <f t="shared" si="1"/>
        <v>0</v>
      </c>
    </row>
    <row r="39" spans="2:8">
      <c r="B39" s="99">
        <f t="shared" si="0"/>
        <v>29</v>
      </c>
      <c r="C39" s="26" t="s">
        <v>210</v>
      </c>
      <c r="D39" s="318">
        <v>0.79049451983471075</v>
      </c>
      <c r="E39" s="318">
        <v>1.1550834049586776</v>
      </c>
      <c r="F39" s="318">
        <v>0.48769082034069827</v>
      </c>
      <c r="G39" s="318">
        <v>1.0228559683251812</v>
      </c>
      <c r="H39" s="305">
        <f t="shared" si="1"/>
        <v>1.5105467886658794</v>
      </c>
    </row>
    <row r="40" spans="2:8" s="314" customFormat="1">
      <c r="B40" s="99">
        <f t="shared" si="0"/>
        <v>30</v>
      </c>
      <c r="C40" s="59" t="s">
        <v>788</v>
      </c>
      <c r="D40" s="318"/>
      <c r="E40" s="318"/>
      <c r="F40" s="318"/>
      <c r="G40" s="318"/>
      <c r="H40" s="305">
        <f t="shared" si="1"/>
        <v>0</v>
      </c>
    </row>
    <row r="41" spans="2:8" s="314" customFormat="1">
      <c r="B41" s="99">
        <f t="shared" si="0"/>
        <v>31</v>
      </c>
      <c r="C41" s="59" t="s">
        <v>776</v>
      </c>
      <c r="D41" s="318"/>
      <c r="E41" s="318"/>
      <c r="F41" s="318"/>
      <c r="G41" s="318"/>
      <c r="H41" s="305">
        <f t="shared" si="1"/>
        <v>0</v>
      </c>
    </row>
    <row r="42" spans="2:8" s="314" customFormat="1">
      <c r="B42" s="99">
        <f t="shared" si="0"/>
        <v>32</v>
      </c>
      <c r="C42" s="59" t="s">
        <v>787</v>
      </c>
      <c r="D42" s="318">
        <v>0</v>
      </c>
      <c r="E42" s="318">
        <v>0</v>
      </c>
      <c r="F42" s="318">
        <v>0</v>
      </c>
      <c r="G42" s="318">
        <v>0</v>
      </c>
      <c r="H42" s="305">
        <f t="shared" si="1"/>
        <v>0</v>
      </c>
    </row>
    <row r="43" spans="2:8" s="314" customFormat="1">
      <c r="B43" s="99">
        <f t="shared" si="0"/>
        <v>33</v>
      </c>
      <c r="C43" s="59" t="s">
        <v>771</v>
      </c>
      <c r="D43" s="318">
        <v>3.7698348513663213</v>
      </c>
      <c r="E43" s="318">
        <v>9.997947597618623</v>
      </c>
      <c r="F43" s="318">
        <v>0</v>
      </c>
      <c r="G43" s="318">
        <v>0</v>
      </c>
      <c r="H43" s="305">
        <f t="shared" si="1"/>
        <v>0</v>
      </c>
    </row>
    <row r="44" spans="2:8" s="314" customFormat="1">
      <c r="B44" s="99">
        <f t="shared" si="0"/>
        <v>34</v>
      </c>
      <c r="C44" s="308" t="s">
        <v>253</v>
      </c>
      <c r="D44" s="360">
        <f>SUM(D11:D43)</f>
        <v>35.131043824188438</v>
      </c>
      <c r="E44" s="360">
        <f t="shared" ref="E44:H44" si="2">SUM(E11:E43)</f>
        <v>53.590132705613811</v>
      </c>
      <c r="F44" s="360">
        <f t="shared" si="2"/>
        <v>14.743458165424189</v>
      </c>
      <c r="G44" s="360">
        <f t="shared" si="2"/>
        <v>34.809383961140163</v>
      </c>
      <c r="H44" s="360">
        <f t="shared" si="2"/>
        <v>49.55284212656435</v>
      </c>
    </row>
    <row r="45" spans="2:8" s="314" customFormat="1">
      <c r="B45" s="99">
        <f t="shared" si="0"/>
        <v>35</v>
      </c>
      <c r="C45" s="3" t="s">
        <v>35</v>
      </c>
      <c r="D45" s="318"/>
      <c r="E45" s="318"/>
      <c r="F45" s="318"/>
      <c r="G45" s="318"/>
      <c r="H45" s="318"/>
    </row>
    <row r="46" spans="2:8" s="314" customFormat="1">
      <c r="B46" s="99">
        <f t="shared" si="0"/>
        <v>36</v>
      </c>
      <c r="C46" s="244" t="s">
        <v>254</v>
      </c>
      <c r="D46" s="318">
        <f t="shared" ref="D46:G46" si="3">D44-D45</f>
        <v>35.131043824188438</v>
      </c>
      <c r="E46" s="318">
        <f t="shared" si="3"/>
        <v>53.590132705613811</v>
      </c>
      <c r="F46" s="318">
        <f t="shared" si="3"/>
        <v>14.743458165424189</v>
      </c>
      <c r="G46" s="318">
        <f t="shared" si="3"/>
        <v>34.809383961140163</v>
      </c>
      <c r="H46" s="318">
        <f>H44-H45</f>
        <v>49.55284212656435</v>
      </c>
    </row>
  </sheetData>
  <mergeCells count="6">
    <mergeCell ref="B2:M2"/>
    <mergeCell ref="B3:M3"/>
    <mergeCell ref="B4:M4"/>
    <mergeCell ref="B7:B9"/>
    <mergeCell ref="C7:C9"/>
    <mergeCell ref="F7:H7"/>
  </mergeCells>
  <pageMargins left="0.75" right="0.75" top="1" bottom="1" header="0.5" footer="0.5"/>
  <pageSetup paperSize="9" scale="5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zoomScale="68" zoomScaleNormal="80" zoomScaleSheetLayoutView="90" workbookViewId="0">
      <selection activeCell="L32" sqref="L32"/>
    </sheetView>
  </sheetViews>
  <sheetFormatPr defaultColWidth="9.36328125" defaultRowHeight="14"/>
  <cols>
    <col min="1" max="1" width="6.6328125" style="14" customWidth="1"/>
    <col min="2" max="2" width="8.6328125" style="98" customWidth="1"/>
    <col min="3" max="3" width="45.6328125" style="14" customWidth="1"/>
    <col min="4" max="13" width="15.6328125" style="14" customWidth="1"/>
    <col min="14" max="16384" width="9.36328125" style="14"/>
  </cols>
  <sheetData>
    <row r="2" spans="2:13">
      <c r="B2" s="1682" t="str">
        <f>Index!B2</f>
        <v xml:space="preserve">      Maharashtra State Power Generation Company Ltd.</v>
      </c>
      <c r="C2" s="1738"/>
      <c r="D2" s="1738"/>
      <c r="E2" s="1738"/>
      <c r="F2" s="1738"/>
      <c r="G2" s="1738"/>
      <c r="H2" s="1738"/>
      <c r="I2" s="1738"/>
      <c r="J2" s="1738"/>
      <c r="K2" s="1738"/>
      <c r="L2" s="1738"/>
      <c r="M2" s="1738"/>
    </row>
    <row r="3" spans="2:13" s="5" customFormat="1">
      <c r="B3" s="1682" t="str">
        <f>Index!B3</f>
        <v>MYT Petition Formats for Bhusawal Units 4&amp;5</v>
      </c>
      <c r="C3" s="1738"/>
      <c r="D3" s="1738"/>
      <c r="E3" s="1738"/>
      <c r="F3" s="1738"/>
      <c r="G3" s="1738"/>
      <c r="H3" s="1738"/>
      <c r="I3" s="1738"/>
      <c r="J3" s="1738"/>
      <c r="K3" s="1738"/>
      <c r="L3" s="1738"/>
      <c r="M3" s="1738"/>
    </row>
    <row r="4" spans="2:13" s="5" customFormat="1">
      <c r="B4" s="1683" t="s">
        <v>255</v>
      </c>
      <c r="C4" s="1738"/>
      <c r="D4" s="1738"/>
      <c r="E4" s="1738"/>
      <c r="F4" s="1738"/>
      <c r="G4" s="1738"/>
      <c r="H4" s="1738"/>
      <c r="I4" s="1738"/>
      <c r="J4" s="1738"/>
      <c r="K4" s="1738"/>
      <c r="L4" s="1738"/>
      <c r="M4" s="1738"/>
    </row>
    <row r="6" spans="2:13">
      <c r="H6" s="21"/>
      <c r="M6" s="21" t="s">
        <v>10</v>
      </c>
    </row>
    <row r="7" spans="2:13" ht="12.75" customHeight="1">
      <c r="B7" s="1676" t="s">
        <v>341</v>
      </c>
      <c r="C7" s="1687" t="s">
        <v>37</v>
      </c>
      <c r="D7" s="289" t="s">
        <v>509</v>
      </c>
      <c r="E7" s="289" t="s">
        <v>510</v>
      </c>
      <c r="F7" s="1676" t="s">
        <v>511</v>
      </c>
      <c r="G7" s="1676"/>
      <c r="H7" s="1676"/>
      <c r="I7" s="1681" t="s">
        <v>946</v>
      </c>
      <c r="J7" s="1681"/>
      <c r="K7" s="1681"/>
      <c r="L7" s="1681"/>
      <c r="M7" s="1681"/>
    </row>
    <row r="8" spans="2:13" ht="28">
      <c r="B8" s="1676"/>
      <c r="C8" s="1687"/>
      <c r="D8" s="289" t="s">
        <v>79</v>
      </c>
      <c r="E8" s="289" t="s">
        <v>79</v>
      </c>
      <c r="F8" s="289" t="s">
        <v>446</v>
      </c>
      <c r="G8" s="289" t="s">
        <v>449</v>
      </c>
      <c r="H8" s="289" t="s">
        <v>80</v>
      </c>
      <c r="I8" s="702" t="s">
        <v>947</v>
      </c>
      <c r="J8" s="702" t="s">
        <v>948</v>
      </c>
      <c r="K8" s="702" t="s">
        <v>949</v>
      </c>
      <c r="L8" s="702" t="s">
        <v>950</v>
      </c>
      <c r="M8" s="702" t="s">
        <v>951</v>
      </c>
    </row>
    <row r="9" spans="2:13">
      <c r="B9" s="1676"/>
      <c r="C9" s="1687"/>
      <c r="D9" s="289" t="s">
        <v>81</v>
      </c>
      <c r="E9" s="289" t="s">
        <v>82</v>
      </c>
      <c r="F9" s="289" t="s">
        <v>392</v>
      </c>
      <c r="G9" s="289" t="s">
        <v>393</v>
      </c>
      <c r="H9" s="289" t="s">
        <v>394</v>
      </c>
      <c r="I9" s="692" t="s">
        <v>21</v>
      </c>
      <c r="J9" s="692" t="s">
        <v>21</v>
      </c>
      <c r="K9" s="692" t="s">
        <v>21</v>
      </c>
      <c r="L9" s="692" t="s">
        <v>21</v>
      </c>
      <c r="M9" s="692" t="s">
        <v>21</v>
      </c>
    </row>
    <row r="10" spans="2:13">
      <c r="B10" s="99">
        <v>1</v>
      </c>
      <c r="C10" s="26" t="s">
        <v>256</v>
      </c>
      <c r="D10" s="305">
        <v>112.50620966104171</v>
      </c>
      <c r="E10" s="305">
        <v>110.5651069613389</v>
      </c>
      <c r="F10" s="305">
        <v>48.425168346830901</v>
      </c>
      <c r="G10" s="305">
        <v>67.069270640500051</v>
      </c>
      <c r="H10" s="318">
        <f>F10+G10</f>
        <v>115.49443898733095</v>
      </c>
      <c r="I10" s="305"/>
      <c r="J10" s="305"/>
      <c r="K10" s="305"/>
      <c r="L10" s="305"/>
      <c r="M10" s="305"/>
    </row>
    <row r="11" spans="2:13">
      <c r="B11" s="99">
        <v>2</v>
      </c>
      <c r="C11" s="427" t="s">
        <v>795</v>
      </c>
      <c r="D11" s="305">
        <v>4.5920959368851008E-3</v>
      </c>
      <c r="E11" s="305">
        <v>4.9366034601546361E-4</v>
      </c>
      <c r="F11" s="305">
        <v>0</v>
      </c>
      <c r="G11" s="305">
        <v>0</v>
      </c>
      <c r="H11" s="318">
        <f t="shared" ref="H11:H17" si="0">F11+G11</f>
        <v>0</v>
      </c>
      <c r="I11" s="305"/>
      <c r="J11" s="305"/>
      <c r="K11" s="305"/>
      <c r="L11" s="305"/>
      <c r="M11" s="305"/>
    </row>
    <row r="12" spans="2:13">
      <c r="B12" s="99">
        <v>3</v>
      </c>
      <c r="C12" s="26" t="s">
        <v>796</v>
      </c>
      <c r="D12" s="305">
        <v>0</v>
      </c>
      <c r="E12" s="305">
        <v>3.7000688968843302E-3</v>
      </c>
      <c r="F12" s="305">
        <v>0</v>
      </c>
      <c r="G12" s="305">
        <v>0</v>
      </c>
      <c r="H12" s="318">
        <f t="shared" si="0"/>
        <v>0</v>
      </c>
      <c r="I12" s="305"/>
      <c r="J12" s="305"/>
      <c r="K12" s="305"/>
      <c r="L12" s="305"/>
      <c r="M12" s="305"/>
    </row>
    <row r="13" spans="2:13">
      <c r="B13" s="99">
        <v>4</v>
      </c>
      <c r="C13" s="26" t="s">
        <v>257</v>
      </c>
      <c r="D13" s="305"/>
      <c r="E13" s="305"/>
      <c r="F13" s="305"/>
      <c r="G13" s="305"/>
      <c r="H13" s="318">
        <f t="shared" si="0"/>
        <v>0</v>
      </c>
      <c r="I13" s="305"/>
      <c r="J13" s="305"/>
      <c r="K13" s="305"/>
      <c r="L13" s="305"/>
      <c r="M13" s="305"/>
    </row>
    <row r="14" spans="2:13">
      <c r="B14" s="99">
        <v>5</v>
      </c>
      <c r="C14" s="26" t="s">
        <v>258</v>
      </c>
      <c r="D14" s="305">
        <v>5.9411823930016872E-2</v>
      </c>
      <c r="E14" s="305">
        <v>1.4939099326341575E-3</v>
      </c>
      <c r="F14" s="305">
        <v>1.2196311474352631E-2</v>
      </c>
      <c r="G14" s="305">
        <v>1.6891995278788229E-2</v>
      </c>
      <c r="H14" s="318">
        <f t="shared" si="0"/>
        <v>2.908830675314086E-2</v>
      </c>
      <c r="I14" s="305"/>
      <c r="J14" s="305"/>
      <c r="K14" s="305"/>
      <c r="L14" s="305"/>
      <c r="M14" s="305"/>
    </row>
    <row r="15" spans="2:13">
      <c r="B15" s="99">
        <v>6</v>
      </c>
      <c r="C15" s="59" t="s">
        <v>259</v>
      </c>
      <c r="D15" s="318"/>
      <c r="E15" s="318"/>
      <c r="F15" s="318"/>
      <c r="G15" s="318"/>
      <c r="H15" s="318">
        <f t="shared" si="0"/>
        <v>0</v>
      </c>
      <c r="I15" s="318"/>
      <c r="J15" s="318"/>
      <c r="K15" s="318"/>
      <c r="L15" s="318"/>
      <c r="M15" s="318"/>
    </row>
    <row r="16" spans="2:13">
      <c r="B16" s="99">
        <v>7</v>
      </c>
      <c r="C16" s="59" t="s">
        <v>260</v>
      </c>
      <c r="D16" s="318"/>
      <c r="E16" s="318"/>
      <c r="F16" s="318"/>
      <c r="G16" s="318"/>
      <c r="H16" s="318">
        <f t="shared" si="0"/>
        <v>0</v>
      </c>
      <c r="I16" s="318"/>
      <c r="J16" s="318"/>
      <c r="K16" s="318"/>
      <c r="L16" s="318"/>
      <c r="M16" s="318"/>
    </row>
    <row r="17" spans="2:13">
      <c r="B17" s="99">
        <v>8</v>
      </c>
      <c r="C17" s="59" t="s">
        <v>261</v>
      </c>
      <c r="D17" s="318"/>
      <c r="E17" s="318"/>
      <c r="F17" s="318"/>
      <c r="G17" s="318"/>
      <c r="H17" s="318">
        <f t="shared" si="0"/>
        <v>0</v>
      </c>
      <c r="I17" s="318"/>
      <c r="J17" s="318"/>
      <c r="K17" s="318"/>
      <c r="L17" s="318"/>
      <c r="M17" s="318"/>
    </row>
    <row r="18" spans="2:13">
      <c r="B18" s="99">
        <v>9</v>
      </c>
      <c r="C18" s="466" t="s">
        <v>1023</v>
      </c>
      <c r="D18" s="318">
        <v>-1.9772696631248157</v>
      </c>
      <c r="E18" s="318">
        <v>-0.38617787147974153</v>
      </c>
      <c r="F18" s="318">
        <v>0</v>
      </c>
      <c r="G18" s="318">
        <v>0</v>
      </c>
      <c r="H18" s="318"/>
      <c r="I18" s="318"/>
      <c r="J18" s="318"/>
      <c r="K18" s="318"/>
      <c r="L18" s="318"/>
      <c r="M18" s="318"/>
    </row>
    <row r="19" spans="2:13">
      <c r="B19" s="99">
        <v>10</v>
      </c>
      <c r="C19" s="466" t="s">
        <v>1022</v>
      </c>
      <c r="D19" s="318">
        <v>-0.21097473104164438</v>
      </c>
      <c r="E19" s="318">
        <v>0.23191581476775014</v>
      </c>
      <c r="F19" s="318">
        <v>0</v>
      </c>
      <c r="G19" s="318">
        <v>0</v>
      </c>
      <c r="H19" s="318"/>
      <c r="I19" s="318"/>
      <c r="J19" s="318"/>
      <c r="K19" s="318"/>
      <c r="L19" s="318"/>
      <c r="M19" s="318"/>
    </row>
    <row r="20" spans="2:13" s="314" customFormat="1">
      <c r="B20" s="99">
        <v>11</v>
      </c>
      <c r="C20" s="59" t="s">
        <v>771</v>
      </c>
      <c r="D20" s="318">
        <v>1.6296917960835999</v>
      </c>
      <c r="E20" s="318">
        <v>3.1726383954057629</v>
      </c>
      <c r="F20" s="318">
        <v>0</v>
      </c>
      <c r="G20" s="318">
        <v>0</v>
      </c>
      <c r="H20" s="318"/>
      <c r="I20" s="318"/>
      <c r="J20" s="318"/>
      <c r="K20" s="318"/>
      <c r="L20" s="318"/>
      <c r="M20" s="318"/>
    </row>
    <row r="21" spans="2:13" s="314" customFormat="1">
      <c r="B21" s="99">
        <v>12</v>
      </c>
      <c r="C21" s="308" t="s">
        <v>262</v>
      </c>
      <c r="D21" s="360">
        <f>SUM(D10:D20)</f>
        <v>112.01166098282576</v>
      </c>
      <c r="E21" s="360">
        <f>SUM(E10:E20)</f>
        <v>113.5891709392082</v>
      </c>
      <c r="F21" s="360">
        <f>SUM(F10:F20)</f>
        <v>48.437364658305256</v>
      </c>
      <c r="G21" s="360">
        <f>SUM(G10:G20)</f>
        <v>67.086162635778834</v>
      </c>
      <c r="H21" s="360">
        <f>SUM(H10:H20)</f>
        <v>115.52352729408409</v>
      </c>
      <c r="I21" s="360"/>
      <c r="J21" s="360"/>
      <c r="K21" s="360"/>
      <c r="L21" s="360"/>
      <c r="M21" s="360"/>
    </row>
    <row r="22" spans="2:13" s="314" customFormat="1">
      <c r="B22" s="99"/>
      <c r="C22" s="444"/>
      <c r="D22" s="318"/>
      <c r="E22" s="318"/>
      <c r="F22" s="318"/>
      <c r="G22" s="318"/>
      <c r="H22" s="318"/>
      <c r="I22" s="318"/>
      <c r="J22" s="318"/>
      <c r="K22" s="318"/>
      <c r="L22" s="318"/>
      <c r="M22" s="318"/>
    </row>
    <row r="23" spans="2:13" s="314" customFormat="1">
      <c r="B23" s="99">
        <v>14</v>
      </c>
      <c r="C23" s="445" t="s">
        <v>263</v>
      </c>
      <c r="D23" s="318">
        <f>'F5 (T)'!D31</f>
        <v>6739.9097290846339</v>
      </c>
      <c r="E23" s="318">
        <f>'F5 (T)'!I31</f>
        <v>6753.5284737796337</v>
      </c>
      <c r="F23" s="318">
        <f>'F5 (T)'!N31</f>
        <v>6770.1113476726341</v>
      </c>
      <c r="G23" s="318">
        <f>'F5 (T)'!N31</f>
        <v>6770.1113476726341</v>
      </c>
      <c r="H23" s="318">
        <f>AVERAGE(F23:G23)</f>
        <v>6770.1113476726341</v>
      </c>
      <c r="I23" s="318">
        <f>'F5 (T)'!$S$31</f>
        <v>6794.526148672634</v>
      </c>
      <c r="J23" s="318">
        <f>'F5 (T)'!$D$57</f>
        <v>6853.4361486726339</v>
      </c>
      <c r="K23" s="318">
        <f>'F5 (T)'!$I$57</f>
        <v>7130.6686486726348</v>
      </c>
      <c r="L23" s="318">
        <f>'F5 (T)'!$N$57</f>
        <v>7252.6266486726354</v>
      </c>
      <c r="M23" s="318">
        <f>'F5 (T)'!$S$57</f>
        <v>7423.9599820059684</v>
      </c>
    </row>
    <row r="24" spans="2:13" s="314" customFormat="1">
      <c r="B24" s="99">
        <v>15</v>
      </c>
      <c r="C24" s="445" t="s">
        <v>264</v>
      </c>
      <c r="D24" s="358">
        <f>D21/D23</f>
        <v>1.6619163384260692E-2</v>
      </c>
      <c r="E24" s="358">
        <f t="shared" ref="E24:M24" si="1">E21/E23</f>
        <v>1.6819233291192101E-2</v>
      </c>
      <c r="F24" s="358">
        <f t="shared" si="1"/>
        <v>7.1545890711172131E-3</v>
      </c>
      <c r="G24" s="358">
        <f t="shared" si="1"/>
        <v>9.9091668054826151E-3</v>
      </c>
      <c r="H24" s="358">
        <f t="shared" si="1"/>
        <v>1.7063755876599827E-2</v>
      </c>
      <c r="I24" s="358">
        <f t="shared" si="1"/>
        <v>0</v>
      </c>
      <c r="J24" s="358">
        <f t="shared" si="1"/>
        <v>0</v>
      </c>
      <c r="K24" s="358">
        <f t="shared" si="1"/>
        <v>0</v>
      </c>
      <c r="L24" s="358">
        <f t="shared" si="1"/>
        <v>0</v>
      </c>
      <c r="M24" s="358">
        <f t="shared" si="1"/>
        <v>0</v>
      </c>
    </row>
    <row r="25" spans="2:13">
      <c r="B25" s="99"/>
      <c r="C25" s="28"/>
      <c r="D25" s="305"/>
      <c r="E25" s="305"/>
      <c r="F25" s="305"/>
      <c r="G25" s="318"/>
      <c r="H25" s="318"/>
      <c r="I25" s="323"/>
      <c r="J25" s="323"/>
      <c r="K25" s="323"/>
      <c r="L25" s="323"/>
      <c r="M25" s="323"/>
    </row>
  </sheetData>
  <mergeCells count="7">
    <mergeCell ref="B2:M2"/>
    <mergeCell ref="B3:M3"/>
    <mergeCell ref="B4:M4"/>
    <mergeCell ref="B7:B9"/>
    <mergeCell ref="C7:C9"/>
    <mergeCell ref="F7:H7"/>
    <mergeCell ref="I7:M7"/>
  </mergeCells>
  <pageMargins left="0.75" right="0.75" top="1" bottom="1" header="0.5" footer="0.5"/>
  <pageSetup paperSize="9" scale="61"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7"/>
  <sheetViews>
    <sheetView showGridLines="0" view="pageBreakPreview" topLeftCell="G1" zoomScale="79" zoomScaleSheetLayoutView="90" workbookViewId="0">
      <selection activeCell="K12" sqref="K12"/>
    </sheetView>
  </sheetViews>
  <sheetFormatPr defaultColWidth="9.36328125" defaultRowHeight="14"/>
  <cols>
    <col min="1" max="1" width="4.36328125" style="5" customWidth="1"/>
    <col min="2" max="2" width="6.36328125" style="5" customWidth="1"/>
    <col min="3" max="3" width="30.0898437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customWidth="1"/>
    <col min="12" max="12" width="11.6328125" style="5" bestFit="1" customWidth="1"/>
    <col min="13" max="13" width="13.6328125" style="5" bestFit="1" customWidth="1"/>
    <col min="14" max="14" width="20.36328125" style="5" bestFit="1" customWidth="1"/>
    <col min="15" max="17" width="11.6328125" style="5" bestFit="1" customWidth="1"/>
    <col min="18" max="18" width="11.6328125" style="5" customWidth="1"/>
    <col min="19" max="20" width="11.6328125" style="5" bestFit="1" customWidth="1"/>
    <col min="21" max="16384" width="9.36328125" style="5"/>
  </cols>
  <sheetData>
    <row r="1" spans="1:21">
      <c r="B1" s="53"/>
    </row>
    <row r="2" spans="1:21">
      <c r="B2" s="1682" t="str">
        <f>Index!B2</f>
        <v xml:space="preserve">      Maharashtra State Power Generation Company Ltd.</v>
      </c>
      <c r="C2" s="1738"/>
      <c r="D2" s="1738"/>
      <c r="E2" s="1738"/>
      <c r="F2" s="1738"/>
      <c r="G2" s="1738"/>
      <c r="H2" s="1738"/>
      <c r="I2" s="1738"/>
      <c r="J2" s="1738"/>
      <c r="K2" s="1738"/>
      <c r="L2" s="1738"/>
      <c r="M2" s="1738"/>
      <c r="N2" s="1738"/>
      <c r="O2" s="117"/>
    </row>
    <row r="3" spans="1:21">
      <c r="B3" s="1682" t="str">
        <f>Index!B3</f>
        <v>MYT Petition Formats for Bhusawal Units 4&amp;5</v>
      </c>
      <c r="C3" s="1738"/>
      <c r="D3" s="1738"/>
      <c r="E3" s="1738"/>
      <c r="F3" s="1738"/>
      <c r="G3" s="1738"/>
      <c r="H3" s="1738"/>
      <c r="I3" s="1738"/>
      <c r="J3" s="1738"/>
      <c r="K3" s="1738"/>
      <c r="L3" s="1738"/>
      <c r="M3" s="1738"/>
      <c r="N3" s="1738"/>
      <c r="O3" s="65"/>
    </row>
    <row r="4" spans="1:21">
      <c r="B4" s="1683" t="s">
        <v>483</v>
      </c>
      <c r="C4" s="1738"/>
      <c r="D4" s="1738"/>
      <c r="E4" s="1738"/>
      <c r="F4" s="1738"/>
      <c r="G4" s="1738"/>
      <c r="H4" s="1738"/>
      <c r="I4" s="1738"/>
      <c r="J4" s="1738"/>
      <c r="K4" s="1738"/>
      <c r="L4" s="1738"/>
      <c r="M4" s="1738"/>
      <c r="N4" s="1738"/>
      <c r="O4" s="1738"/>
    </row>
    <row r="5" spans="1:21">
      <c r="B5" s="222"/>
      <c r="C5" s="221"/>
      <c r="D5" s="229"/>
      <c r="E5" s="229"/>
      <c r="F5" s="229"/>
      <c r="G5" s="284"/>
      <c r="H5" s="284"/>
      <c r="I5" s="284"/>
      <c r="J5" s="221"/>
      <c r="K5" s="221"/>
      <c r="L5" s="221"/>
      <c r="M5" s="221"/>
      <c r="N5" s="221"/>
      <c r="O5" s="221"/>
    </row>
    <row r="6" spans="1:21">
      <c r="T6" s="21" t="s">
        <v>10</v>
      </c>
    </row>
    <row r="7" spans="1:21" s="14" customFormat="1" ht="15" customHeight="1">
      <c r="B7" s="1684" t="s">
        <v>341</v>
      </c>
      <c r="C7" s="1687" t="s">
        <v>37</v>
      </c>
      <c r="D7" s="1795" t="s">
        <v>509</v>
      </c>
      <c r="E7" s="1796"/>
      <c r="F7" s="1797"/>
      <c r="G7" s="1795" t="s">
        <v>510</v>
      </c>
      <c r="H7" s="1796"/>
      <c r="I7" s="1797"/>
      <c r="J7" s="1795" t="s">
        <v>511</v>
      </c>
      <c r="K7" s="1796"/>
      <c r="L7" s="1796"/>
      <c r="M7" s="1796"/>
      <c r="N7" s="1797"/>
      <c r="O7" s="1681" t="s">
        <v>946</v>
      </c>
      <c r="P7" s="1681"/>
      <c r="Q7" s="1681"/>
      <c r="R7" s="1681"/>
      <c r="S7" s="1681"/>
      <c r="T7" s="1676" t="s">
        <v>27</v>
      </c>
    </row>
    <row r="8" spans="1:21" s="14" customFormat="1" ht="28">
      <c r="B8" s="1685"/>
      <c r="C8" s="1687"/>
      <c r="D8" s="298" t="s">
        <v>945</v>
      </c>
      <c r="E8" s="293" t="s">
        <v>79</v>
      </c>
      <c r="F8" s="293" t="s">
        <v>452</v>
      </c>
      <c r="G8" s="298" t="s">
        <v>945</v>
      </c>
      <c r="H8" s="293" t="s">
        <v>79</v>
      </c>
      <c r="I8" s="293" t="s">
        <v>452</v>
      </c>
      <c r="J8" s="293" t="s">
        <v>945</v>
      </c>
      <c r="K8" s="293" t="s">
        <v>445</v>
      </c>
      <c r="L8" s="293" t="s">
        <v>449</v>
      </c>
      <c r="M8" s="293" t="s">
        <v>80</v>
      </c>
      <c r="N8" s="293" t="s">
        <v>453</v>
      </c>
      <c r="O8" s="702" t="s">
        <v>947</v>
      </c>
      <c r="P8" s="702" t="s">
        <v>948</v>
      </c>
      <c r="Q8" s="702" t="s">
        <v>949</v>
      </c>
      <c r="R8" s="702" t="s">
        <v>950</v>
      </c>
      <c r="S8" s="702" t="s">
        <v>951</v>
      </c>
      <c r="T8" s="1676"/>
    </row>
    <row r="9" spans="1:21" s="14" customFormat="1">
      <c r="B9" s="1686"/>
      <c r="C9" s="1688"/>
      <c r="D9" s="293" t="s">
        <v>81</v>
      </c>
      <c r="E9" s="293" t="s">
        <v>82</v>
      </c>
      <c r="F9" s="293" t="s">
        <v>644</v>
      </c>
      <c r="G9" s="293" t="s">
        <v>392</v>
      </c>
      <c r="H9" s="293" t="s">
        <v>410</v>
      </c>
      <c r="I9" s="293" t="s">
        <v>457</v>
      </c>
      <c r="J9" s="293" t="s">
        <v>622</v>
      </c>
      <c r="K9" s="293" t="s">
        <v>558</v>
      </c>
      <c r="L9" s="293" t="s">
        <v>559</v>
      </c>
      <c r="M9" s="293" t="s">
        <v>646</v>
      </c>
      <c r="N9" s="293" t="s">
        <v>647</v>
      </c>
      <c r="O9" s="692" t="s">
        <v>21</v>
      </c>
      <c r="P9" s="692" t="s">
        <v>21</v>
      </c>
      <c r="Q9" s="692" t="s">
        <v>21</v>
      </c>
      <c r="R9" s="692" t="s">
        <v>21</v>
      </c>
      <c r="S9" s="692" t="s">
        <v>21</v>
      </c>
      <c r="T9" s="1720"/>
    </row>
    <row r="10" spans="1:21" s="90" customFormat="1">
      <c r="B10" s="177">
        <v>1</v>
      </c>
      <c r="C10" s="161" t="s">
        <v>22</v>
      </c>
      <c r="D10" s="305"/>
      <c r="E10" s="305">
        <f>'F4.2'!$U$235</f>
        <v>14.829008506000003</v>
      </c>
      <c r="F10" s="305"/>
      <c r="G10" s="305"/>
      <c r="H10" s="305">
        <f>'F4.2'!$V$235</f>
        <v>10.833911637</v>
      </c>
      <c r="I10" s="305"/>
      <c r="J10" s="318"/>
      <c r="K10" s="305"/>
      <c r="L10" s="305"/>
      <c r="M10" s="305">
        <f>'F4.2'!$W$235</f>
        <v>164.51849636200001</v>
      </c>
      <c r="N10" s="319"/>
      <c r="O10" s="305">
        <f>'F4.2'!X$235</f>
        <v>811.30999999999983</v>
      </c>
      <c r="P10" s="305">
        <f>'F4.2'!Y$235</f>
        <v>532.60000000000014</v>
      </c>
      <c r="Q10" s="305">
        <f>'F4.2'!Z$235</f>
        <v>243</v>
      </c>
      <c r="R10" s="305">
        <f>'F4.2'!AA$235</f>
        <v>257</v>
      </c>
      <c r="S10" s="305">
        <f>'F4.2'!AB$235</f>
        <v>145</v>
      </c>
      <c r="T10" s="319"/>
      <c r="U10" s="320"/>
    </row>
    <row r="11" spans="1:21" s="90" customFormat="1">
      <c r="B11" s="177"/>
      <c r="C11" s="161"/>
      <c r="D11" s="305"/>
      <c r="E11" s="305"/>
      <c r="F11" s="305"/>
      <c r="G11" s="305"/>
      <c r="H11" s="305"/>
      <c r="I11" s="305"/>
      <c r="J11" s="318"/>
      <c r="K11" s="319"/>
      <c r="L11" s="319"/>
      <c r="M11" s="319"/>
      <c r="N11" s="319"/>
      <c r="O11" s="319"/>
      <c r="P11" s="319"/>
      <c r="Q11" s="319"/>
      <c r="R11" s="319"/>
      <c r="S11" s="319"/>
      <c r="T11" s="319"/>
      <c r="U11" s="320"/>
    </row>
    <row r="12" spans="1:21" s="90" customFormat="1">
      <c r="B12" s="177">
        <f>B10+1</f>
        <v>2</v>
      </c>
      <c r="C12" s="91" t="s">
        <v>18</v>
      </c>
      <c r="D12" s="321">
        <v>18.87</v>
      </c>
      <c r="E12" s="321">
        <f>'F5'!E31</f>
        <v>13.919354240000001</v>
      </c>
      <c r="F12" s="305">
        <f>E12-D12</f>
        <v>-4.9506457600000005</v>
      </c>
      <c r="G12" s="852">
        <v>7.8900000000000006</v>
      </c>
      <c r="H12" s="852">
        <f>'F5'!$J$31</f>
        <v>16.582873893000002</v>
      </c>
      <c r="I12" s="853">
        <f>H12-G12</f>
        <v>8.6928738930000016</v>
      </c>
      <c r="J12" s="854">
        <v>481.48</v>
      </c>
      <c r="K12" s="321">
        <v>1.25</v>
      </c>
      <c r="L12" s="321">
        <v>23.164801000000001</v>
      </c>
      <c r="M12" s="319">
        <f>K12+L12</f>
        <v>24.414801000000001</v>
      </c>
      <c r="N12" s="319">
        <f>M12-J12</f>
        <v>-457.06519900000001</v>
      </c>
      <c r="O12" s="321">
        <f>'F5 (T)'!$T$31</f>
        <v>58.91</v>
      </c>
      <c r="P12" s="321">
        <f>'F5 (T)'!$E$57</f>
        <v>277.23250000000002</v>
      </c>
      <c r="Q12" s="321">
        <f>'F5 (T)'!$J$57</f>
        <v>121.958</v>
      </c>
      <c r="R12" s="321">
        <f>'F5 (T)'!$O$57</f>
        <v>171.33333333333331</v>
      </c>
      <c r="S12" s="321">
        <f>'F5 (T)'!$T$57</f>
        <v>145</v>
      </c>
      <c r="T12" s="321"/>
      <c r="U12" s="320"/>
    </row>
    <row r="13" spans="1:21" s="90" customFormat="1">
      <c r="B13" s="177">
        <f>B12+1</f>
        <v>3</v>
      </c>
      <c r="C13" s="91" t="s">
        <v>415</v>
      </c>
      <c r="D13" s="321"/>
      <c r="E13" s="321"/>
      <c r="F13" s="305">
        <f>E13-D13</f>
        <v>0</v>
      </c>
      <c r="G13" s="321"/>
      <c r="H13" s="321"/>
      <c r="I13" s="305">
        <f>H13-G13</f>
        <v>0</v>
      </c>
      <c r="J13" s="322"/>
      <c r="K13" s="321"/>
      <c r="L13" s="321"/>
      <c r="M13" s="319">
        <f>K13+L13</f>
        <v>0</v>
      </c>
      <c r="N13" s="319">
        <f>M13-J13</f>
        <v>0</v>
      </c>
      <c r="O13" s="321"/>
      <c r="P13" s="321"/>
      <c r="Q13" s="321"/>
      <c r="R13" s="321"/>
      <c r="S13" s="321"/>
      <c r="T13" s="321"/>
      <c r="U13" s="320"/>
    </row>
    <row r="14" spans="1:21" s="92" customFormat="1">
      <c r="B14" s="177">
        <f>B13+1</f>
        <v>4</v>
      </c>
      <c r="C14" s="91" t="s">
        <v>484</v>
      </c>
      <c r="D14" s="321">
        <f>D12+D13</f>
        <v>18.87</v>
      </c>
      <c r="E14" s="321">
        <f>E12+E13</f>
        <v>13.919354240000001</v>
      </c>
      <c r="F14" s="321">
        <f t="shared" ref="F14:S14" si="0">F12+F13</f>
        <v>-4.9506457600000005</v>
      </c>
      <c r="G14" s="321">
        <f t="shared" si="0"/>
        <v>7.8900000000000006</v>
      </c>
      <c r="H14" s="321">
        <f t="shared" si="0"/>
        <v>16.582873893000002</v>
      </c>
      <c r="I14" s="321">
        <f t="shared" si="0"/>
        <v>8.6928738930000016</v>
      </c>
      <c r="J14" s="321">
        <f t="shared" si="0"/>
        <v>481.48</v>
      </c>
      <c r="K14" s="321">
        <f t="shared" si="0"/>
        <v>1.25</v>
      </c>
      <c r="L14" s="321">
        <f t="shared" si="0"/>
        <v>23.164801000000001</v>
      </c>
      <c r="M14" s="321">
        <f>M12+M13</f>
        <v>24.414801000000001</v>
      </c>
      <c r="N14" s="321">
        <f t="shared" si="0"/>
        <v>-457.06519900000001</v>
      </c>
      <c r="O14" s="321">
        <f t="shared" si="0"/>
        <v>58.91</v>
      </c>
      <c r="P14" s="321">
        <f t="shared" si="0"/>
        <v>277.23250000000002</v>
      </c>
      <c r="Q14" s="321">
        <f t="shared" si="0"/>
        <v>121.958</v>
      </c>
      <c r="R14" s="321">
        <f t="shared" si="0"/>
        <v>171.33333333333331</v>
      </c>
      <c r="S14" s="321">
        <f t="shared" si="0"/>
        <v>145</v>
      </c>
      <c r="T14" s="321"/>
      <c r="U14" s="323"/>
    </row>
    <row r="15" spans="1:21" s="873" customFormat="1">
      <c r="B15" s="1411"/>
      <c r="C15" s="1412"/>
      <c r="D15" s="1412"/>
      <c r="E15" s="1413">
        <f>'F5 (T)'!E31-E14</f>
        <v>0</v>
      </c>
      <c r="F15" s="1412"/>
      <c r="G15" s="1412"/>
      <c r="H15" s="1413">
        <f>'F5 (T)'!J31-H14</f>
        <v>0</v>
      </c>
      <c r="I15" s="1412"/>
      <c r="J15" s="1414"/>
      <c r="K15" s="1414"/>
      <c r="L15" s="1414"/>
      <c r="M15" s="1415">
        <f>'F5 (T)'!O31-M14</f>
        <v>0</v>
      </c>
      <c r="N15" s="1414"/>
      <c r="O15" s="1415">
        <f>'F5 (T)'!$T$31-O14</f>
        <v>0</v>
      </c>
      <c r="P15" s="1416">
        <f>'F5 (T)'!$E$57-P14</f>
        <v>0</v>
      </c>
      <c r="Q15" s="1416">
        <f>'F5 (T)'!$J$57-Q14</f>
        <v>0</v>
      </c>
      <c r="R15" s="1416">
        <f>'F5 (T)'!$O$57-R14</f>
        <v>0</v>
      </c>
      <c r="S15" s="1416">
        <f>'F5 (T)'!$T$57-S14</f>
        <v>0</v>
      </c>
    </row>
    <row r="16" spans="1:21" s="1" customFormat="1">
      <c r="A16" s="5"/>
      <c r="B16" s="14" t="s">
        <v>955</v>
      </c>
      <c r="K16" s="5"/>
      <c r="L16" s="5"/>
      <c r="M16" s="5"/>
      <c r="N16" s="5"/>
      <c r="O16" s="5"/>
    </row>
    <row r="17" spans="1:15" s="1" customFormat="1">
      <c r="A17" s="5"/>
      <c r="B17" s="14"/>
      <c r="C17" s="1" t="s">
        <v>603</v>
      </c>
      <c r="K17" s="5"/>
      <c r="L17" s="5"/>
      <c r="M17" s="5"/>
      <c r="N17" s="5"/>
      <c r="O17" s="5"/>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102"/>
  <sheetViews>
    <sheetView view="pageBreakPreview" zoomScale="70" zoomScaleNormal="70" zoomScaleSheetLayoutView="70" workbookViewId="0">
      <pane xSplit="2" ySplit="6" topLeftCell="K7" activePane="bottomRight" state="frozen"/>
      <selection activeCell="N10" sqref="N10"/>
      <selection pane="topRight" activeCell="N10" sqref="N10"/>
      <selection pane="bottomLeft" activeCell="N10" sqref="N10"/>
      <selection pane="bottomRight" activeCell="A2" sqref="A1:XFD1048576"/>
    </sheetView>
  </sheetViews>
  <sheetFormatPr defaultColWidth="9.1796875" defaultRowHeight="14"/>
  <cols>
    <col min="1" max="1" width="8.26953125" style="1628" customWidth="1"/>
    <col min="2" max="2" width="69.453125" style="1629" customWidth="1"/>
    <col min="3" max="3" width="15.7265625" style="1629" customWidth="1"/>
    <col min="4" max="4" width="22.1796875" style="1629" customWidth="1"/>
    <col min="5" max="5" width="15.7265625" style="1629" customWidth="1"/>
    <col min="6" max="6" width="20.26953125" style="1" bestFit="1" customWidth="1"/>
    <col min="7" max="7" width="15.54296875" style="1" customWidth="1"/>
    <col min="8" max="8" width="14.26953125" style="1" customWidth="1"/>
    <col min="9" max="13" width="15.453125" style="1" customWidth="1"/>
    <col min="14" max="14" width="18.81640625" style="1" customWidth="1"/>
    <col min="15" max="15" width="22.7265625" style="1" bestFit="1" customWidth="1"/>
    <col min="16" max="16" width="19" style="1" bestFit="1" customWidth="1"/>
    <col min="17" max="18" width="16.453125" style="1" customWidth="1"/>
    <col min="19" max="19" width="20.7265625" style="1629" bestFit="1" customWidth="1"/>
    <col min="20" max="20" width="12.7265625" style="1" customWidth="1"/>
    <col min="21" max="21" width="14" style="1" customWidth="1"/>
    <col min="22" max="24" width="12.7265625" style="1" customWidth="1"/>
    <col min="25" max="25" width="15.26953125" style="1" customWidth="1"/>
    <col min="26" max="26" width="12.54296875" style="1" customWidth="1"/>
    <col min="27" max="27" width="13.453125" style="1" customWidth="1"/>
    <col min="28" max="28" width="13.54296875" style="1" customWidth="1"/>
    <col min="29" max="16384" width="9.1796875" style="1"/>
  </cols>
  <sheetData>
    <row r="1" spans="1:23">
      <c r="C1" s="1630"/>
      <c r="D1" s="1630"/>
      <c r="E1" s="1630"/>
      <c r="F1" s="1631"/>
      <c r="G1" s="564" t="s">
        <v>1819</v>
      </c>
      <c r="H1" s="1631"/>
      <c r="I1" s="1631"/>
      <c r="J1" s="1631"/>
      <c r="K1" s="1631"/>
      <c r="L1" s="1632"/>
      <c r="M1" s="1632"/>
      <c r="N1" s="1632"/>
      <c r="O1" s="1632"/>
      <c r="P1" s="1632"/>
      <c r="Q1" s="1632"/>
      <c r="R1" s="1632"/>
      <c r="S1" s="1427"/>
    </row>
    <row r="2" spans="1:23">
      <c r="C2" s="1630"/>
      <c r="D2" s="1630"/>
      <c r="E2" s="1630"/>
      <c r="F2" s="1633"/>
      <c r="G2" s="1665" t="s">
        <v>1820</v>
      </c>
      <c r="H2" s="1633"/>
      <c r="I2" s="1633"/>
      <c r="J2" s="1633"/>
      <c r="K2" s="1633"/>
      <c r="L2" s="1634"/>
      <c r="M2" s="1634"/>
      <c r="N2" s="1634"/>
      <c r="O2" s="1634"/>
      <c r="P2" s="1634"/>
      <c r="Q2" s="1634"/>
      <c r="R2" s="1634"/>
      <c r="S2" s="1635"/>
      <c r="T2" s="871"/>
      <c r="U2" s="871"/>
      <c r="V2" s="871"/>
      <c r="W2" s="871"/>
    </row>
    <row r="3" spans="1:23" ht="17.5">
      <c r="B3" s="1636" t="s">
        <v>0</v>
      </c>
      <c r="C3" s="1431"/>
      <c r="D3" s="1431"/>
      <c r="E3" s="1431"/>
      <c r="F3" s="1494"/>
      <c r="G3" s="1637" t="s">
        <v>503</v>
      </c>
      <c r="H3" s="1494"/>
      <c r="I3" s="1494"/>
      <c r="J3" s="1494"/>
      <c r="K3" s="1494"/>
      <c r="L3" s="1638"/>
      <c r="M3" s="1638"/>
      <c r="N3" s="1638"/>
      <c r="O3" s="1638"/>
      <c r="P3" s="1638"/>
      <c r="Q3" s="1638"/>
      <c r="R3" s="1638"/>
      <c r="S3" s="1639" t="s">
        <v>10</v>
      </c>
      <c r="T3" s="871"/>
      <c r="U3" s="871"/>
      <c r="V3" s="871"/>
      <c r="W3" s="871"/>
    </row>
    <row r="4" spans="1:23" s="96" customFormat="1">
      <c r="A4" s="1820" t="s">
        <v>341</v>
      </c>
      <c r="B4" s="1821" t="s">
        <v>16</v>
      </c>
      <c r="C4" s="1821" t="s">
        <v>1</v>
      </c>
      <c r="D4" s="1821" t="s">
        <v>491</v>
      </c>
      <c r="E4" s="1821" t="s">
        <v>492</v>
      </c>
      <c r="F4" s="1719" t="s">
        <v>4</v>
      </c>
      <c r="G4" s="1719" t="s">
        <v>2</v>
      </c>
      <c r="H4" s="1719"/>
      <c r="I4" s="1719"/>
      <c r="J4" s="1719" t="s">
        <v>8</v>
      </c>
      <c r="K4" s="1719"/>
      <c r="L4" s="1719"/>
      <c r="M4" s="1719" t="s">
        <v>493</v>
      </c>
      <c r="N4" s="1719"/>
      <c r="O4" s="1719"/>
      <c r="P4" s="1719"/>
      <c r="Q4" s="1719"/>
      <c r="R4" s="1719"/>
      <c r="S4" s="1719"/>
    </row>
    <row r="5" spans="1:23" s="96" customFormat="1">
      <c r="A5" s="1820"/>
      <c r="B5" s="1821"/>
      <c r="C5" s="1821"/>
      <c r="D5" s="1821"/>
      <c r="E5" s="1821"/>
      <c r="F5" s="1719"/>
      <c r="G5" s="1721" t="s">
        <v>11</v>
      </c>
      <c r="H5" s="1721" t="s">
        <v>9</v>
      </c>
      <c r="I5" s="1721" t="s">
        <v>494</v>
      </c>
      <c r="J5" s="1721" t="s">
        <v>11</v>
      </c>
      <c r="K5" s="1721" t="s">
        <v>9</v>
      </c>
      <c r="L5" s="1721" t="s">
        <v>7</v>
      </c>
      <c r="M5" s="1721" t="s">
        <v>25</v>
      </c>
      <c r="N5" s="1719" t="s">
        <v>495</v>
      </c>
      <c r="O5" s="1819" t="s">
        <v>636</v>
      </c>
      <c r="P5" s="1819"/>
      <c r="Q5" s="1819"/>
      <c r="R5" s="1819"/>
      <c r="S5" s="1819"/>
    </row>
    <row r="6" spans="1:23" ht="28">
      <c r="A6" s="1820"/>
      <c r="B6" s="1821"/>
      <c r="C6" s="1821"/>
      <c r="D6" s="1821"/>
      <c r="E6" s="1821"/>
      <c r="F6" s="1719"/>
      <c r="G6" s="1721"/>
      <c r="H6" s="1721"/>
      <c r="I6" s="1721"/>
      <c r="J6" s="1721"/>
      <c r="K6" s="1721"/>
      <c r="L6" s="1721"/>
      <c r="M6" s="1721"/>
      <c r="N6" s="1719"/>
      <c r="O6" s="1661" t="s">
        <v>641</v>
      </c>
      <c r="P6" s="1661" t="s">
        <v>637</v>
      </c>
      <c r="Q6" s="1661" t="s">
        <v>638</v>
      </c>
      <c r="R6" s="1661" t="s">
        <v>639</v>
      </c>
      <c r="S6" s="1640" t="s">
        <v>640</v>
      </c>
    </row>
    <row r="7" spans="1:23">
      <c r="A7" s="1641"/>
      <c r="B7" s="1506"/>
      <c r="C7" s="1506"/>
      <c r="D7" s="1506"/>
      <c r="E7" s="1506"/>
      <c r="F7" s="1270"/>
      <c r="G7" s="1271"/>
      <c r="H7" s="1271"/>
      <c r="I7" s="1271"/>
      <c r="J7" s="1271"/>
      <c r="K7" s="1271"/>
      <c r="L7" s="1271"/>
      <c r="M7" s="1271"/>
      <c r="N7" s="1270"/>
      <c r="O7" s="1270"/>
      <c r="P7" s="1270"/>
      <c r="Q7" s="1270"/>
      <c r="R7" s="1270"/>
      <c r="S7" s="1506"/>
    </row>
    <row r="8" spans="1:23">
      <c r="A8" s="1642"/>
      <c r="B8" s="559" t="s">
        <v>903</v>
      </c>
      <c r="C8" s="9"/>
      <c r="D8" s="9"/>
      <c r="E8" s="9"/>
      <c r="F8" s="9"/>
      <c r="G8" s="9"/>
      <c r="H8" s="9"/>
      <c r="I8" s="9"/>
      <c r="J8" s="9"/>
      <c r="K8" s="9"/>
      <c r="L8" s="9"/>
      <c r="M8" s="9"/>
      <c r="N8" s="9"/>
      <c r="O8" s="9"/>
      <c r="P8" s="9"/>
      <c r="Q8" s="9"/>
      <c r="R8" s="9"/>
      <c r="S8" s="1643"/>
    </row>
    <row r="9" spans="1:23">
      <c r="A9" s="1642"/>
      <c r="B9" s="1437" t="s">
        <v>1499</v>
      </c>
      <c r="C9" s="9"/>
      <c r="D9" s="9"/>
      <c r="E9" s="9"/>
      <c r="F9" s="9"/>
      <c r="G9" s="9"/>
      <c r="H9" s="9"/>
      <c r="I9" s="9"/>
      <c r="J9" s="9"/>
      <c r="K9" s="9"/>
      <c r="L9" s="9"/>
      <c r="M9" s="9"/>
      <c r="N9" s="9"/>
      <c r="O9" s="9"/>
      <c r="P9" s="9"/>
      <c r="Q9" s="9"/>
      <c r="R9" s="9"/>
      <c r="S9" s="1643"/>
    </row>
    <row r="10" spans="1:23" ht="31">
      <c r="A10" s="1440">
        <v>7</v>
      </c>
      <c r="B10" s="1441" t="s">
        <v>1500</v>
      </c>
      <c r="C10" s="1644" t="s">
        <v>896</v>
      </c>
      <c r="D10" s="1645" t="s">
        <v>1501</v>
      </c>
      <c r="E10" s="1646">
        <v>42514</v>
      </c>
      <c r="F10" s="569"/>
      <c r="G10" s="1646">
        <f>E10</f>
        <v>42514</v>
      </c>
      <c r="H10" s="569"/>
      <c r="I10" s="1646" t="s">
        <v>1911</v>
      </c>
      <c r="J10" s="1646" t="s">
        <v>1911</v>
      </c>
      <c r="K10" s="569"/>
      <c r="L10" s="1646" t="s">
        <v>1911</v>
      </c>
      <c r="M10" s="1272">
        <v>0</v>
      </c>
      <c r="N10" s="1273">
        <v>0</v>
      </c>
      <c r="O10" s="569"/>
      <c r="P10" s="1274">
        <f>M10-N10</f>
        <v>0</v>
      </c>
      <c r="Q10" s="569"/>
      <c r="R10" s="569"/>
      <c r="S10" s="1647">
        <f>IF(SUM(O10:R10)=0,M10-N10,SUM(O10:R10))</f>
        <v>0</v>
      </c>
    </row>
    <row r="11" spans="1:23" ht="31">
      <c r="A11" s="1446">
        <v>7.1</v>
      </c>
      <c r="B11" s="1447" t="s">
        <v>1500</v>
      </c>
      <c r="C11" s="1648" t="s">
        <v>904</v>
      </c>
      <c r="D11" s="1648" t="s">
        <v>1501</v>
      </c>
      <c r="E11" s="1649">
        <v>42514</v>
      </c>
      <c r="F11" s="569"/>
      <c r="G11" s="1649">
        <f t="shared" ref="G11:G74" si="0">E11</f>
        <v>42514</v>
      </c>
      <c r="H11" s="569"/>
      <c r="I11" s="1649" t="s">
        <v>1502</v>
      </c>
      <c r="J11" s="1649">
        <v>43244</v>
      </c>
      <c r="K11" s="569"/>
      <c r="L11" s="1649">
        <v>43558</v>
      </c>
      <c r="M11" s="1275">
        <v>22.73</v>
      </c>
      <c r="N11" s="1273">
        <v>19.106691754</v>
      </c>
      <c r="O11" s="569"/>
      <c r="P11" s="1274">
        <f t="shared" ref="P11:P74" si="1">M11-N11</f>
        <v>3.6233082460000006</v>
      </c>
      <c r="Q11" s="569"/>
      <c r="R11" s="569"/>
      <c r="S11" s="1647">
        <f t="shared" ref="S11:S74" si="2">IF(SUM(O11:R11)=0,M11-N11,SUM(O11:R11))</f>
        <v>3.6233082460000006</v>
      </c>
    </row>
    <row r="12" spans="1:23" ht="31">
      <c r="A12" s="1446">
        <v>0</v>
      </c>
      <c r="B12" s="1447" t="s">
        <v>415</v>
      </c>
      <c r="C12" s="1648" t="s">
        <v>415</v>
      </c>
      <c r="D12" s="1650" t="s">
        <v>1501</v>
      </c>
      <c r="E12" s="1649">
        <v>42514</v>
      </c>
      <c r="F12" s="569"/>
      <c r="G12" s="1649">
        <f t="shared" si="0"/>
        <v>42514</v>
      </c>
      <c r="H12" s="569"/>
      <c r="I12" s="1649" t="s">
        <v>1911</v>
      </c>
      <c r="J12" s="1649" t="s">
        <v>1911</v>
      </c>
      <c r="K12" s="569"/>
      <c r="L12" s="1649" t="s">
        <v>1911</v>
      </c>
      <c r="M12" s="1275">
        <v>1.27</v>
      </c>
      <c r="N12" s="1273">
        <v>0</v>
      </c>
      <c r="O12" s="569"/>
      <c r="P12" s="1274">
        <f t="shared" si="1"/>
        <v>1.27</v>
      </c>
      <c r="Q12" s="569"/>
      <c r="R12" s="569"/>
      <c r="S12" s="1647">
        <f t="shared" si="2"/>
        <v>1.27</v>
      </c>
    </row>
    <row r="13" spans="1:23" ht="31">
      <c r="A13" s="1440">
        <v>8</v>
      </c>
      <c r="B13" s="1441" t="s">
        <v>912</v>
      </c>
      <c r="C13" s="1644" t="s">
        <v>896</v>
      </c>
      <c r="D13" s="1645" t="s">
        <v>913</v>
      </c>
      <c r="E13" s="1646">
        <v>42768</v>
      </c>
      <c r="F13" s="569"/>
      <c r="G13" s="1646">
        <f t="shared" si="0"/>
        <v>42768</v>
      </c>
      <c r="H13" s="569"/>
      <c r="I13" s="1646" t="s">
        <v>1911</v>
      </c>
      <c r="J13" s="1646" t="s">
        <v>1911</v>
      </c>
      <c r="K13" s="569"/>
      <c r="L13" s="1646" t="s">
        <v>1911</v>
      </c>
      <c r="M13" s="1272">
        <v>0</v>
      </c>
      <c r="N13" s="1273">
        <v>0</v>
      </c>
      <c r="O13" s="569"/>
      <c r="P13" s="1274">
        <f t="shared" si="1"/>
        <v>0</v>
      </c>
      <c r="Q13" s="569"/>
      <c r="R13" s="569"/>
      <c r="S13" s="1647">
        <f t="shared" si="2"/>
        <v>0</v>
      </c>
    </row>
    <row r="14" spans="1:23" ht="62">
      <c r="A14" s="1446">
        <v>8.1</v>
      </c>
      <c r="B14" s="1447" t="s">
        <v>914</v>
      </c>
      <c r="C14" s="1648" t="s">
        <v>904</v>
      </c>
      <c r="D14" s="1650" t="s">
        <v>913</v>
      </c>
      <c r="E14" s="1649">
        <v>42768</v>
      </c>
      <c r="F14" s="569"/>
      <c r="G14" s="1649">
        <f t="shared" si="0"/>
        <v>42768</v>
      </c>
      <c r="H14" s="569"/>
      <c r="I14" s="1649">
        <v>43262</v>
      </c>
      <c r="J14" s="1649">
        <v>43133</v>
      </c>
      <c r="K14" s="569"/>
      <c r="L14" s="1649" t="s">
        <v>1504</v>
      </c>
      <c r="M14" s="1275">
        <v>4.9504132231404956</v>
      </c>
      <c r="N14" s="1273">
        <v>4.8260800000000001</v>
      </c>
      <c r="O14" s="569"/>
      <c r="P14" s="1274">
        <f t="shared" si="1"/>
        <v>0.12433322314049544</v>
      </c>
      <c r="Q14" s="569"/>
      <c r="R14" s="569"/>
      <c r="S14" s="1647">
        <f t="shared" si="2"/>
        <v>0.12433322314049544</v>
      </c>
    </row>
    <row r="15" spans="1:23" ht="31">
      <c r="A15" s="1446">
        <v>8.1999999999999993</v>
      </c>
      <c r="B15" s="1447" t="s">
        <v>916</v>
      </c>
      <c r="C15" s="1648" t="s">
        <v>904</v>
      </c>
      <c r="D15" s="1650" t="s">
        <v>913</v>
      </c>
      <c r="E15" s="1649">
        <v>42768</v>
      </c>
      <c r="F15" s="569"/>
      <c r="G15" s="1649">
        <f t="shared" si="0"/>
        <v>42768</v>
      </c>
      <c r="H15" s="569"/>
      <c r="I15" s="1649">
        <v>42903</v>
      </c>
      <c r="J15" s="1649">
        <v>43133</v>
      </c>
      <c r="K15" s="569"/>
      <c r="L15" s="1649">
        <v>42991</v>
      </c>
      <c r="M15" s="1275">
        <v>2.5619834710743801</v>
      </c>
      <c r="N15" s="1273">
        <v>3.4747105785123966</v>
      </c>
      <c r="O15" s="569"/>
      <c r="P15" s="1274">
        <f t="shared" si="1"/>
        <v>-0.91272710743801655</v>
      </c>
      <c r="Q15" s="569"/>
      <c r="R15" s="569"/>
      <c r="S15" s="1647">
        <f t="shared" si="2"/>
        <v>-0.91272710743801655</v>
      </c>
    </row>
    <row r="16" spans="1:23" ht="31">
      <c r="A16" s="1446">
        <v>8.3000000000000007</v>
      </c>
      <c r="B16" s="1447" t="s">
        <v>918</v>
      </c>
      <c r="C16" s="1648" t="s">
        <v>904</v>
      </c>
      <c r="D16" s="1650" t="s">
        <v>913</v>
      </c>
      <c r="E16" s="1649">
        <v>42768</v>
      </c>
      <c r="F16" s="569"/>
      <c r="G16" s="1649">
        <f t="shared" si="0"/>
        <v>42768</v>
      </c>
      <c r="H16" s="569"/>
      <c r="I16" s="1649">
        <v>43121</v>
      </c>
      <c r="J16" s="1649">
        <v>43498</v>
      </c>
      <c r="K16" s="569"/>
      <c r="L16" s="1649">
        <v>43132</v>
      </c>
      <c r="M16" s="1275">
        <v>0.42975206611570249</v>
      </c>
      <c r="N16" s="1273">
        <v>0.38033057851239671</v>
      </c>
      <c r="O16" s="569"/>
      <c r="P16" s="1274">
        <f t="shared" si="1"/>
        <v>4.942148760330578E-2</v>
      </c>
      <c r="Q16" s="569"/>
      <c r="R16" s="569"/>
      <c r="S16" s="1647">
        <f t="shared" si="2"/>
        <v>4.942148760330578E-2</v>
      </c>
    </row>
    <row r="17" spans="1:19" ht="31">
      <c r="A17" s="1446">
        <v>8.4</v>
      </c>
      <c r="B17" s="1447" t="s">
        <v>920</v>
      </c>
      <c r="C17" s="1648" t="s">
        <v>904</v>
      </c>
      <c r="D17" s="1650" t="s">
        <v>913</v>
      </c>
      <c r="E17" s="1649">
        <v>42768</v>
      </c>
      <c r="F17" s="569"/>
      <c r="G17" s="1649">
        <f t="shared" si="0"/>
        <v>42768</v>
      </c>
      <c r="H17" s="569"/>
      <c r="I17" s="1649" t="s">
        <v>1911</v>
      </c>
      <c r="J17" s="1649">
        <v>43498</v>
      </c>
      <c r="K17" s="569"/>
      <c r="L17" s="1649" t="s">
        <v>1911</v>
      </c>
      <c r="M17" s="1275">
        <v>0.79338842975206614</v>
      </c>
      <c r="N17" s="1273">
        <v>0</v>
      </c>
      <c r="O17" s="569"/>
      <c r="P17" s="1274">
        <f t="shared" si="1"/>
        <v>0.79338842975206614</v>
      </c>
      <c r="Q17" s="569"/>
      <c r="R17" s="569"/>
      <c r="S17" s="1647">
        <f t="shared" si="2"/>
        <v>0.79338842975206614</v>
      </c>
    </row>
    <row r="18" spans="1:19" ht="31">
      <c r="A18" s="1446">
        <v>8.5</v>
      </c>
      <c r="B18" s="1447" t="s">
        <v>921</v>
      </c>
      <c r="C18" s="1648" t="s">
        <v>904</v>
      </c>
      <c r="D18" s="1650" t="s">
        <v>913</v>
      </c>
      <c r="E18" s="1649">
        <v>42768</v>
      </c>
      <c r="F18" s="569"/>
      <c r="G18" s="1649">
        <f t="shared" si="0"/>
        <v>42768</v>
      </c>
      <c r="H18" s="569"/>
      <c r="I18" s="1649" t="s">
        <v>1911</v>
      </c>
      <c r="J18" s="1649">
        <v>43498</v>
      </c>
      <c r="K18" s="569"/>
      <c r="L18" s="1649" t="s">
        <v>1911</v>
      </c>
      <c r="M18" s="1275">
        <v>0.53719008264462809</v>
      </c>
      <c r="N18" s="1273">
        <v>0</v>
      </c>
      <c r="O18" s="569"/>
      <c r="P18" s="1274">
        <f t="shared" si="1"/>
        <v>0.53719008264462809</v>
      </c>
      <c r="Q18" s="569"/>
      <c r="R18" s="569"/>
      <c r="S18" s="1647">
        <f t="shared" si="2"/>
        <v>0.53719008264462809</v>
      </c>
    </row>
    <row r="19" spans="1:19" ht="31">
      <c r="A19" s="1446">
        <v>8.6</v>
      </c>
      <c r="B19" s="1447" t="s">
        <v>922</v>
      </c>
      <c r="C19" s="1648" t="s">
        <v>904</v>
      </c>
      <c r="D19" s="1650" t="s">
        <v>913</v>
      </c>
      <c r="E19" s="1649">
        <v>42768</v>
      </c>
      <c r="F19" s="569"/>
      <c r="G19" s="1649">
        <f t="shared" si="0"/>
        <v>42768</v>
      </c>
      <c r="H19" s="569"/>
      <c r="I19" s="1649" t="s">
        <v>1911</v>
      </c>
      <c r="J19" s="1649">
        <v>43498</v>
      </c>
      <c r="K19" s="569"/>
      <c r="L19" s="1649" t="s">
        <v>1911</v>
      </c>
      <c r="M19" s="1275">
        <v>0.33884297520661155</v>
      </c>
      <c r="N19" s="1273">
        <v>0</v>
      </c>
      <c r="O19" s="569"/>
      <c r="P19" s="1274">
        <f t="shared" si="1"/>
        <v>0.33884297520661155</v>
      </c>
      <c r="Q19" s="569"/>
      <c r="R19" s="569"/>
      <c r="S19" s="1647">
        <f t="shared" si="2"/>
        <v>0.33884297520661155</v>
      </c>
    </row>
    <row r="20" spans="1:19" ht="31">
      <c r="A20" s="1446">
        <v>0</v>
      </c>
      <c r="B20" s="1447" t="s">
        <v>415</v>
      </c>
      <c r="C20" s="1648" t="s">
        <v>415</v>
      </c>
      <c r="D20" s="1650" t="s">
        <v>913</v>
      </c>
      <c r="E20" s="1649">
        <v>42768</v>
      </c>
      <c r="F20" s="569"/>
      <c r="G20" s="1649">
        <f t="shared" si="0"/>
        <v>42768</v>
      </c>
      <c r="H20" s="569"/>
      <c r="I20" s="1649" t="s">
        <v>1911</v>
      </c>
      <c r="J20" s="1649" t="s">
        <v>1911</v>
      </c>
      <c r="K20" s="569"/>
      <c r="L20" s="1649" t="s">
        <v>1911</v>
      </c>
      <c r="M20" s="1275">
        <v>0.35537190082644626</v>
      </c>
      <c r="N20" s="1273">
        <v>0</v>
      </c>
      <c r="O20" s="569"/>
      <c r="P20" s="1274">
        <f t="shared" si="1"/>
        <v>0.35537190082644626</v>
      </c>
      <c r="Q20" s="569"/>
      <c r="R20" s="569"/>
      <c r="S20" s="1647">
        <f t="shared" si="2"/>
        <v>0.35537190082644626</v>
      </c>
    </row>
    <row r="21" spans="1:19" ht="31">
      <c r="A21" s="1440">
        <v>9</v>
      </c>
      <c r="B21" s="1441" t="s">
        <v>1510</v>
      </c>
      <c r="C21" s="1644" t="s">
        <v>896</v>
      </c>
      <c r="D21" s="1645" t="s">
        <v>1511</v>
      </c>
      <c r="E21" s="1646">
        <v>43006</v>
      </c>
      <c r="F21" s="569"/>
      <c r="G21" s="1646">
        <f t="shared" si="0"/>
        <v>43006</v>
      </c>
      <c r="H21" s="569"/>
      <c r="I21" s="1646" t="s">
        <v>1911</v>
      </c>
      <c r="J21" s="1646" t="s">
        <v>1911</v>
      </c>
      <c r="K21" s="569"/>
      <c r="L21" s="1646" t="s">
        <v>1911</v>
      </c>
      <c r="M21" s="1272">
        <v>0</v>
      </c>
      <c r="N21" s="1273">
        <v>0</v>
      </c>
      <c r="O21" s="569"/>
      <c r="P21" s="1274">
        <f t="shared" si="1"/>
        <v>0</v>
      </c>
      <c r="Q21" s="569"/>
      <c r="R21" s="569"/>
      <c r="S21" s="1647">
        <f t="shared" si="2"/>
        <v>0</v>
      </c>
    </row>
    <row r="22" spans="1:19" ht="31">
      <c r="A22" s="1446">
        <v>9.1</v>
      </c>
      <c r="B22" s="1447" t="s">
        <v>1510</v>
      </c>
      <c r="C22" s="1648" t="s">
        <v>904</v>
      </c>
      <c r="D22" s="1650" t="s">
        <v>1511</v>
      </c>
      <c r="E22" s="1649">
        <v>43006</v>
      </c>
      <c r="F22" s="569"/>
      <c r="G22" s="1649">
        <f t="shared" si="0"/>
        <v>43006</v>
      </c>
      <c r="H22" s="569"/>
      <c r="I22" s="1649">
        <v>43035</v>
      </c>
      <c r="J22" s="1649">
        <v>43736</v>
      </c>
      <c r="K22" s="569"/>
      <c r="L22" s="1649">
        <v>43575</v>
      </c>
      <c r="M22" s="1275">
        <v>64.22</v>
      </c>
      <c r="N22" s="1273">
        <v>64.498238246301369</v>
      </c>
      <c r="O22" s="569"/>
      <c r="P22" s="1274">
        <f t="shared" si="1"/>
        <v>-0.2782382463013704</v>
      </c>
      <c r="Q22" s="569"/>
      <c r="R22" s="569"/>
      <c r="S22" s="1647">
        <f t="shared" si="2"/>
        <v>-0.2782382463013704</v>
      </c>
    </row>
    <row r="23" spans="1:19" ht="31">
      <c r="A23" s="1440">
        <v>10</v>
      </c>
      <c r="B23" s="1441" t="s">
        <v>1514</v>
      </c>
      <c r="C23" s="1644" t="s">
        <v>896</v>
      </c>
      <c r="D23" s="1645" t="s">
        <v>1515</v>
      </c>
      <c r="E23" s="1646">
        <v>43067</v>
      </c>
      <c r="F23" s="569"/>
      <c r="G23" s="1646">
        <f t="shared" si="0"/>
        <v>43067</v>
      </c>
      <c r="H23" s="569"/>
      <c r="I23" s="1646" t="s">
        <v>1911</v>
      </c>
      <c r="J23" s="1646" t="s">
        <v>1911</v>
      </c>
      <c r="K23" s="569"/>
      <c r="L23" s="1646" t="s">
        <v>1911</v>
      </c>
      <c r="M23" s="1272">
        <v>0</v>
      </c>
      <c r="N23" s="1273">
        <v>0</v>
      </c>
      <c r="O23" s="569"/>
      <c r="P23" s="1274">
        <f t="shared" si="1"/>
        <v>0</v>
      </c>
      <c r="Q23" s="569"/>
      <c r="R23" s="569"/>
      <c r="S23" s="1647">
        <f t="shared" si="2"/>
        <v>0</v>
      </c>
    </row>
    <row r="24" spans="1:19" ht="31">
      <c r="A24" s="1446">
        <v>10.1</v>
      </c>
      <c r="B24" s="1447" t="s">
        <v>1516</v>
      </c>
      <c r="C24" s="1648" t="s">
        <v>904</v>
      </c>
      <c r="D24" s="1650" t="s">
        <v>1515</v>
      </c>
      <c r="E24" s="1649">
        <v>43067</v>
      </c>
      <c r="F24" s="569"/>
      <c r="G24" s="1649">
        <f t="shared" si="0"/>
        <v>43067</v>
      </c>
      <c r="H24" s="569"/>
      <c r="I24" s="1649" t="s">
        <v>1911</v>
      </c>
      <c r="J24" s="1649">
        <v>43432</v>
      </c>
      <c r="K24" s="569"/>
      <c r="L24" s="1649" t="s">
        <v>1911</v>
      </c>
      <c r="M24" s="1275">
        <v>11.5</v>
      </c>
      <c r="N24" s="1273">
        <v>0</v>
      </c>
      <c r="O24" s="569"/>
      <c r="P24" s="1274">
        <f t="shared" si="1"/>
        <v>11.5</v>
      </c>
      <c r="Q24" s="569"/>
      <c r="R24" s="569"/>
      <c r="S24" s="1647">
        <f t="shared" si="2"/>
        <v>11.5</v>
      </c>
    </row>
    <row r="25" spans="1:19" ht="31">
      <c r="A25" s="1446">
        <v>10.199999999999999</v>
      </c>
      <c r="B25" s="1447" t="s">
        <v>1517</v>
      </c>
      <c r="C25" s="1648" t="s">
        <v>904</v>
      </c>
      <c r="D25" s="1650" t="s">
        <v>1515</v>
      </c>
      <c r="E25" s="1649">
        <v>43067</v>
      </c>
      <c r="F25" s="569"/>
      <c r="G25" s="1649">
        <f t="shared" si="0"/>
        <v>43067</v>
      </c>
      <c r="H25" s="569"/>
      <c r="I25" s="1649" t="s">
        <v>1911</v>
      </c>
      <c r="J25" s="1649">
        <v>43432</v>
      </c>
      <c r="K25" s="569"/>
      <c r="L25" s="1649" t="s">
        <v>1911</v>
      </c>
      <c r="M25" s="1275">
        <v>0.6</v>
      </c>
      <c r="N25" s="1273">
        <v>0</v>
      </c>
      <c r="O25" s="569"/>
      <c r="P25" s="1274">
        <f t="shared" si="1"/>
        <v>0.6</v>
      </c>
      <c r="Q25" s="569"/>
      <c r="R25" s="569"/>
      <c r="S25" s="1647">
        <f t="shared" si="2"/>
        <v>0.6</v>
      </c>
    </row>
    <row r="26" spans="1:19" ht="62">
      <c r="A26" s="1446">
        <v>10.3</v>
      </c>
      <c r="B26" s="1447" t="s">
        <v>1518</v>
      </c>
      <c r="C26" s="1648" t="s">
        <v>904</v>
      </c>
      <c r="D26" s="1650" t="s">
        <v>1515</v>
      </c>
      <c r="E26" s="1649">
        <v>43067</v>
      </c>
      <c r="F26" s="569"/>
      <c r="G26" s="1649">
        <f t="shared" si="0"/>
        <v>43067</v>
      </c>
      <c r="H26" s="569"/>
      <c r="I26" s="1649">
        <v>43178</v>
      </c>
      <c r="J26" s="1649">
        <v>43432</v>
      </c>
      <c r="K26" s="569"/>
      <c r="L26" s="1649">
        <v>43732</v>
      </c>
      <c r="M26" s="1275">
        <v>4.24</v>
      </c>
      <c r="N26" s="1273">
        <v>4.6696428000000001</v>
      </c>
      <c r="O26" s="569"/>
      <c r="P26" s="1274">
        <f t="shared" si="1"/>
        <v>-0.42964279999999988</v>
      </c>
      <c r="Q26" s="569"/>
      <c r="R26" s="569"/>
      <c r="S26" s="1647">
        <f t="shared" si="2"/>
        <v>-0.42964279999999988</v>
      </c>
    </row>
    <row r="27" spans="1:19" ht="31">
      <c r="A27" s="1446">
        <v>10.4</v>
      </c>
      <c r="B27" s="1447" t="s">
        <v>1521</v>
      </c>
      <c r="C27" s="1648" t="s">
        <v>904</v>
      </c>
      <c r="D27" s="1650" t="s">
        <v>1515</v>
      </c>
      <c r="E27" s="1649">
        <v>43067</v>
      </c>
      <c r="F27" s="569"/>
      <c r="G27" s="1649">
        <f t="shared" si="0"/>
        <v>43067</v>
      </c>
      <c r="H27" s="569"/>
      <c r="I27" s="1649">
        <v>43395</v>
      </c>
      <c r="J27" s="1649">
        <v>43432</v>
      </c>
      <c r="K27" s="569"/>
      <c r="L27" s="1649">
        <v>43663</v>
      </c>
      <c r="M27" s="1275">
        <v>0.95</v>
      </c>
      <c r="N27" s="1273">
        <v>0.92864275500000004</v>
      </c>
      <c r="O27" s="569"/>
      <c r="P27" s="1274">
        <f t="shared" si="1"/>
        <v>2.1357244999999914E-2</v>
      </c>
      <c r="Q27" s="569"/>
      <c r="R27" s="569"/>
      <c r="S27" s="1647">
        <f t="shared" si="2"/>
        <v>2.1357244999999914E-2</v>
      </c>
    </row>
    <row r="28" spans="1:19" ht="46.5">
      <c r="A28" s="1446">
        <v>10.5</v>
      </c>
      <c r="B28" s="1447" t="s">
        <v>1524</v>
      </c>
      <c r="C28" s="1648" t="s">
        <v>904</v>
      </c>
      <c r="D28" s="1650" t="s">
        <v>1515</v>
      </c>
      <c r="E28" s="1649">
        <v>43067</v>
      </c>
      <c r="F28" s="569"/>
      <c r="G28" s="1649">
        <f t="shared" si="0"/>
        <v>43067</v>
      </c>
      <c r="H28" s="569"/>
      <c r="I28" s="1649">
        <v>43143</v>
      </c>
      <c r="J28" s="1649">
        <v>43432</v>
      </c>
      <c r="K28" s="569"/>
      <c r="L28" s="1649">
        <v>43447</v>
      </c>
      <c r="M28" s="1275">
        <v>0.15</v>
      </c>
      <c r="N28" s="1273">
        <v>0.157884</v>
      </c>
      <c r="O28" s="569"/>
      <c r="P28" s="1274">
        <f t="shared" si="1"/>
        <v>-7.8840000000000021E-3</v>
      </c>
      <c r="Q28" s="569"/>
      <c r="R28" s="569"/>
      <c r="S28" s="1647">
        <f t="shared" si="2"/>
        <v>-7.8840000000000021E-3</v>
      </c>
    </row>
    <row r="29" spans="1:19" ht="31">
      <c r="A29" s="1446">
        <v>0</v>
      </c>
      <c r="B29" s="1447" t="s">
        <v>1527</v>
      </c>
      <c r="C29" s="1648" t="s">
        <v>415</v>
      </c>
      <c r="D29" s="1650" t="s">
        <v>1515</v>
      </c>
      <c r="E29" s="1649">
        <v>43067</v>
      </c>
      <c r="F29" s="569"/>
      <c r="G29" s="1649">
        <f t="shared" si="0"/>
        <v>43067</v>
      </c>
      <c r="H29" s="569"/>
      <c r="I29" s="1649" t="s">
        <v>1911</v>
      </c>
      <c r="J29" s="1649" t="s">
        <v>1911</v>
      </c>
      <c r="K29" s="569"/>
      <c r="L29" s="1649" t="s">
        <v>1911</v>
      </c>
      <c r="M29" s="1275">
        <v>0</v>
      </c>
      <c r="N29" s="1273">
        <v>0</v>
      </c>
      <c r="O29" s="569"/>
      <c r="P29" s="1274">
        <f t="shared" si="1"/>
        <v>0</v>
      </c>
      <c r="Q29" s="569"/>
      <c r="R29" s="569"/>
      <c r="S29" s="1647">
        <f t="shared" si="2"/>
        <v>0</v>
      </c>
    </row>
    <row r="30" spans="1:19" ht="31">
      <c r="A30" s="1440">
        <v>11</v>
      </c>
      <c r="B30" s="1441" t="s">
        <v>1904</v>
      </c>
      <c r="C30" s="1644" t="s">
        <v>896</v>
      </c>
      <c r="D30" s="1645" t="s">
        <v>1529</v>
      </c>
      <c r="E30" s="1646">
        <v>43143</v>
      </c>
      <c r="F30" s="569"/>
      <c r="G30" s="1646">
        <f t="shared" si="0"/>
        <v>43143</v>
      </c>
      <c r="H30" s="569"/>
      <c r="I30" s="1646" t="s">
        <v>1911</v>
      </c>
      <c r="J30" s="1646" t="s">
        <v>1911</v>
      </c>
      <c r="K30" s="569"/>
      <c r="L30" s="1646" t="s">
        <v>1911</v>
      </c>
      <c r="M30" s="1272">
        <v>0</v>
      </c>
      <c r="N30" s="1273">
        <v>0</v>
      </c>
      <c r="O30" s="569"/>
      <c r="P30" s="1274">
        <f t="shared" si="1"/>
        <v>0</v>
      </c>
      <c r="Q30" s="569"/>
      <c r="R30" s="569"/>
      <c r="S30" s="1647">
        <f t="shared" si="2"/>
        <v>0</v>
      </c>
    </row>
    <row r="31" spans="1:19" ht="77.5">
      <c r="A31" s="1446">
        <v>11.1</v>
      </c>
      <c r="B31" s="1447" t="s">
        <v>1530</v>
      </c>
      <c r="C31" s="1648" t="s">
        <v>904</v>
      </c>
      <c r="D31" s="1650" t="s">
        <v>1529</v>
      </c>
      <c r="E31" s="1649">
        <v>43143</v>
      </c>
      <c r="F31" s="569"/>
      <c r="G31" s="1649">
        <f t="shared" si="0"/>
        <v>43143</v>
      </c>
      <c r="H31" s="569"/>
      <c r="I31" s="1649" t="s">
        <v>1531</v>
      </c>
      <c r="J31" s="1649" t="s">
        <v>1532</v>
      </c>
      <c r="K31" s="569"/>
      <c r="L31" s="1649" t="s">
        <v>1533</v>
      </c>
      <c r="M31" s="1275">
        <v>7.0209999999999999</v>
      </c>
      <c r="N31" s="1273">
        <v>5.45837182</v>
      </c>
      <c r="O31" s="569"/>
      <c r="P31" s="1274">
        <f t="shared" si="1"/>
        <v>1.5626281799999999</v>
      </c>
      <c r="Q31" s="569"/>
      <c r="R31" s="569"/>
      <c r="S31" s="1647">
        <f t="shared" si="2"/>
        <v>1.5626281799999999</v>
      </c>
    </row>
    <row r="32" spans="1:19" ht="31">
      <c r="A32" s="1446">
        <v>11.2</v>
      </c>
      <c r="B32" s="1447" t="s">
        <v>1535</v>
      </c>
      <c r="C32" s="1648" t="s">
        <v>904</v>
      </c>
      <c r="D32" s="1650" t="s">
        <v>1529</v>
      </c>
      <c r="E32" s="1649">
        <v>43143</v>
      </c>
      <c r="F32" s="569"/>
      <c r="G32" s="1649">
        <f t="shared" si="0"/>
        <v>43143</v>
      </c>
      <c r="H32" s="569"/>
      <c r="I32" s="1649" t="s">
        <v>1536</v>
      </c>
      <c r="J32" s="1649" t="s">
        <v>1537</v>
      </c>
      <c r="K32" s="569"/>
      <c r="L32" s="1649" t="s">
        <v>1538</v>
      </c>
      <c r="M32" s="1275">
        <v>3.85</v>
      </c>
      <c r="N32" s="1273">
        <v>3.2500731940000001</v>
      </c>
      <c r="O32" s="569"/>
      <c r="P32" s="1274">
        <f t="shared" si="1"/>
        <v>0.59992680600000003</v>
      </c>
      <c r="Q32" s="569"/>
      <c r="R32" s="569"/>
      <c r="S32" s="1647">
        <f t="shared" si="2"/>
        <v>0.59992680600000003</v>
      </c>
    </row>
    <row r="33" spans="1:19" ht="77.5">
      <c r="A33" s="1446">
        <v>11.3</v>
      </c>
      <c r="B33" s="1447" t="s">
        <v>1540</v>
      </c>
      <c r="C33" s="1648" t="s">
        <v>904</v>
      </c>
      <c r="D33" s="1650" t="s">
        <v>1529</v>
      </c>
      <c r="E33" s="1649">
        <v>43143</v>
      </c>
      <c r="F33" s="569"/>
      <c r="G33" s="1649">
        <f t="shared" si="0"/>
        <v>43143</v>
      </c>
      <c r="H33" s="569"/>
      <c r="I33" s="1649" t="s">
        <v>1541</v>
      </c>
      <c r="J33" s="1649" t="s">
        <v>1542</v>
      </c>
      <c r="K33" s="569"/>
      <c r="L33" s="1649" t="s">
        <v>1543</v>
      </c>
      <c r="M33" s="1275">
        <v>7.3</v>
      </c>
      <c r="N33" s="1273">
        <v>5.8360794</v>
      </c>
      <c r="O33" s="569"/>
      <c r="P33" s="1274">
        <f t="shared" si="1"/>
        <v>1.4639205999999998</v>
      </c>
      <c r="Q33" s="569"/>
      <c r="R33" s="569"/>
      <c r="S33" s="1647">
        <f t="shared" si="2"/>
        <v>1.4639205999999998</v>
      </c>
    </row>
    <row r="34" spans="1:19" ht="31">
      <c r="A34" s="1446">
        <v>11.4</v>
      </c>
      <c r="B34" s="1447" t="s">
        <v>1545</v>
      </c>
      <c r="C34" s="1648" t="s">
        <v>904</v>
      </c>
      <c r="D34" s="1650" t="s">
        <v>1529</v>
      </c>
      <c r="E34" s="1649">
        <v>43143</v>
      </c>
      <c r="F34" s="569"/>
      <c r="G34" s="1649">
        <f t="shared" si="0"/>
        <v>43143</v>
      </c>
      <c r="H34" s="569"/>
      <c r="I34" s="1649">
        <v>43367</v>
      </c>
      <c r="J34" s="1649">
        <v>43640</v>
      </c>
      <c r="K34" s="569"/>
      <c r="L34" s="1649">
        <v>43464</v>
      </c>
      <c r="M34" s="1275">
        <v>1.1631259999999999</v>
      </c>
      <c r="N34" s="1273">
        <v>0.91823160000000004</v>
      </c>
      <c r="O34" s="569"/>
      <c r="P34" s="1274">
        <f t="shared" si="1"/>
        <v>0.24489439999999985</v>
      </c>
      <c r="Q34" s="569"/>
      <c r="R34" s="569"/>
      <c r="S34" s="1647">
        <f t="shared" si="2"/>
        <v>0.24489439999999985</v>
      </c>
    </row>
    <row r="35" spans="1:19" ht="46.5">
      <c r="A35" s="1526">
        <v>12</v>
      </c>
      <c r="B35" s="1527" t="s">
        <v>1547</v>
      </c>
      <c r="C35" s="1442" t="s">
        <v>896</v>
      </c>
      <c r="D35" s="1576" t="s">
        <v>1548</v>
      </c>
      <c r="E35" s="1651">
        <v>43559</v>
      </c>
      <c r="F35" s="560"/>
      <c r="G35" s="1651">
        <f t="shared" si="0"/>
        <v>43559</v>
      </c>
      <c r="H35" s="560"/>
      <c r="I35" s="1651" t="s">
        <v>1911</v>
      </c>
      <c r="J35" s="1651" t="s">
        <v>1911</v>
      </c>
      <c r="K35" s="560"/>
      <c r="L35" s="1651" t="s">
        <v>1911</v>
      </c>
      <c r="M35" s="1276">
        <v>0</v>
      </c>
      <c r="N35" s="1273">
        <v>0</v>
      </c>
      <c r="O35" s="560"/>
      <c r="P35" s="1277">
        <f t="shared" si="1"/>
        <v>0</v>
      </c>
      <c r="Q35" s="560"/>
      <c r="R35" s="560"/>
      <c r="S35" s="1652">
        <f t="shared" si="2"/>
        <v>0</v>
      </c>
    </row>
    <row r="36" spans="1:19" ht="46.5">
      <c r="A36" s="1448">
        <v>12.1</v>
      </c>
      <c r="B36" s="1449" t="s">
        <v>1549</v>
      </c>
      <c r="C36" s="1579" t="s">
        <v>904</v>
      </c>
      <c r="D36" s="1472" t="s">
        <v>1548</v>
      </c>
      <c r="E36" s="1653">
        <v>43559</v>
      </c>
      <c r="F36" s="560"/>
      <c r="G36" s="1653">
        <f t="shared" si="0"/>
        <v>43559</v>
      </c>
      <c r="H36" s="560"/>
      <c r="I36" s="1653" t="s">
        <v>1911</v>
      </c>
      <c r="J36" s="1653">
        <v>43925</v>
      </c>
      <c r="K36" s="560"/>
      <c r="L36" s="1653" t="s">
        <v>1911</v>
      </c>
      <c r="M36" s="879">
        <v>7.2569999999999997</v>
      </c>
      <c r="N36" s="1273">
        <v>0</v>
      </c>
      <c r="O36" s="560"/>
      <c r="P36" s="1277">
        <f t="shared" si="1"/>
        <v>7.2569999999999997</v>
      </c>
      <c r="Q36" s="560"/>
      <c r="R36" s="560"/>
      <c r="S36" s="1652">
        <f t="shared" si="2"/>
        <v>7.2569999999999997</v>
      </c>
    </row>
    <row r="37" spans="1:19" ht="46.5">
      <c r="A37" s="1448">
        <v>12.2</v>
      </c>
      <c r="B37" s="1449" t="s">
        <v>1551</v>
      </c>
      <c r="C37" s="1579" t="s">
        <v>904</v>
      </c>
      <c r="D37" s="1472" t="s">
        <v>1548</v>
      </c>
      <c r="E37" s="1653">
        <v>43559</v>
      </c>
      <c r="F37" s="560"/>
      <c r="G37" s="1653">
        <f t="shared" si="0"/>
        <v>43559</v>
      </c>
      <c r="H37" s="560"/>
      <c r="I37" s="1653" t="s">
        <v>1552</v>
      </c>
      <c r="J37" s="1653">
        <v>43925</v>
      </c>
      <c r="K37" s="560"/>
      <c r="L37" s="1653" t="s">
        <v>1553</v>
      </c>
      <c r="M37" s="879">
        <v>4.22</v>
      </c>
      <c r="N37" s="1273">
        <v>3.8304708600000001</v>
      </c>
      <c r="O37" s="560"/>
      <c r="P37" s="1277">
        <f t="shared" si="1"/>
        <v>0.38952913999999961</v>
      </c>
      <c r="Q37" s="560"/>
      <c r="R37" s="560"/>
      <c r="S37" s="1652">
        <f t="shared" si="2"/>
        <v>0.38952913999999961</v>
      </c>
    </row>
    <row r="38" spans="1:19" ht="31">
      <c r="A38" s="1648">
        <v>12.3</v>
      </c>
      <c r="B38" s="1454" t="s">
        <v>1556</v>
      </c>
      <c r="C38" s="1648" t="s">
        <v>904</v>
      </c>
      <c r="D38" s="1650" t="s">
        <v>1548</v>
      </c>
      <c r="E38" s="1649">
        <v>43559</v>
      </c>
      <c r="F38" s="569"/>
      <c r="G38" s="1649">
        <f t="shared" si="0"/>
        <v>43559</v>
      </c>
      <c r="H38" s="569"/>
      <c r="I38" s="1649">
        <v>43708</v>
      </c>
      <c r="J38" s="1649">
        <v>43925</v>
      </c>
      <c r="K38" s="569"/>
      <c r="L38" s="1649">
        <v>44648</v>
      </c>
      <c r="M38" s="1275">
        <v>1.6401999999999999</v>
      </c>
      <c r="N38" s="1273">
        <v>0.27</v>
      </c>
      <c r="O38" s="569"/>
      <c r="P38" s="1274">
        <f t="shared" si="1"/>
        <v>1.3701999999999999</v>
      </c>
      <c r="Q38" s="569"/>
      <c r="R38" s="569"/>
      <c r="S38" s="1647">
        <f t="shared" si="2"/>
        <v>1.3701999999999999</v>
      </c>
    </row>
    <row r="39" spans="1:19" ht="31">
      <c r="A39" s="1448">
        <v>0</v>
      </c>
      <c r="B39" s="1449" t="s">
        <v>415</v>
      </c>
      <c r="C39" s="1579" t="s">
        <v>415</v>
      </c>
      <c r="D39" s="1472" t="s">
        <v>1548</v>
      </c>
      <c r="E39" s="1653">
        <v>43559</v>
      </c>
      <c r="F39" s="560"/>
      <c r="G39" s="1653">
        <f t="shared" si="0"/>
        <v>43559</v>
      </c>
      <c r="H39" s="560"/>
      <c r="I39" s="1653" t="s">
        <v>1911</v>
      </c>
      <c r="J39" s="1653" t="s">
        <v>1911</v>
      </c>
      <c r="K39" s="560"/>
      <c r="L39" s="1653" t="s">
        <v>1911</v>
      </c>
      <c r="M39" s="879">
        <v>0</v>
      </c>
      <c r="N39" s="1273">
        <v>0.14917520000000001</v>
      </c>
      <c r="O39" s="560"/>
      <c r="P39" s="1277">
        <f t="shared" si="1"/>
        <v>-0.14917520000000001</v>
      </c>
      <c r="Q39" s="560"/>
      <c r="R39" s="560"/>
      <c r="S39" s="1652">
        <f t="shared" si="2"/>
        <v>-0.14917520000000001</v>
      </c>
    </row>
    <row r="40" spans="1:19" ht="46.5">
      <c r="A40" s="1644">
        <v>13</v>
      </c>
      <c r="B40" s="1645" t="s">
        <v>1560</v>
      </c>
      <c r="C40" s="1644" t="s">
        <v>896</v>
      </c>
      <c r="D40" s="1645" t="s">
        <v>1561</v>
      </c>
      <c r="E40" s="1646">
        <v>43322</v>
      </c>
      <c r="F40" s="569"/>
      <c r="G40" s="1646">
        <f t="shared" si="0"/>
        <v>43322</v>
      </c>
      <c r="H40" s="569"/>
      <c r="I40" s="1646" t="s">
        <v>1911</v>
      </c>
      <c r="J40" s="1646" t="s">
        <v>1911</v>
      </c>
      <c r="K40" s="569"/>
      <c r="L40" s="1646" t="s">
        <v>1911</v>
      </c>
      <c r="M40" s="1272">
        <v>0</v>
      </c>
      <c r="N40" s="1273">
        <v>0</v>
      </c>
      <c r="O40" s="569"/>
      <c r="P40" s="1274">
        <f t="shared" si="1"/>
        <v>0</v>
      </c>
      <c r="Q40" s="569"/>
      <c r="R40" s="569"/>
      <c r="S40" s="1647">
        <f t="shared" si="2"/>
        <v>0</v>
      </c>
    </row>
    <row r="41" spans="1:19" ht="46.5">
      <c r="A41" s="1648">
        <v>13.1</v>
      </c>
      <c r="B41" s="1454" t="s">
        <v>1562</v>
      </c>
      <c r="C41" s="1648" t="s">
        <v>904</v>
      </c>
      <c r="D41" s="1650" t="s">
        <v>1561</v>
      </c>
      <c r="E41" s="1649">
        <v>43322</v>
      </c>
      <c r="F41" s="569"/>
      <c r="G41" s="1649">
        <f t="shared" si="0"/>
        <v>43322</v>
      </c>
      <c r="H41" s="569"/>
      <c r="I41" s="1649">
        <v>43395</v>
      </c>
      <c r="J41" s="1649">
        <v>43687</v>
      </c>
      <c r="K41" s="569"/>
      <c r="L41" s="1649">
        <v>43735</v>
      </c>
      <c r="M41" s="1275">
        <v>5.7949999999999999</v>
      </c>
      <c r="N41" s="1273">
        <v>6.3739579500000003</v>
      </c>
      <c r="O41" s="569"/>
      <c r="P41" s="1274">
        <f t="shared" si="1"/>
        <v>-0.57895795000000039</v>
      </c>
      <c r="Q41" s="569"/>
      <c r="R41" s="569"/>
      <c r="S41" s="1647">
        <f t="shared" si="2"/>
        <v>-0.57895795000000039</v>
      </c>
    </row>
    <row r="42" spans="1:19" ht="46.5">
      <c r="A42" s="1648">
        <v>13.2</v>
      </c>
      <c r="B42" s="1454" t="s">
        <v>1565</v>
      </c>
      <c r="C42" s="1648" t="s">
        <v>904</v>
      </c>
      <c r="D42" s="1650" t="s">
        <v>1561</v>
      </c>
      <c r="E42" s="1649">
        <v>43322</v>
      </c>
      <c r="F42" s="569"/>
      <c r="G42" s="1649">
        <f t="shared" si="0"/>
        <v>43322</v>
      </c>
      <c r="H42" s="569"/>
      <c r="I42" s="1649">
        <v>43522</v>
      </c>
      <c r="J42" s="1649">
        <v>43687</v>
      </c>
      <c r="K42" s="569"/>
      <c r="L42" s="1649">
        <v>44604</v>
      </c>
      <c r="M42" s="1275">
        <v>5.7949999999999999</v>
      </c>
      <c r="N42" s="1273">
        <v>6.3227326000000001</v>
      </c>
      <c r="O42" s="569"/>
      <c r="P42" s="1274">
        <f t="shared" si="1"/>
        <v>-0.52773260000000022</v>
      </c>
      <c r="Q42" s="569"/>
      <c r="R42" s="569"/>
      <c r="S42" s="1647">
        <f t="shared" si="2"/>
        <v>-0.52773260000000022</v>
      </c>
    </row>
    <row r="43" spans="1:19" ht="31">
      <c r="A43" s="1644">
        <v>15</v>
      </c>
      <c r="B43" s="1645" t="s">
        <v>1568</v>
      </c>
      <c r="C43" s="1644" t="s">
        <v>896</v>
      </c>
      <c r="D43" s="1645" t="s">
        <v>1569</v>
      </c>
      <c r="E43" s="1646">
        <v>44232</v>
      </c>
      <c r="F43" s="569"/>
      <c r="G43" s="1646">
        <f t="shared" si="0"/>
        <v>44232</v>
      </c>
      <c r="H43" s="569"/>
      <c r="I43" s="1646" t="s">
        <v>1911</v>
      </c>
      <c r="J43" s="1646" t="s">
        <v>1911</v>
      </c>
      <c r="K43" s="569"/>
      <c r="L43" s="1646" t="s">
        <v>1911</v>
      </c>
      <c r="M43" s="1275">
        <v>0</v>
      </c>
      <c r="N43" s="1273">
        <v>0</v>
      </c>
      <c r="O43" s="569"/>
      <c r="P43" s="1274">
        <f t="shared" si="1"/>
        <v>0</v>
      </c>
      <c r="Q43" s="569"/>
      <c r="R43" s="569"/>
      <c r="S43" s="1647">
        <f t="shared" si="2"/>
        <v>0</v>
      </c>
    </row>
    <row r="44" spans="1:19" ht="31">
      <c r="A44" s="1545">
        <v>15.1</v>
      </c>
      <c r="B44" s="1546" t="s">
        <v>1570</v>
      </c>
      <c r="C44" s="1545" t="s">
        <v>904</v>
      </c>
      <c r="D44" s="1475" t="s">
        <v>1569</v>
      </c>
      <c r="E44" s="1653">
        <v>44232</v>
      </c>
      <c r="F44" s="560"/>
      <c r="G44" s="1653">
        <f t="shared" si="0"/>
        <v>44232</v>
      </c>
      <c r="H44" s="560"/>
      <c r="I44" s="1653" t="s">
        <v>1911</v>
      </c>
      <c r="J44" s="1653" t="s">
        <v>1911</v>
      </c>
      <c r="K44" s="560"/>
      <c r="L44" s="1653" t="s">
        <v>1911</v>
      </c>
      <c r="M44" s="879">
        <v>830.4</v>
      </c>
      <c r="N44" s="1273">
        <v>0</v>
      </c>
      <c r="O44" s="560"/>
      <c r="P44" s="1277">
        <f t="shared" si="1"/>
        <v>830.4</v>
      </c>
      <c r="Q44" s="560"/>
      <c r="R44" s="560"/>
      <c r="S44" s="1652">
        <f t="shared" si="2"/>
        <v>830.4</v>
      </c>
    </row>
    <row r="45" spans="1:19" ht="31">
      <c r="A45" s="1654">
        <v>0</v>
      </c>
      <c r="B45" s="1655" t="s">
        <v>415</v>
      </c>
      <c r="C45" s="1654" t="s">
        <v>415</v>
      </c>
      <c r="D45" s="1656" t="s">
        <v>1569</v>
      </c>
      <c r="E45" s="1649">
        <v>44232</v>
      </c>
      <c r="F45" s="569"/>
      <c r="G45" s="1649">
        <f t="shared" si="0"/>
        <v>44232</v>
      </c>
      <c r="H45" s="569"/>
      <c r="I45" s="1649" t="s">
        <v>1911</v>
      </c>
      <c r="J45" s="1649" t="s">
        <v>1911</v>
      </c>
      <c r="K45" s="569"/>
      <c r="L45" s="1649" t="s">
        <v>1911</v>
      </c>
      <c r="M45" s="1275">
        <v>39.1</v>
      </c>
      <c r="N45" s="1273">
        <v>0</v>
      </c>
      <c r="O45" s="569"/>
      <c r="P45" s="1274">
        <f t="shared" si="1"/>
        <v>39.1</v>
      </c>
      <c r="Q45" s="569"/>
      <c r="R45" s="569"/>
      <c r="S45" s="1647">
        <f t="shared" si="2"/>
        <v>39.1</v>
      </c>
    </row>
    <row r="46" spans="1:19" ht="31">
      <c r="A46" s="1644">
        <v>16</v>
      </c>
      <c r="B46" s="1645" t="s">
        <v>1573</v>
      </c>
      <c r="C46" s="1644" t="s">
        <v>896</v>
      </c>
      <c r="D46" s="1645" t="s">
        <v>1574</v>
      </c>
      <c r="E46" s="1646">
        <v>44263</v>
      </c>
      <c r="F46" s="569"/>
      <c r="G46" s="1646">
        <f t="shared" si="0"/>
        <v>44263</v>
      </c>
      <c r="H46" s="569"/>
      <c r="I46" s="1646" t="s">
        <v>1911</v>
      </c>
      <c r="J46" s="1646" t="s">
        <v>1911</v>
      </c>
      <c r="K46" s="569"/>
      <c r="L46" s="1646" t="s">
        <v>1911</v>
      </c>
      <c r="M46" s="1275">
        <v>0</v>
      </c>
      <c r="N46" s="1273">
        <v>0</v>
      </c>
      <c r="O46" s="569"/>
      <c r="P46" s="1274">
        <f t="shared" si="1"/>
        <v>0</v>
      </c>
      <c r="Q46" s="569"/>
      <c r="R46" s="569"/>
      <c r="S46" s="1647">
        <f t="shared" si="2"/>
        <v>0</v>
      </c>
    </row>
    <row r="47" spans="1:19" ht="31">
      <c r="A47" s="1545">
        <v>16.100000000000001</v>
      </c>
      <c r="B47" s="1556" t="s">
        <v>1575</v>
      </c>
      <c r="C47" s="1545" t="s">
        <v>904</v>
      </c>
      <c r="D47" s="1475" t="s">
        <v>1574</v>
      </c>
      <c r="E47" s="1653">
        <v>44263</v>
      </c>
      <c r="F47" s="560"/>
      <c r="G47" s="1653">
        <f t="shared" si="0"/>
        <v>44263</v>
      </c>
      <c r="H47" s="560"/>
      <c r="I47" s="1653">
        <v>44495</v>
      </c>
      <c r="J47" s="1653">
        <v>45177</v>
      </c>
      <c r="K47" s="560"/>
      <c r="L47" s="1653" t="s">
        <v>1911</v>
      </c>
      <c r="M47" s="879">
        <v>3.84</v>
      </c>
      <c r="N47" s="1273">
        <v>2.2399997760000003</v>
      </c>
      <c r="O47" s="560"/>
      <c r="P47" s="1277">
        <f t="shared" si="1"/>
        <v>1.6000002239999995</v>
      </c>
      <c r="Q47" s="560"/>
      <c r="R47" s="560"/>
      <c r="S47" s="1652">
        <f t="shared" si="2"/>
        <v>1.6000002239999995</v>
      </c>
    </row>
    <row r="48" spans="1:19" ht="31">
      <c r="A48" s="1654">
        <v>16.2</v>
      </c>
      <c r="B48" s="1655" t="s">
        <v>1578</v>
      </c>
      <c r="C48" s="1654" t="s">
        <v>904</v>
      </c>
      <c r="D48" s="1656" t="s">
        <v>1574</v>
      </c>
      <c r="E48" s="1649">
        <v>44263</v>
      </c>
      <c r="F48" s="569"/>
      <c r="G48" s="1649">
        <f t="shared" si="0"/>
        <v>44263</v>
      </c>
      <c r="H48" s="569"/>
      <c r="I48" s="1649">
        <v>44393</v>
      </c>
      <c r="J48" s="1649">
        <v>45177</v>
      </c>
      <c r="K48" s="569"/>
      <c r="L48" s="1649">
        <v>44641</v>
      </c>
      <c r="M48" s="1275">
        <v>6.46</v>
      </c>
      <c r="N48" s="1273">
        <v>7.6135872999999998</v>
      </c>
      <c r="O48" s="569"/>
      <c r="P48" s="1274">
        <f t="shared" si="1"/>
        <v>-1.1535872999999999</v>
      </c>
      <c r="Q48" s="569"/>
      <c r="R48" s="569"/>
      <c r="S48" s="1647">
        <f t="shared" si="2"/>
        <v>-1.1535872999999999</v>
      </c>
    </row>
    <row r="49" spans="1:20" ht="31">
      <c r="A49" s="1654">
        <v>0</v>
      </c>
      <c r="B49" s="1655" t="s">
        <v>415</v>
      </c>
      <c r="C49" s="1654" t="s">
        <v>415</v>
      </c>
      <c r="D49" s="1656" t="s">
        <v>1574</v>
      </c>
      <c r="E49" s="1649">
        <v>44263</v>
      </c>
      <c r="F49" s="569"/>
      <c r="G49" s="1649">
        <f t="shared" si="0"/>
        <v>44263</v>
      </c>
      <c r="H49" s="569"/>
      <c r="I49" s="1649" t="s">
        <v>1911</v>
      </c>
      <c r="J49" s="1649" t="s">
        <v>1911</v>
      </c>
      <c r="K49" s="569"/>
      <c r="L49" s="1649" t="s">
        <v>1911</v>
      </c>
      <c r="M49" s="1275">
        <v>0.22</v>
      </c>
      <c r="N49" s="1273">
        <v>0</v>
      </c>
      <c r="O49" s="569"/>
      <c r="P49" s="1274">
        <f t="shared" si="1"/>
        <v>0.22</v>
      </c>
      <c r="Q49" s="569"/>
      <c r="R49" s="569"/>
      <c r="S49" s="1647">
        <f t="shared" si="2"/>
        <v>0.22</v>
      </c>
    </row>
    <row r="50" spans="1:20" ht="31">
      <c r="A50" s="1644">
        <v>17</v>
      </c>
      <c r="B50" s="1645" t="s">
        <v>1581</v>
      </c>
      <c r="C50" s="1644" t="s">
        <v>896</v>
      </c>
      <c r="D50" s="1645" t="s">
        <v>1582</v>
      </c>
      <c r="E50" s="1646">
        <v>44357</v>
      </c>
      <c r="F50" s="569"/>
      <c r="G50" s="1646">
        <f t="shared" si="0"/>
        <v>44357</v>
      </c>
      <c r="H50" s="569"/>
      <c r="I50" s="1646" t="s">
        <v>1911</v>
      </c>
      <c r="J50" s="1646" t="s">
        <v>1911</v>
      </c>
      <c r="K50" s="569"/>
      <c r="L50" s="1646" t="s">
        <v>1911</v>
      </c>
      <c r="M50" s="1275">
        <v>0</v>
      </c>
      <c r="N50" s="1273">
        <v>0</v>
      </c>
      <c r="O50" s="569"/>
      <c r="P50" s="1274">
        <f t="shared" si="1"/>
        <v>0</v>
      </c>
      <c r="Q50" s="569"/>
      <c r="R50" s="569"/>
      <c r="S50" s="1647">
        <f t="shared" si="2"/>
        <v>0</v>
      </c>
    </row>
    <row r="51" spans="1:20" ht="93">
      <c r="A51" s="1545">
        <v>17.100000000000001</v>
      </c>
      <c r="B51" s="1556" t="s">
        <v>1583</v>
      </c>
      <c r="C51" s="1545" t="s">
        <v>904</v>
      </c>
      <c r="D51" s="1475" t="s">
        <v>1582</v>
      </c>
      <c r="E51" s="1653">
        <v>44357</v>
      </c>
      <c r="F51" s="560"/>
      <c r="G51" s="1653">
        <f t="shared" si="0"/>
        <v>44357</v>
      </c>
      <c r="H51" s="560"/>
      <c r="I51" s="1653" t="s">
        <v>1584</v>
      </c>
      <c r="J51" s="1653">
        <v>44722</v>
      </c>
      <c r="K51" s="560"/>
      <c r="L51" s="1653" t="s">
        <v>1911</v>
      </c>
      <c r="M51" s="879">
        <v>4.67</v>
      </c>
      <c r="N51" s="1273">
        <v>4.6492000000000004</v>
      </c>
      <c r="O51" s="560"/>
      <c r="P51" s="1277">
        <f t="shared" si="1"/>
        <v>2.0799999999999486E-2</v>
      </c>
      <c r="Q51" s="560"/>
      <c r="R51" s="560"/>
      <c r="S51" s="1652">
        <f t="shared" si="2"/>
        <v>2.0799999999999486E-2</v>
      </c>
    </row>
    <row r="52" spans="1:20" ht="46.5">
      <c r="A52" s="1545">
        <v>17.2</v>
      </c>
      <c r="B52" s="1556" t="s">
        <v>1587</v>
      </c>
      <c r="C52" s="1545" t="s">
        <v>904</v>
      </c>
      <c r="D52" s="1475" t="s">
        <v>1582</v>
      </c>
      <c r="E52" s="1653">
        <v>44357</v>
      </c>
      <c r="F52" s="560"/>
      <c r="G52" s="1653">
        <f t="shared" si="0"/>
        <v>44357</v>
      </c>
      <c r="H52" s="560"/>
      <c r="I52" s="1653">
        <v>45012</v>
      </c>
      <c r="J52" s="1653">
        <v>44722</v>
      </c>
      <c r="K52" s="560"/>
      <c r="L52" s="1653">
        <v>45342</v>
      </c>
      <c r="M52" s="879">
        <v>3.53</v>
      </c>
      <c r="N52" s="1273">
        <v>3.9647536259999998</v>
      </c>
      <c r="O52" s="560"/>
      <c r="P52" s="1277">
        <f t="shared" si="1"/>
        <v>-0.434753626</v>
      </c>
      <c r="Q52" s="560"/>
      <c r="R52" s="560"/>
      <c r="S52" s="1652">
        <f t="shared" si="2"/>
        <v>-0.434753626</v>
      </c>
      <c r="T52" s="1657" t="s">
        <v>1496</v>
      </c>
    </row>
    <row r="53" spans="1:20" ht="46.5">
      <c r="A53" s="1545">
        <v>17.3</v>
      </c>
      <c r="B53" s="1556" t="s">
        <v>1590</v>
      </c>
      <c r="C53" s="1545" t="s">
        <v>904</v>
      </c>
      <c r="D53" s="1475" t="s">
        <v>1582</v>
      </c>
      <c r="E53" s="1653">
        <v>44357</v>
      </c>
      <c r="F53" s="560"/>
      <c r="G53" s="1653">
        <f t="shared" si="0"/>
        <v>44357</v>
      </c>
      <c r="H53" s="560"/>
      <c r="I53" s="1653" t="s">
        <v>1911</v>
      </c>
      <c r="J53" s="1653">
        <v>44722</v>
      </c>
      <c r="K53" s="560"/>
      <c r="L53" s="1653" t="s">
        <v>1911</v>
      </c>
      <c r="M53" s="879">
        <v>0.84</v>
      </c>
      <c r="N53" s="1273">
        <v>0</v>
      </c>
      <c r="O53" s="560"/>
      <c r="P53" s="1277">
        <f t="shared" si="1"/>
        <v>0.84</v>
      </c>
      <c r="Q53" s="560"/>
      <c r="R53" s="560"/>
      <c r="S53" s="1652">
        <f t="shared" si="2"/>
        <v>0.84</v>
      </c>
    </row>
    <row r="54" spans="1:20" ht="31">
      <c r="A54" s="1545">
        <v>17.399999999999999</v>
      </c>
      <c r="B54" s="1556" t="s">
        <v>1592</v>
      </c>
      <c r="C54" s="1545" t="s">
        <v>904</v>
      </c>
      <c r="D54" s="1475" t="s">
        <v>1582</v>
      </c>
      <c r="E54" s="1653">
        <v>44357</v>
      </c>
      <c r="F54" s="560"/>
      <c r="G54" s="1653">
        <f t="shared" si="0"/>
        <v>44357</v>
      </c>
      <c r="H54" s="560"/>
      <c r="I54" s="1653">
        <v>44277</v>
      </c>
      <c r="J54" s="1653">
        <v>44722</v>
      </c>
      <c r="K54" s="560"/>
      <c r="L54" s="1653">
        <v>44685</v>
      </c>
      <c r="M54" s="879">
        <v>2.95</v>
      </c>
      <c r="N54" s="1273">
        <v>2.9470499999999999</v>
      </c>
      <c r="O54" s="560"/>
      <c r="P54" s="1277">
        <f t="shared" si="1"/>
        <v>2.9500000000002302E-3</v>
      </c>
      <c r="Q54" s="560"/>
      <c r="R54" s="560"/>
      <c r="S54" s="1652">
        <f t="shared" si="2"/>
        <v>2.9500000000002302E-3</v>
      </c>
    </row>
    <row r="55" spans="1:20" ht="31">
      <c r="A55" s="1545">
        <v>17.5</v>
      </c>
      <c r="B55" s="1556" t="s">
        <v>1595</v>
      </c>
      <c r="C55" s="1545" t="s">
        <v>904</v>
      </c>
      <c r="D55" s="1475" t="s">
        <v>1582</v>
      </c>
      <c r="E55" s="1653">
        <v>44357</v>
      </c>
      <c r="F55" s="560"/>
      <c r="G55" s="1653">
        <f t="shared" si="0"/>
        <v>44357</v>
      </c>
      <c r="H55" s="560"/>
      <c r="I55" s="1653" t="s">
        <v>1911</v>
      </c>
      <c r="J55" s="1653">
        <v>44722</v>
      </c>
      <c r="K55" s="560"/>
      <c r="L55" s="1653" t="s">
        <v>1911</v>
      </c>
      <c r="M55" s="879">
        <v>7.57</v>
      </c>
      <c r="N55" s="1273">
        <v>0</v>
      </c>
      <c r="O55" s="560"/>
      <c r="P55" s="1277">
        <f t="shared" si="1"/>
        <v>7.57</v>
      </c>
      <c r="Q55" s="560"/>
      <c r="R55" s="560"/>
      <c r="S55" s="1652">
        <f t="shared" si="2"/>
        <v>7.57</v>
      </c>
    </row>
    <row r="56" spans="1:20" ht="31">
      <c r="A56" s="1545">
        <v>0</v>
      </c>
      <c r="B56" s="1567" t="s">
        <v>415</v>
      </c>
      <c r="C56" s="1545" t="s">
        <v>415</v>
      </c>
      <c r="D56" s="1475" t="s">
        <v>1582</v>
      </c>
      <c r="E56" s="1653">
        <v>44357</v>
      </c>
      <c r="F56" s="560"/>
      <c r="G56" s="1653">
        <f t="shared" si="0"/>
        <v>44357</v>
      </c>
      <c r="H56" s="560"/>
      <c r="I56" s="1653" t="s">
        <v>1911</v>
      </c>
      <c r="J56" s="1653" t="s">
        <v>1911</v>
      </c>
      <c r="K56" s="560"/>
      <c r="L56" s="1653" t="s">
        <v>1911</v>
      </c>
      <c r="M56" s="879">
        <v>1.66</v>
      </c>
      <c r="N56" s="1273">
        <v>6.7524100000000004E-2</v>
      </c>
      <c r="O56" s="560"/>
      <c r="P56" s="1277">
        <f t="shared" si="1"/>
        <v>1.5924758999999999</v>
      </c>
      <c r="Q56" s="560"/>
      <c r="R56" s="560"/>
      <c r="S56" s="1652">
        <f t="shared" si="2"/>
        <v>1.5924758999999999</v>
      </c>
    </row>
    <row r="57" spans="1:20" ht="46.5">
      <c r="A57" s="1644" t="s">
        <v>923</v>
      </c>
      <c r="B57" s="1645" t="s">
        <v>924</v>
      </c>
      <c r="C57" s="1658" t="s">
        <v>896</v>
      </c>
      <c r="D57" s="1659" t="s">
        <v>925</v>
      </c>
      <c r="E57" s="1646">
        <v>42585</v>
      </c>
      <c r="F57" s="569"/>
      <c r="G57" s="1646">
        <f t="shared" si="0"/>
        <v>42585</v>
      </c>
      <c r="H57" s="569"/>
      <c r="I57" s="1646" t="s">
        <v>1911</v>
      </c>
      <c r="J57" s="1646" t="s">
        <v>1911</v>
      </c>
      <c r="K57" s="569"/>
      <c r="L57" s="1646" t="s">
        <v>1911</v>
      </c>
      <c r="M57" s="1275">
        <v>0</v>
      </c>
      <c r="N57" s="1273">
        <v>0</v>
      </c>
      <c r="O57" s="569"/>
      <c r="P57" s="1274">
        <f t="shared" si="1"/>
        <v>0</v>
      </c>
      <c r="Q57" s="569"/>
      <c r="R57" s="569"/>
      <c r="S57" s="1647">
        <f t="shared" si="2"/>
        <v>0</v>
      </c>
    </row>
    <row r="58" spans="1:20" ht="31">
      <c r="A58" s="1545">
        <v>1</v>
      </c>
      <c r="B58" s="1556" t="s">
        <v>1599</v>
      </c>
      <c r="C58" s="1545" t="s">
        <v>904</v>
      </c>
      <c r="D58" s="1475" t="s">
        <v>925</v>
      </c>
      <c r="E58" s="1653">
        <v>42585</v>
      </c>
      <c r="F58" s="560"/>
      <c r="G58" s="1653">
        <f t="shared" si="0"/>
        <v>42585</v>
      </c>
      <c r="H58" s="560"/>
      <c r="I58" s="1653">
        <v>42903</v>
      </c>
      <c r="J58" s="1653">
        <v>43315</v>
      </c>
      <c r="K58" s="560"/>
      <c r="L58" s="1653">
        <v>43621</v>
      </c>
      <c r="M58" s="879">
        <v>3.9772580142857143</v>
      </c>
      <c r="N58" s="1273">
        <v>1.9467999333333335</v>
      </c>
      <c r="O58" s="560"/>
      <c r="P58" s="1277">
        <f t="shared" si="1"/>
        <v>2.0304580809523811</v>
      </c>
      <c r="Q58" s="560"/>
      <c r="R58" s="560"/>
      <c r="S58" s="1652">
        <f t="shared" si="2"/>
        <v>2.0304580809523811</v>
      </c>
    </row>
    <row r="59" spans="1:20" ht="31">
      <c r="A59" s="1644" t="s">
        <v>926</v>
      </c>
      <c r="B59" s="1645" t="s">
        <v>927</v>
      </c>
      <c r="C59" s="1658" t="s">
        <v>896</v>
      </c>
      <c r="D59" s="1659" t="s">
        <v>928</v>
      </c>
      <c r="E59" s="1646">
        <v>42643</v>
      </c>
      <c r="F59" s="569"/>
      <c r="G59" s="1646">
        <f t="shared" si="0"/>
        <v>42643</v>
      </c>
      <c r="H59" s="569"/>
      <c r="I59" s="1646" t="s">
        <v>1911</v>
      </c>
      <c r="J59" s="1646" t="s">
        <v>1911</v>
      </c>
      <c r="K59" s="569"/>
      <c r="L59" s="1646" t="s">
        <v>1911</v>
      </c>
      <c r="M59" s="1275">
        <v>0</v>
      </c>
      <c r="N59" s="1273">
        <v>0</v>
      </c>
      <c r="O59" s="569"/>
      <c r="P59" s="1274">
        <f t="shared" si="1"/>
        <v>0</v>
      </c>
      <c r="Q59" s="569"/>
      <c r="R59" s="569"/>
      <c r="S59" s="1647">
        <f t="shared" si="2"/>
        <v>0</v>
      </c>
    </row>
    <row r="60" spans="1:20" ht="31">
      <c r="A60" s="1654">
        <v>1</v>
      </c>
      <c r="B60" s="1655" t="s">
        <v>1602</v>
      </c>
      <c r="C60" s="1654" t="s">
        <v>904</v>
      </c>
      <c r="D60" s="1656" t="s">
        <v>928</v>
      </c>
      <c r="E60" s="1649">
        <v>42643</v>
      </c>
      <c r="F60" s="569"/>
      <c r="G60" s="1649">
        <f t="shared" si="0"/>
        <v>42643</v>
      </c>
      <c r="H60" s="569"/>
      <c r="I60" s="1649" t="s">
        <v>1911</v>
      </c>
      <c r="J60" s="1649" t="s">
        <v>1911</v>
      </c>
      <c r="K60" s="569"/>
      <c r="L60" s="1649" t="s">
        <v>1911</v>
      </c>
      <c r="M60" s="1275">
        <v>4.0552000000000001</v>
      </c>
      <c r="N60" s="1273">
        <v>0</v>
      </c>
      <c r="O60" s="569"/>
      <c r="P60" s="1274">
        <f t="shared" si="1"/>
        <v>4.0552000000000001</v>
      </c>
      <c r="Q60" s="569"/>
      <c r="R60" s="569"/>
      <c r="S60" s="1647">
        <f t="shared" si="2"/>
        <v>4.0552000000000001</v>
      </c>
    </row>
    <row r="61" spans="1:20" ht="31">
      <c r="A61" s="1644" t="s">
        <v>1604</v>
      </c>
      <c r="B61" s="1645" t="s">
        <v>1605</v>
      </c>
      <c r="C61" s="1658" t="s">
        <v>896</v>
      </c>
      <c r="D61" s="1659" t="s">
        <v>1606</v>
      </c>
      <c r="E61" s="1646">
        <v>43052</v>
      </c>
      <c r="F61" s="569"/>
      <c r="G61" s="1646">
        <f t="shared" si="0"/>
        <v>43052</v>
      </c>
      <c r="H61" s="569"/>
      <c r="I61" s="1646" t="s">
        <v>1911</v>
      </c>
      <c r="J61" s="1646" t="s">
        <v>1911</v>
      </c>
      <c r="K61" s="569"/>
      <c r="L61" s="1646" t="s">
        <v>1911</v>
      </c>
      <c r="M61" s="1275">
        <v>0</v>
      </c>
      <c r="N61" s="1273">
        <v>0</v>
      </c>
      <c r="O61" s="569"/>
      <c r="P61" s="1274">
        <f t="shared" si="1"/>
        <v>0</v>
      </c>
      <c r="Q61" s="569"/>
      <c r="R61" s="569"/>
      <c r="S61" s="1647">
        <f t="shared" si="2"/>
        <v>0</v>
      </c>
    </row>
    <row r="62" spans="1:20" ht="31">
      <c r="A62" s="1654">
        <v>1</v>
      </c>
      <c r="B62" s="1655" t="s">
        <v>1607</v>
      </c>
      <c r="C62" s="1654" t="s">
        <v>904</v>
      </c>
      <c r="D62" s="1656" t="s">
        <v>1606</v>
      </c>
      <c r="E62" s="1649">
        <v>43052</v>
      </c>
      <c r="F62" s="569"/>
      <c r="G62" s="1649">
        <f t="shared" si="0"/>
        <v>43052</v>
      </c>
      <c r="H62" s="569"/>
      <c r="I62" s="1649">
        <v>43481</v>
      </c>
      <c r="J62" s="1649">
        <v>43782</v>
      </c>
      <c r="K62" s="569"/>
      <c r="L62" s="1649">
        <v>44442</v>
      </c>
      <c r="M62" s="1275">
        <v>1.45</v>
      </c>
      <c r="N62" s="1273">
        <v>1.7765</v>
      </c>
      <c r="O62" s="569"/>
      <c r="P62" s="1274">
        <f t="shared" si="1"/>
        <v>-0.32650000000000001</v>
      </c>
      <c r="Q62" s="569"/>
      <c r="R62" s="569"/>
      <c r="S62" s="1647">
        <f t="shared" si="2"/>
        <v>-0.32650000000000001</v>
      </c>
    </row>
    <row r="63" spans="1:20" ht="31">
      <c r="A63" s="1545">
        <v>2</v>
      </c>
      <c r="B63" s="1556" t="s">
        <v>1610</v>
      </c>
      <c r="C63" s="1545" t="s">
        <v>904</v>
      </c>
      <c r="D63" s="1475" t="s">
        <v>1606</v>
      </c>
      <c r="E63" s="1653">
        <v>43052</v>
      </c>
      <c r="F63" s="560"/>
      <c r="G63" s="1653">
        <f t="shared" si="0"/>
        <v>43052</v>
      </c>
      <c r="H63" s="560"/>
      <c r="I63" s="1653">
        <v>44610</v>
      </c>
      <c r="J63" s="1653">
        <v>43782</v>
      </c>
      <c r="K63" s="560"/>
      <c r="L63" s="1653">
        <v>44984</v>
      </c>
      <c r="M63" s="879">
        <v>2.5</v>
      </c>
      <c r="N63" s="1273">
        <v>2.1846524010000001</v>
      </c>
      <c r="O63" s="560"/>
      <c r="P63" s="1277">
        <f t="shared" si="1"/>
        <v>0.31534759899999987</v>
      </c>
      <c r="Q63" s="560"/>
      <c r="R63" s="560"/>
      <c r="S63" s="1652">
        <f t="shared" si="2"/>
        <v>0.31534759899999987</v>
      </c>
    </row>
    <row r="64" spans="1:20" ht="31">
      <c r="A64" s="1654">
        <v>0</v>
      </c>
      <c r="B64" s="1655" t="s">
        <v>415</v>
      </c>
      <c r="C64" s="1654" t="s">
        <v>415</v>
      </c>
      <c r="D64" s="1656" t="s">
        <v>1606</v>
      </c>
      <c r="E64" s="1649">
        <v>43052</v>
      </c>
      <c r="F64" s="569"/>
      <c r="G64" s="1649">
        <f t="shared" si="0"/>
        <v>43052</v>
      </c>
      <c r="H64" s="569"/>
      <c r="I64" s="1649" t="s">
        <v>1911</v>
      </c>
      <c r="J64" s="1649" t="s">
        <v>1911</v>
      </c>
      <c r="K64" s="569"/>
      <c r="L64" s="1649" t="s">
        <v>1911</v>
      </c>
      <c r="M64" s="1275">
        <v>0</v>
      </c>
      <c r="N64" s="1273">
        <v>0</v>
      </c>
      <c r="O64" s="569"/>
      <c r="P64" s="1274">
        <f t="shared" si="1"/>
        <v>0</v>
      </c>
      <c r="Q64" s="569"/>
      <c r="R64" s="569"/>
      <c r="S64" s="1647">
        <f t="shared" si="2"/>
        <v>0</v>
      </c>
    </row>
    <row r="65" spans="1:28" ht="31">
      <c r="A65" s="1644" t="s">
        <v>1612</v>
      </c>
      <c r="B65" s="1645" t="s">
        <v>1613</v>
      </c>
      <c r="C65" s="1658" t="s">
        <v>896</v>
      </c>
      <c r="D65" s="1659" t="s">
        <v>1614</v>
      </c>
      <c r="E65" s="1646">
        <v>43137</v>
      </c>
      <c r="F65" s="569"/>
      <c r="G65" s="1646">
        <f t="shared" si="0"/>
        <v>43137</v>
      </c>
      <c r="H65" s="569"/>
      <c r="I65" s="1646" t="s">
        <v>1911</v>
      </c>
      <c r="J65" s="1646" t="s">
        <v>1911</v>
      </c>
      <c r="K65" s="569"/>
      <c r="L65" s="1646" t="s">
        <v>1911</v>
      </c>
      <c r="M65" s="1275">
        <v>0</v>
      </c>
      <c r="N65" s="1273">
        <v>0</v>
      </c>
      <c r="O65" s="569"/>
      <c r="P65" s="1274">
        <f t="shared" si="1"/>
        <v>0</v>
      </c>
      <c r="Q65" s="569"/>
      <c r="R65" s="569"/>
      <c r="S65" s="1647">
        <f t="shared" si="2"/>
        <v>0</v>
      </c>
    </row>
    <row r="66" spans="1:28" ht="31">
      <c r="A66" s="1545">
        <v>1</v>
      </c>
      <c r="B66" s="1556" t="s">
        <v>1602</v>
      </c>
      <c r="C66" s="1545" t="s">
        <v>904</v>
      </c>
      <c r="D66" s="1475" t="s">
        <v>1614</v>
      </c>
      <c r="E66" s="1653">
        <v>43137</v>
      </c>
      <c r="F66" s="560"/>
      <c r="G66" s="1653">
        <f t="shared" si="0"/>
        <v>43137</v>
      </c>
      <c r="H66" s="560"/>
      <c r="I66" s="1653">
        <v>43349</v>
      </c>
      <c r="J66" s="1653">
        <v>43683</v>
      </c>
      <c r="K66" s="560"/>
      <c r="L66" s="1653">
        <v>44392</v>
      </c>
      <c r="M66" s="879">
        <v>10.065399999999999</v>
      </c>
      <c r="N66" s="1273">
        <v>9.1854371740000005</v>
      </c>
      <c r="O66" s="560"/>
      <c r="P66" s="1277">
        <f t="shared" si="1"/>
        <v>0.87996282599999809</v>
      </c>
      <c r="Q66" s="560"/>
      <c r="R66" s="560"/>
      <c r="S66" s="1652">
        <f t="shared" si="2"/>
        <v>0.87996282599999809</v>
      </c>
    </row>
    <row r="67" spans="1:28" ht="46.5">
      <c r="A67" s="1644">
        <v>18</v>
      </c>
      <c r="B67" s="1645" t="s">
        <v>1617</v>
      </c>
      <c r="C67" s="1644" t="s">
        <v>896</v>
      </c>
      <c r="D67" s="1645" t="s">
        <v>1618</v>
      </c>
      <c r="E67" s="1646">
        <v>44461</v>
      </c>
      <c r="F67" s="569"/>
      <c r="G67" s="1646">
        <f t="shared" si="0"/>
        <v>44461</v>
      </c>
      <c r="H67" s="569"/>
      <c r="I67" s="1646" t="s">
        <v>1911</v>
      </c>
      <c r="J67" s="1646" t="s">
        <v>1911</v>
      </c>
      <c r="K67" s="569"/>
      <c r="L67" s="1646" t="s">
        <v>1911</v>
      </c>
      <c r="M67" s="1275">
        <v>0</v>
      </c>
      <c r="N67" s="1273">
        <v>0</v>
      </c>
      <c r="O67" s="569"/>
      <c r="P67" s="1274">
        <f t="shared" si="1"/>
        <v>0</v>
      </c>
      <c r="Q67" s="569"/>
      <c r="R67" s="569"/>
      <c r="S67" s="1647">
        <f t="shared" si="2"/>
        <v>0</v>
      </c>
    </row>
    <row r="68" spans="1:28" ht="31">
      <c r="A68" s="570">
        <v>18.100000000000001</v>
      </c>
      <c r="B68" s="1454" t="s">
        <v>1619</v>
      </c>
      <c r="C68" s="1654" t="s">
        <v>904</v>
      </c>
      <c r="D68" s="569" t="s">
        <v>1618</v>
      </c>
      <c r="E68" s="1649">
        <v>44461</v>
      </c>
      <c r="F68" s="569"/>
      <c r="G68" s="1649">
        <f t="shared" si="0"/>
        <v>44461</v>
      </c>
      <c r="H68" s="569"/>
      <c r="I68" s="1649">
        <v>44461</v>
      </c>
      <c r="J68" s="1649">
        <v>44826</v>
      </c>
      <c r="K68" s="569"/>
      <c r="L68" s="1649">
        <v>44603</v>
      </c>
      <c r="M68" s="1275">
        <v>5.53</v>
      </c>
      <c r="N68" s="1273">
        <v>8.4110399999999998</v>
      </c>
      <c r="O68" s="569"/>
      <c r="P68" s="1274">
        <f t="shared" si="1"/>
        <v>-2.8810399999999996</v>
      </c>
      <c r="Q68" s="569"/>
      <c r="R68" s="569"/>
      <c r="S68" s="1647">
        <f t="shared" si="2"/>
        <v>-2.8810399999999996</v>
      </c>
    </row>
    <row r="69" spans="1:28" ht="31">
      <c r="A69" s="1545">
        <v>18.2</v>
      </c>
      <c r="B69" s="1556" t="s">
        <v>1622</v>
      </c>
      <c r="C69" s="1545" t="s">
        <v>904</v>
      </c>
      <c r="D69" s="9" t="s">
        <v>1618</v>
      </c>
      <c r="E69" s="1653">
        <v>44461</v>
      </c>
      <c r="F69" s="560"/>
      <c r="G69" s="1653">
        <f t="shared" si="0"/>
        <v>44461</v>
      </c>
      <c r="H69" s="560"/>
      <c r="I69" s="1653">
        <v>44462</v>
      </c>
      <c r="J69" s="1653">
        <v>44826</v>
      </c>
      <c r="K69" s="560"/>
      <c r="L69" s="1653" t="s">
        <v>1911</v>
      </c>
      <c r="M69" s="879">
        <v>3.52</v>
      </c>
      <c r="N69" s="1273">
        <v>0</v>
      </c>
      <c r="O69" s="560"/>
      <c r="P69" s="1277">
        <f t="shared" si="1"/>
        <v>3.52</v>
      </c>
      <c r="Q69" s="560"/>
      <c r="R69" s="560"/>
      <c r="S69" s="1652">
        <f t="shared" si="2"/>
        <v>3.52</v>
      </c>
    </row>
    <row r="70" spans="1:28" ht="15.5">
      <c r="A70" s="1545">
        <v>18.3</v>
      </c>
      <c r="B70" s="1556" t="s">
        <v>1624</v>
      </c>
      <c r="C70" s="1545" t="s">
        <v>904</v>
      </c>
      <c r="D70" s="9" t="s">
        <v>1618</v>
      </c>
      <c r="E70" s="1653">
        <v>44461</v>
      </c>
      <c r="F70" s="560"/>
      <c r="G70" s="1653">
        <f t="shared" si="0"/>
        <v>44461</v>
      </c>
      <c r="H70" s="560"/>
      <c r="I70" s="1653">
        <v>45365</v>
      </c>
      <c r="J70" s="1653">
        <v>44826</v>
      </c>
      <c r="K70" s="560"/>
      <c r="L70" s="1653">
        <v>45384</v>
      </c>
      <c r="M70" s="879">
        <v>5.39</v>
      </c>
      <c r="N70" s="1273">
        <v>0</v>
      </c>
      <c r="O70" s="560"/>
      <c r="P70" s="1277">
        <f t="shared" si="1"/>
        <v>5.39</v>
      </c>
      <c r="Q70" s="560"/>
      <c r="R70" s="560"/>
      <c r="S70" s="1652">
        <f t="shared" si="2"/>
        <v>5.39</v>
      </c>
    </row>
    <row r="71" spans="1:28" ht="15.5">
      <c r="A71" s="570">
        <v>0</v>
      </c>
      <c r="B71" s="1655" t="s">
        <v>415</v>
      </c>
      <c r="C71" s="1654" t="s">
        <v>415</v>
      </c>
      <c r="D71" s="569" t="s">
        <v>1618</v>
      </c>
      <c r="E71" s="1649">
        <v>44461</v>
      </c>
      <c r="F71" s="569"/>
      <c r="G71" s="1649">
        <f t="shared" si="0"/>
        <v>44461</v>
      </c>
      <c r="H71" s="569"/>
      <c r="I71" s="1649" t="s">
        <v>1911</v>
      </c>
      <c r="J71" s="1649" t="s">
        <v>1911</v>
      </c>
      <c r="K71" s="569"/>
      <c r="L71" s="1649" t="s">
        <v>1911</v>
      </c>
      <c r="M71" s="1275">
        <v>0.52</v>
      </c>
      <c r="N71" s="1273">
        <v>0</v>
      </c>
      <c r="O71" s="569"/>
      <c r="P71" s="1274">
        <f t="shared" si="1"/>
        <v>0.52</v>
      </c>
      <c r="Q71" s="569"/>
      <c r="R71" s="569"/>
      <c r="S71" s="1647">
        <f t="shared" si="2"/>
        <v>0.52</v>
      </c>
    </row>
    <row r="72" spans="1:28" ht="46.5">
      <c r="A72" s="1644">
        <v>19</v>
      </c>
      <c r="B72" s="1645" t="s">
        <v>1627</v>
      </c>
      <c r="C72" s="1644" t="s">
        <v>896</v>
      </c>
      <c r="D72" s="1645" t="s">
        <v>1628</v>
      </c>
      <c r="E72" s="1646">
        <v>45362</v>
      </c>
      <c r="F72" s="569"/>
      <c r="G72" s="1646">
        <f t="shared" si="0"/>
        <v>45362</v>
      </c>
      <c r="H72" s="569"/>
      <c r="I72" s="1646" t="s">
        <v>1911</v>
      </c>
      <c r="J72" s="1646" t="s">
        <v>1911</v>
      </c>
      <c r="K72" s="569"/>
      <c r="L72" s="1646" t="s">
        <v>1911</v>
      </c>
      <c r="M72" s="1275">
        <v>0</v>
      </c>
      <c r="N72" s="1273">
        <v>0</v>
      </c>
      <c r="O72" s="569"/>
      <c r="P72" s="1274">
        <f t="shared" si="1"/>
        <v>0</v>
      </c>
      <c r="Q72" s="569"/>
      <c r="R72" s="569"/>
      <c r="S72" s="1647">
        <f t="shared" si="2"/>
        <v>0</v>
      </c>
    </row>
    <row r="73" spans="1:28" ht="31">
      <c r="A73" s="1545">
        <v>19.100000000000001</v>
      </c>
      <c r="B73" s="1556" t="s">
        <v>1629</v>
      </c>
      <c r="C73" s="1545" t="s">
        <v>904</v>
      </c>
      <c r="D73" s="9" t="s">
        <v>1628</v>
      </c>
      <c r="E73" s="1653">
        <v>45362</v>
      </c>
      <c r="F73" s="560"/>
      <c r="G73" s="1653">
        <f t="shared" si="0"/>
        <v>45362</v>
      </c>
      <c r="H73" s="560"/>
      <c r="I73" s="1653" t="s">
        <v>1911</v>
      </c>
      <c r="J73" s="1653" t="s">
        <v>1911</v>
      </c>
      <c r="K73" s="560"/>
      <c r="L73" s="1653" t="s">
        <v>1911</v>
      </c>
      <c r="M73" s="879">
        <v>8.69</v>
      </c>
      <c r="N73" s="1273">
        <v>0</v>
      </c>
      <c r="O73" s="560"/>
      <c r="P73" s="1277">
        <f t="shared" si="1"/>
        <v>8.69</v>
      </c>
      <c r="Q73" s="560"/>
      <c r="R73" s="560"/>
      <c r="S73" s="1652">
        <f t="shared" si="2"/>
        <v>8.69</v>
      </c>
    </row>
    <row r="74" spans="1:28" ht="46.5">
      <c r="A74" s="1545">
        <v>19.2</v>
      </c>
      <c r="B74" s="1556" t="s">
        <v>1631</v>
      </c>
      <c r="C74" s="1545" t="s">
        <v>904</v>
      </c>
      <c r="D74" s="9" t="s">
        <v>1628</v>
      </c>
      <c r="E74" s="1653">
        <v>45362</v>
      </c>
      <c r="F74" s="560"/>
      <c r="G74" s="1653">
        <f t="shared" si="0"/>
        <v>45362</v>
      </c>
      <c r="H74" s="560"/>
      <c r="I74" s="1653" t="s">
        <v>1911</v>
      </c>
      <c r="J74" s="1653" t="s">
        <v>1911</v>
      </c>
      <c r="K74" s="560"/>
      <c r="L74" s="1653" t="s">
        <v>1911</v>
      </c>
      <c r="M74" s="879">
        <v>1.35</v>
      </c>
      <c r="N74" s="1273">
        <v>0</v>
      </c>
      <c r="O74" s="560"/>
      <c r="P74" s="1277">
        <f t="shared" si="1"/>
        <v>1.35</v>
      </c>
      <c r="Q74" s="560"/>
      <c r="R74" s="560"/>
      <c r="S74" s="1652">
        <f t="shared" si="2"/>
        <v>1.35</v>
      </c>
      <c r="T74" s="1660"/>
      <c r="U74" s="1634"/>
      <c r="V74" s="1634"/>
      <c r="W74" s="1634"/>
      <c r="X74" s="1634"/>
      <c r="Y74" s="871"/>
      <c r="Z74" s="871"/>
      <c r="AA74" s="871"/>
      <c r="AB74" s="871"/>
    </row>
    <row r="75" spans="1:28" ht="15.5">
      <c r="A75" s="1545">
        <v>19.3</v>
      </c>
      <c r="B75" s="1556" t="s">
        <v>1633</v>
      </c>
      <c r="C75" s="1545" t="s">
        <v>904</v>
      </c>
      <c r="D75" s="9" t="s">
        <v>1628</v>
      </c>
      <c r="E75" s="1653">
        <v>45362</v>
      </c>
      <c r="F75" s="560"/>
      <c r="G75" s="1653">
        <f t="shared" ref="G75:G102" si="3">E75</f>
        <v>45362</v>
      </c>
      <c r="H75" s="560"/>
      <c r="I75" s="1653" t="s">
        <v>1911</v>
      </c>
      <c r="J75" s="1653" t="s">
        <v>1911</v>
      </c>
      <c r="K75" s="560"/>
      <c r="L75" s="1653" t="s">
        <v>1911</v>
      </c>
      <c r="M75" s="879">
        <v>2.33</v>
      </c>
      <c r="N75" s="1273">
        <v>0</v>
      </c>
      <c r="O75" s="560"/>
      <c r="P75" s="1277">
        <f t="shared" ref="P75:P102" si="4">M75-N75</f>
        <v>2.33</v>
      </c>
      <c r="Q75" s="560"/>
      <c r="R75" s="560"/>
      <c r="S75" s="1652">
        <f t="shared" ref="S75:S102" si="5">IF(SUM(O75:R75)=0,M75-N75,SUM(O75:R75))</f>
        <v>2.33</v>
      </c>
    </row>
    <row r="76" spans="1:28" ht="31">
      <c r="A76" s="1545">
        <v>19.399999999999999</v>
      </c>
      <c r="B76" s="1556" t="s">
        <v>1634</v>
      </c>
      <c r="C76" s="1545" t="s">
        <v>904</v>
      </c>
      <c r="D76" s="9" t="s">
        <v>1628</v>
      </c>
      <c r="E76" s="1653">
        <v>45362</v>
      </c>
      <c r="F76" s="560"/>
      <c r="G76" s="1653">
        <f t="shared" si="3"/>
        <v>45362</v>
      </c>
      <c r="H76" s="560"/>
      <c r="I76" s="1653" t="s">
        <v>1911</v>
      </c>
      <c r="J76" s="1653" t="s">
        <v>1911</v>
      </c>
      <c r="K76" s="560"/>
      <c r="L76" s="1653" t="s">
        <v>1911</v>
      </c>
      <c r="M76" s="879">
        <v>18.18</v>
      </c>
      <c r="N76" s="1273">
        <v>0</v>
      </c>
      <c r="O76" s="560"/>
      <c r="P76" s="1277">
        <f t="shared" si="4"/>
        <v>18.18</v>
      </c>
      <c r="Q76" s="560"/>
      <c r="R76" s="560"/>
      <c r="S76" s="1652">
        <f t="shared" si="5"/>
        <v>18.18</v>
      </c>
    </row>
    <row r="77" spans="1:28" ht="15.5">
      <c r="A77" s="166">
        <v>0</v>
      </c>
      <c r="B77" s="1556" t="s">
        <v>415</v>
      </c>
      <c r="C77" s="1545" t="s">
        <v>415</v>
      </c>
      <c r="D77" s="9" t="s">
        <v>1628</v>
      </c>
      <c r="E77" s="1653">
        <v>45362</v>
      </c>
      <c r="F77" s="560"/>
      <c r="G77" s="1653">
        <f t="shared" si="3"/>
        <v>45362</v>
      </c>
      <c r="H77" s="560"/>
      <c r="I77" s="1653" t="s">
        <v>1911</v>
      </c>
      <c r="J77" s="1653" t="s">
        <v>1911</v>
      </c>
      <c r="K77" s="560"/>
      <c r="L77" s="1653" t="s">
        <v>1911</v>
      </c>
      <c r="M77" s="879">
        <v>0.5</v>
      </c>
      <c r="N77" s="1273">
        <v>0</v>
      </c>
      <c r="O77" s="560"/>
      <c r="P77" s="1277">
        <f t="shared" si="4"/>
        <v>0.5</v>
      </c>
      <c r="Q77" s="560"/>
      <c r="R77" s="560"/>
      <c r="S77" s="1652">
        <f t="shared" si="5"/>
        <v>0.5</v>
      </c>
    </row>
    <row r="78" spans="1:28" ht="31">
      <c r="A78" s="1442" t="s">
        <v>1636</v>
      </c>
      <c r="B78" s="1576" t="s">
        <v>1637</v>
      </c>
      <c r="C78" s="1442" t="s">
        <v>896</v>
      </c>
      <c r="D78" s="1576" t="s">
        <v>1638</v>
      </c>
      <c r="E78" s="1651">
        <v>44604</v>
      </c>
      <c r="F78" s="560"/>
      <c r="G78" s="1651">
        <f t="shared" si="3"/>
        <v>44604</v>
      </c>
      <c r="H78" s="560"/>
      <c r="I78" s="1651" t="s">
        <v>1911</v>
      </c>
      <c r="J78" s="1651" t="s">
        <v>1911</v>
      </c>
      <c r="K78" s="560"/>
      <c r="L78" s="1651" t="s">
        <v>1911</v>
      </c>
      <c r="M78" s="879">
        <v>0</v>
      </c>
      <c r="N78" s="1273">
        <v>0</v>
      </c>
      <c r="O78" s="560"/>
      <c r="P78" s="1277">
        <f t="shared" si="4"/>
        <v>0</v>
      </c>
      <c r="Q78" s="560"/>
      <c r="R78" s="560"/>
      <c r="S78" s="1652">
        <f t="shared" si="5"/>
        <v>0</v>
      </c>
    </row>
    <row r="79" spans="1:28" ht="31">
      <c r="A79" s="1579">
        <v>1</v>
      </c>
      <c r="B79" s="1455" t="s">
        <v>1637</v>
      </c>
      <c r="C79" s="1545" t="s">
        <v>904</v>
      </c>
      <c r="D79" s="9" t="s">
        <v>1638</v>
      </c>
      <c r="E79" s="1653">
        <v>44604</v>
      </c>
      <c r="F79" s="560"/>
      <c r="G79" s="1653">
        <f t="shared" si="3"/>
        <v>44604</v>
      </c>
      <c r="H79" s="560"/>
      <c r="I79" s="1653" t="s">
        <v>1911</v>
      </c>
      <c r="J79" s="1653" t="s">
        <v>1911</v>
      </c>
      <c r="K79" s="560"/>
      <c r="L79" s="1653" t="s">
        <v>1911</v>
      </c>
      <c r="M79" s="879">
        <v>54.24</v>
      </c>
      <c r="N79" s="1273">
        <v>0</v>
      </c>
      <c r="O79" s="560"/>
      <c r="P79" s="1277">
        <f t="shared" si="4"/>
        <v>54.24</v>
      </c>
      <c r="Q79" s="560"/>
      <c r="R79" s="560"/>
      <c r="S79" s="1652">
        <f t="shared" si="5"/>
        <v>54.24</v>
      </c>
    </row>
    <row r="80" spans="1:28" ht="15.5">
      <c r="A80" s="1579">
        <v>0</v>
      </c>
      <c r="B80" s="1455" t="s">
        <v>415</v>
      </c>
      <c r="C80" s="1545" t="s">
        <v>415</v>
      </c>
      <c r="D80" s="9" t="s">
        <v>1638</v>
      </c>
      <c r="E80" s="1653">
        <v>44604</v>
      </c>
      <c r="F80" s="560"/>
      <c r="G80" s="1653">
        <f t="shared" si="3"/>
        <v>44604</v>
      </c>
      <c r="H80" s="560"/>
      <c r="I80" s="1653" t="s">
        <v>1911</v>
      </c>
      <c r="J80" s="1653" t="s">
        <v>1911</v>
      </c>
      <c r="K80" s="560"/>
      <c r="L80" s="1653" t="s">
        <v>1911</v>
      </c>
      <c r="M80" s="879">
        <v>2.76</v>
      </c>
      <c r="N80" s="1273">
        <v>0</v>
      </c>
      <c r="O80" s="560"/>
      <c r="P80" s="1277">
        <f t="shared" si="4"/>
        <v>2.76</v>
      </c>
      <c r="Q80" s="560"/>
      <c r="R80" s="560"/>
      <c r="S80" s="1652">
        <f t="shared" si="5"/>
        <v>2.76</v>
      </c>
    </row>
    <row r="81" spans="1:19" ht="31">
      <c r="A81" s="1442" t="s">
        <v>1640</v>
      </c>
      <c r="B81" s="1576" t="s">
        <v>1641</v>
      </c>
      <c r="C81" s="1442" t="s">
        <v>896</v>
      </c>
      <c r="D81" s="1576" t="s">
        <v>1642</v>
      </c>
      <c r="E81" s="1651">
        <v>45232</v>
      </c>
      <c r="F81" s="560"/>
      <c r="G81" s="1651">
        <f t="shared" si="3"/>
        <v>45232</v>
      </c>
      <c r="H81" s="560"/>
      <c r="I81" s="1651" t="s">
        <v>1911</v>
      </c>
      <c r="J81" s="1651" t="s">
        <v>1911</v>
      </c>
      <c r="K81" s="560"/>
      <c r="L81" s="1651" t="s">
        <v>1911</v>
      </c>
      <c r="M81" s="879">
        <v>0</v>
      </c>
      <c r="N81" s="1273">
        <v>0</v>
      </c>
      <c r="O81" s="560"/>
      <c r="P81" s="1277">
        <f t="shared" si="4"/>
        <v>0</v>
      </c>
      <c r="Q81" s="560"/>
      <c r="R81" s="560"/>
      <c r="S81" s="1652">
        <f t="shared" si="5"/>
        <v>0</v>
      </c>
    </row>
    <row r="82" spans="1:19" ht="15.5">
      <c r="A82" s="1579">
        <v>1</v>
      </c>
      <c r="B82" s="1455" t="s">
        <v>1641</v>
      </c>
      <c r="C82" s="1545" t="s">
        <v>904</v>
      </c>
      <c r="D82" s="9" t="s">
        <v>1642</v>
      </c>
      <c r="E82" s="1653">
        <v>45232</v>
      </c>
      <c r="F82" s="560"/>
      <c r="G82" s="1653">
        <f t="shared" si="3"/>
        <v>45232</v>
      </c>
      <c r="H82" s="560"/>
      <c r="I82" s="1653" t="s">
        <v>1911</v>
      </c>
      <c r="J82" s="1653" t="s">
        <v>1911</v>
      </c>
      <c r="K82" s="560"/>
      <c r="L82" s="1653" t="s">
        <v>1911</v>
      </c>
      <c r="M82" s="879">
        <v>66.009</v>
      </c>
      <c r="N82" s="1273">
        <v>0</v>
      </c>
      <c r="O82" s="560"/>
      <c r="P82" s="1277">
        <f t="shared" si="4"/>
        <v>66.009</v>
      </c>
      <c r="Q82" s="560"/>
      <c r="R82" s="560"/>
      <c r="S82" s="1652">
        <f t="shared" si="5"/>
        <v>66.009</v>
      </c>
    </row>
    <row r="83" spans="1:19" ht="15.5">
      <c r="A83" s="1579">
        <v>0</v>
      </c>
      <c r="B83" s="1455" t="s">
        <v>415</v>
      </c>
      <c r="C83" s="1545" t="s">
        <v>415</v>
      </c>
      <c r="D83" s="9" t="s">
        <v>1642</v>
      </c>
      <c r="E83" s="1653">
        <v>45232</v>
      </c>
      <c r="F83" s="560"/>
      <c r="G83" s="1653">
        <f t="shared" si="3"/>
        <v>45232</v>
      </c>
      <c r="H83" s="560"/>
      <c r="I83" s="1653" t="s">
        <v>1911</v>
      </c>
      <c r="J83" s="1653" t="s">
        <v>1911</v>
      </c>
      <c r="K83" s="560"/>
      <c r="L83" s="1653" t="s">
        <v>1911</v>
      </c>
      <c r="M83" s="879">
        <v>3.3</v>
      </c>
      <c r="N83" s="1273">
        <v>0</v>
      </c>
      <c r="O83" s="560"/>
      <c r="P83" s="1277">
        <f t="shared" si="4"/>
        <v>3.3</v>
      </c>
      <c r="Q83" s="560"/>
      <c r="R83" s="560"/>
      <c r="S83" s="1652">
        <f t="shared" si="5"/>
        <v>3.3</v>
      </c>
    </row>
    <row r="84" spans="1:19" ht="31">
      <c r="A84" s="1442">
        <v>20</v>
      </c>
      <c r="B84" s="1576" t="s">
        <v>1643</v>
      </c>
      <c r="C84" s="1442" t="s">
        <v>896</v>
      </c>
      <c r="D84" s="1576" t="s">
        <v>1644</v>
      </c>
      <c r="E84" s="1651">
        <v>45429</v>
      </c>
      <c r="F84" s="560"/>
      <c r="G84" s="1651">
        <f t="shared" si="3"/>
        <v>45429</v>
      </c>
      <c r="H84" s="560"/>
      <c r="I84" s="1651" t="s">
        <v>1911</v>
      </c>
      <c r="J84" s="1651" t="s">
        <v>1911</v>
      </c>
      <c r="K84" s="560"/>
      <c r="L84" s="1651" t="s">
        <v>1911</v>
      </c>
      <c r="M84" s="879">
        <v>0</v>
      </c>
      <c r="N84" s="1273">
        <v>0</v>
      </c>
      <c r="O84" s="560"/>
      <c r="P84" s="1277">
        <f t="shared" si="4"/>
        <v>0</v>
      </c>
      <c r="Q84" s="560"/>
      <c r="R84" s="560"/>
      <c r="S84" s="1652">
        <f t="shared" si="5"/>
        <v>0</v>
      </c>
    </row>
    <row r="85" spans="1:19" ht="62">
      <c r="A85" s="1579">
        <v>20.100000000000001</v>
      </c>
      <c r="B85" s="1455" t="s">
        <v>1905</v>
      </c>
      <c r="C85" s="1545" t="s">
        <v>904</v>
      </c>
      <c r="D85" s="9" t="s">
        <v>1644</v>
      </c>
      <c r="E85" s="1653">
        <v>45429</v>
      </c>
      <c r="F85" s="560"/>
      <c r="G85" s="1653">
        <f t="shared" si="3"/>
        <v>45429</v>
      </c>
      <c r="H85" s="560"/>
      <c r="I85" s="1653" t="s">
        <v>1911</v>
      </c>
      <c r="J85" s="1653" t="s">
        <v>1911</v>
      </c>
      <c r="K85" s="560"/>
      <c r="L85" s="1653" t="s">
        <v>1911</v>
      </c>
      <c r="M85" s="879">
        <v>14.27</v>
      </c>
      <c r="N85" s="1273">
        <v>0</v>
      </c>
      <c r="O85" s="560"/>
      <c r="P85" s="1277">
        <f t="shared" si="4"/>
        <v>14.27</v>
      </c>
      <c r="Q85" s="560"/>
      <c r="R85" s="560"/>
      <c r="S85" s="1652">
        <f t="shared" si="5"/>
        <v>14.27</v>
      </c>
    </row>
    <row r="86" spans="1:19" ht="31">
      <c r="A86" s="1579">
        <v>20.2</v>
      </c>
      <c r="B86" s="1455" t="s">
        <v>1906</v>
      </c>
      <c r="C86" s="1545" t="s">
        <v>904</v>
      </c>
      <c r="D86" s="9" t="s">
        <v>1644</v>
      </c>
      <c r="E86" s="1653">
        <v>45429</v>
      </c>
      <c r="F86" s="560"/>
      <c r="G86" s="1653">
        <f t="shared" si="3"/>
        <v>45429</v>
      </c>
      <c r="H86" s="560"/>
      <c r="I86" s="1653" t="s">
        <v>1911</v>
      </c>
      <c r="J86" s="1653" t="s">
        <v>1911</v>
      </c>
      <c r="K86" s="560"/>
      <c r="L86" s="1653" t="s">
        <v>1911</v>
      </c>
      <c r="M86" s="879">
        <v>8.18</v>
      </c>
      <c r="N86" s="1273">
        <v>0</v>
      </c>
      <c r="O86" s="560"/>
      <c r="P86" s="1277">
        <f t="shared" si="4"/>
        <v>8.18</v>
      </c>
      <c r="Q86" s="560"/>
      <c r="R86" s="560"/>
      <c r="S86" s="1652">
        <f t="shared" si="5"/>
        <v>8.18</v>
      </c>
    </row>
    <row r="87" spans="1:19" ht="46.5">
      <c r="A87" s="1579">
        <v>20.3</v>
      </c>
      <c r="B87" s="1455" t="s">
        <v>1907</v>
      </c>
      <c r="C87" s="1545" t="s">
        <v>904</v>
      </c>
      <c r="D87" s="9" t="s">
        <v>1644</v>
      </c>
      <c r="E87" s="1653">
        <v>45429</v>
      </c>
      <c r="F87" s="560"/>
      <c r="G87" s="1653">
        <f t="shared" si="3"/>
        <v>45429</v>
      </c>
      <c r="H87" s="560"/>
      <c r="I87" s="1653" t="s">
        <v>1911</v>
      </c>
      <c r="J87" s="1653" t="s">
        <v>1911</v>
      </c>
      <c r="K87" s="560"/>
      <c r="L87" s="1653" t="s">
        <v>1911</v>
      </c>
      <c r="M87" s="879">
        <v>1.88</v>
      </c>
      <c r="N87" s="1273">
        <v>0</v>
      </c>
      <c r="O87" s="560"/>
      <c r="P87" s="1277">
        <f t="shared" si="4"/>
        <v>1.88</v>
      </c>
      <c r="Q87" s="560"/>
      <c r="R87" s="560"/>
      <c r="S87" s="1652">
        <f t="shared" si="5"/>
        <v>1.88</v>
      </c>
    </row>
    <row r="88" spans="1:19" ht="31">
      <c r="A88" s="1579">
        <v>20.399999999999999</v>
      </c>
      <c r="B88" s="1455" t="s">
        <v>1908</v>
      </c>
      <c r="C88" s="1545" t="s">
        <v>904</v>
      </c>
      <c r="D88" s="9" t="s">
        <v>1644</v>
      </c>
      <c r="E88" s="1653">
        <v>45429</v>
      </c>
      <c r="F88" s="560"/>
      <c r="G88" s="1653">
        <f t="shared" si="3"/>
        <v>45429</v>
      </c>
      <c r="H88" s="560"/>
      <c r="I88" s="1653" t="s">
        <v>1911</v>
      </c>
      <c r="J88" s="1653" t="s">
        <v>1911</v>
      </c>
      <c r="K88" s="560"/>
      <c r="L88" s="1653" t="s">
        <v>1911</v>
      </c>
      <c r="M88" s="879">
        <v>4.21</v>
      </c>
      <c r="N88" s="1273">
        <v>0</v>
      </c>
      <c r="O88" s="560"/>
      <c r="P88" s="1277">
        <f t="shared" si="4"/>
        <v>4.21</v>
      </c>
      <c r="Q88" s="560"/>
      <c r="R88" s="560"/>
      <c r="S88" s="1652">
        <f t="shared" si="5"/>
        <v>4.21</v>
      </c>
    </row>
    <row r="89" spans="1:19" ht="31">
      <c r="A89" s="1579">
        <v>20.5</v>
      </c>
      <c r="B89" s="1455" t="s">
        <v>1909</v>
      </c>
      <c r="C89" s="1545" t="s">
        <v>904</v>
      </c>
      <c r="D89" s="9" t="s">
        <v>1644</v>
      </c>
      <c r="E89" s="1653">
        <v>45429</v>
      </c>
      <c r="F89" s="560"/>
      <c r="G89" s="1653">
        <f t="shared" si="3"/>
        <v>45429</v>
      </c>
      <c r="H89" s="560"/>
      <c r="I89" s="1653" t="s">
        <v>1911</v>
      </c>
      <c r="J89" s="1653" t="s">
        <v>1911</v>
      </c>
      <c r="K89" s="560"/>
      <c r="L89" s="1653" t="s">
        <v>1911</v>
      </c>
      <c r="M89" s="879">
        <v>6.25</v>
      </c>
      <c r="N89" s="1273">
        <v>0</v>
      </c>
      <c r="O89" s="560"/>
      <c r="P89" s="1277">
        <f t="shared" si="4"/>
        <v>6.25</v>
      </c>
      <c r="Q89" s="560"/>
      <c r="R89" s="560"/>
      <c r="S89" s="1652">
        <f t="shared" si="5"/>
        <v>6.25</v>
      </c>
    </row>
    <row r="90" spans="1:19" ht="15.5">
      <c r="A90" s="1579">
        <v>20.6</v>
      </c>
      <c r="B90" s="1455" t="s">
        <v>1910</v>
      </c>
      <c r="C90" s="1545" t="s">
        <v>904</v>
      </c>
      <c r="D90" s="9" t="s">
        <v>1644</v>
      </c>
      <c r="E90" s="1653">
        <v>45429</v>
      </c>
      <c r="F90" s="560"/>
      <c r="G90" s="1653">
        <f t="shared" si="3"/>
        <v>45429</v>
      </c>
      <c r="H90" s="560"/>
      <c r="I90" s="1653" t="s">
        <v>1911</v>
      </c>
      <c r="J90" s="1653" t="s">
        <v>1911</v>
      </c>
      <c r="K90" s="560"/>
      <c r="L90" s="1653" t="s">
        <v>1911</v>
      </c>
      <c r="M90" s="879">
        <v>7.35</v>
      </c>
      <c r="N90" s="1273">
        <v>0</v>
      </c>
      <c r="O90" s="560"/>
      <c r="P90" s="1277">
        <f t="shared" si="4"/>
        <v>7.35</v>
      </c>
      <c r="Q90" s="560"/>
      <c r="R90" s="560"/>
      <c r="S90" s="1652">
        <f t="shared" si="5"/>
        <v>7.35</v>
      </c>
    </row>
    <row r="91" spans="1:19" ht="15.5">
      <c r="A91" s="1579">
        <v>0</v>
      </c>
      <c r="B91" s="1455" t="s">
        <v>415</v>
      </c>
      <c r="C91" s="1545">
        <v>0</v>
      </c>
      <c r="D91" s="9">
        <v>0</v>
      </c>
      <c r="E91" s="1653" t="s">
        <v>1911</v>
      </c>
      <c r="F91" s="560"/>
      <c r="G91" s="1653" t="str">
        <f t="shared" si="3"/>
        <v>-</v>
      </c>
      <c r="H91" s="560"/>
      <c r="I91" s="1653" t="s">
        <v>1911</v>
      </c>
      <c r="J91" s="1653" t="s">
        <v>1911</v>
      </c>
      <c r="K91" s="560"/>
      <c r="L91" s="1653" t="s">
        <v>1911</v>
      </c>
      <c r="M91" s="879">
        <v>0</v>
      </c>
      <c r="N91" s="1273">
        <v>0</v>
      </c>
      <c r="O91" s="560"/>
      <c r="P91" s="1277">
        <f t="shared" si="4"/>
        <v>0</v>
      </c>
      <c r="Q91" s="560"/>
      <c r="R91" s="560"/>
      <c r="S91" s="1652">
        <f t="shared" si="5"/>
        <v>0</v>
      </c>
    </row>
    <row r="92" spans="1:19" ht="31">
      <c r="A92" s="1442">
        <v>21</v>
      </c>
      <c r="B92" s="1576" t="s">
        <v>1657</v>
      </c>
      <c r="C92" s="1442" t="s">
        <v>896</v>
      </c>
      <c r="D92" s="1576" t="s">
        <v>1658</v>
      </c>
      <c r="E92" s="1651" t="s">
        <v>1911</v>
      </c>
      <c r="F92" s="560"/>
      <c r="G92" s="1651" t="str">
        <f t="shared" si="3"/>
        <v>-</v>
      </c>
      <c r="H92" s="560"/>
      <c r="I92" s="1651" t="s">
        <v>1911</v>
      </c>
      <c r="J92" s="1651" t="s">
        <v>1911</v>
      </c>
      <c r="K92" s="560"/>
      <c r="L92" s="1651" t="s">
        <v>1911</v>
      </c>
      <c r="M92" s="879">
        <v>0</v>
      </c>
      <c r="N92" s="1273">
        <v>0</v>
      </c>
      <c r="O92" s="560"/>
      <c r="P92" s="1277">
        <f t="shared" si="4"/>
        <v>0</v>
      </c>
      <c r="Q92" s="560"/>
      <c r="R92" s="560"/>
      <c r="S92" s="1652">
        <f t="shared" si="5"/>
        <v>0</v>
      </c>
    </row>
    <row r="93" spans="1:19" ht="31">
      <c r="A93" s="1579">
        <v>21.1</v>
      </c>
      <c r="B93" s="1455" t="s">
        <v>1912</v>
      </c>
      <c r="C93" s="1545" t="s">
        <v>904</v>
      </c>
      <c r="D93" s="9" t="s">
        <v>1658</v>
      </c>
      <c r="E93" s="1653">
        <v>45429</v>
      </c>
      <c r="F93" s="560"/>
      <c r="G93" s="1653">
        <f t="shared" si="3"/>
        <v>45429</v>
      </c>
      <c r="H93" s="560"/>
      <c r="I93" s="1653" t="s">
        <v>1911</v>
      </c>
      <c r="J93" s="1653" t="s">
        <v>1911</v>
      </c>
      <c r="K93" s="560"/>
      <c r="L93" s="1653" t="s">
        <v>1911</v>
      </c>
      <c r="M93" s="879">
        <v>11.35</v>
      </c>
      <c r="N93" s="1273">
        <v>0</v>
      </c>
      <c r="O93" s="560"/>
      <c r="P93" s="1277">
        <f t="shared" si="4"/>
        <v>11.35</v>
      </c>
      <c r="Q93" s="560"/>
      <c r="R93" s="560"/>
      <c r="S93" s="1652">
        <f t="shared" si="5"/>
        <v>11.35</v>
      </c>
    </row>
    <row r="94" spans="1:19" ht="15.5">
      <c r="A94" s="1579">
        <v>21.2</v>
      </c>
      <c r="B94" s="1455" t="s">
        <v>1913</v>
      </c>
      <c r="C94" s="1545" t="s">
        <v>904</v>
      </c>
      <c r="D94" s="9" t="s">
        <v>1658</v>
      </c>
      <c r="E94" s="1653">
        <v>45429</v>
      </c>
      <c r="F94" s="560"/>
      <c r="G94" s="1653">
        <f t="shared" si="3"/>
        <v>45429</v>
      </c>
      <c r="H94" s="560"/>
      <c r="I94" s="1653" t="s">
        <v>1911</v>
      </c>
      <c r="J94" s="1653" t="s">
        <v>1911</v>
      </c>
      <c r="K94" s="560"/>
      <c r="L94" s="1653" t="s">
        <v>1911</v>
      </c>
      <c r="M94" s="879">
        <v>5.73</v>
      </c>
      <c r="N94" s="1273">
        <v>0</v>
      </c>
      <c r="O94" s="560"/>
      <c r="P94" s="1277">
        <f t="shared" si="4"/>
        <v>5.73</v>
      </c>
      <c r="Q94" s="560"/>
      <c r="R94" s="560"/>
      <c r="S94" s="1652">
        <f t="shared" si="5"/>
        <v>5.73</v>
      </c>
    </row>
    <row r="95" spans="1:19" ht="31">
      <c r="A95" s="1579">
        <v>21.3</v>
      </c>
      <c r="B95" s="1455" t="s">
        <v>1914</v>
      </c>
      <c r="C95" s="1545" t="s">
        <v>904</v>
      </c>
      <c r="D95" s="9" t="s">
        <v>1658</v>
      </c>
      <c r="E95" s="1653">
        <v>45429</v>
      </c>
      <c r="F95" s="560"/>
      <c r="G95" s="1653">
        <f t="shared" si="3"/>
        <v>45429</v>
      </c>
      <c r="H95" s="560"/>
      <c r="I95" s="1653" t="s">
        <v>1911</v>
      </c>
      <c r="J95" s="1653" t="s">
        <v>1911</v>
      </c>
      <c r="K95" s="560"/>
      <c r="L95" s="1653" t="s">
        <v>1911</v>
      </c>
      <c r="M95" s="879">
        <v>1.77</v>
      </c>
      <c r="N95" s="1273">
        <v>0</v>
      </c>
      <c r="O95" s="560"/>
      <c r="P95" s="1277">
        <f t="shared" si="4"/>
        <v>1.77</v>
      </c>
      <c r="Q95" s="560"/>
      <c r="R95" s="560"/>
      <c r="S95" s="1652">
        <f t="shared" si="5"/>
        <v>1.77</v>
      </c>
    </row>
    <row r="96" spans="1:19" ht="31">
      <c r="A96" s="1579">
        <v>21.4</v>
      </c>
      <c r="B96" s="1455" t="s">
        <v>1915</v>
      </c>
      <c r="C96" s="1545" t="s">
        <v>904</v>
      </c>
      <c r="D96" s="9" t="s">
        <v>1658</v>
      </c>
      <c r="E96" s="1653">
        <v>45429</v>
      </c>
      <c r="F96" s="560"/>
      <c r="G96" s="1653">
        <f t="shared" si="3"/>
        <v>45429</v>
      </c>
      <c r="H96" s="560"/>
      <c r="I96" s="1653" t="s">
        <v>1911</v>
      </c>
      <c r="J96" s="1653" t="s">
        <v>1911</v>
      </c>
      <c r="K96" s="560"/>
      <c r="L96" s="1653" t="s">
        <v>1911</v>
      </c>
      <c r="M96" s="879">
        <v>9.01</v>
      </c>
      <c r="N96" s="1273">
        <v>0</v>
      </c>
      <c r="O96" s="560"/>
      <c r="P96" s="1277">
        <f t="shared" si="4"/>
        <v>9.01</v>
      </c>
      <c r="Q96" s="560"/>
      <c r="R96" s="560"/>
      <c r="S96" s="1652">
        <f t="shared" si="5"/>
        <v>9.01</v>
      </c>
    </row>
    <row r="97" spans="1:19" ht="31">
      <c r="A97" s="1579">
        <v>21.5</v>
      </c>
      <c r="B97" s="1455" t="s">
        <v>1916</v>
      </c>
      <c r="C97" s="1545" t="s">
        <v>904</v>
      </c>
      <c r="D97" s="9" t="s">
        <v>1658</v>
      </c>
      <c r="E97" s="1653">
        <v>45429</v>
      </c>
      <c r="F97" s="560"/>
      <c r="G97" s="1653">
        <f t="shared" si="3"/>
        <v>45429</v>
      </c>
      <c r="H97" s="560"/>
      <c r="I97" s="1653" t="s">
        <v>1911</v>
      </c>
      <c r="J97" s="1653" t="s">
        <v>1911</v>
      </c>
      <c r="K97" s="560"/>
      <c r="L97" s="1653" t="s">
        <v>1911</v>
      </c>
      <c r="M97" s="879">
        <v>3.85</v>
      </c>
      <c r="N97" s="1273">
        <v>0</v>
      </c>
      <c r="O97" s="560"/>
      <c r="P97" s="1277">
        <f t="shared" si="4"/>
        <v>3.85</v>
      </c>
      <c r="Q97" s="560"/>
      <c r="R97" s="560"/>
      <c r="S97" s="1652">
        <f t="shared" si="5"/>
        <v>3.85</v>
      </c>
    </row>
    <row r="98" spans="1:19" ht="31">
      <c r="A98" s="1579">
        <v>21.6</v>
      </c>
      <c r="B98" s="1455" t="s">
        <v>1917</v>
      </c>
      <c r="C98" s="1545" t="s">
        <v>904</v>
      </c>
      <c r="D98" s="9" t="s">
        <v>1658</v>
      </c>
      <c r="E98" s="1653">
        <v>45429</v>
      </c>
      <c r="F98" s="560"/>
      <c r="G98" s="1653">
        <f t="shared" si="3"/>
        <v>45429</v>
      </c>
      <c r="H98" s="560"/>
      <c r="I98" s="1653" t="s">
        <v>1911</v>
      </c>
      <c r="J98" s="1653" t="s">
        <v>1911</v>
      </c>
      <c r="K98" s="560"/>
      <c r="L98" s="1653" t="s">
        <v>1911</v>
      </c>
      <c r="M98" s="879">
        <v>8.6199999999999992</v>
      </c>
      <c r="N98" s="1273">
        <v>0</v>
      </c>
      <c r="O98" s="560"/>
      <c r="P98" s="1277">
        <f t="shared" si="4"/>
        <v>8.6199999999999992</v>
      </c>
      <c r="Q98" s="560"/>
      <c r="R98" s="560"/>
      <c r="S98" s="1652">
        <f t="shared" si="5"/>
        <v>8.6199999999999992</v>
      </c>
    </row>
    <row r="99" spans="1:19" ht="31">
      <c r="A99" s="1579">
        <v>21.7</v>
      </c>
      <c r="B99" s="1455" t="s">
        <v>1918</v>
      </c>
      <c r="C99" s="1545" t="s">
        <v>904</v>
      </c>
      <c r="D99" s="9" t="s">
        <v>1658</v>
      </c>
      <c r="E99" s="1653">
        <v>45429</v>
      </c>
      <c r="F99" s="560"/>
      <c r="G99" s="1653">
        <f t="shared" si="3"/>
        <v>45429</v>
      </c>
      <c r="H99" s="560"/>
      <c r="I99" s="1653" t="s">
        <v>1911</v>
      </c>
      <c r="J99" s="1653" t="s">
        <v>1911</v>
      </c>
      <c r="K99" s="560"/>
      <c r="L99" s="1653" t="s">
        <v>1911</v>
      </c>
      <c r="M99" s="879">
        <v>8.06</v>
      </c>
      <c r="N99" s="1273">
        <v>0</v>
      </c>
      <c r="O99" s="560"/>
      <c r="P99" s="1277">
        <f t="shared" si="4"/>
        <v>8.06</v>
      </c>
      <c r="Q99" s="560"/>
      <c r="R99" s="560"/>
      <c r="S99" s="1652">
        <f t="shared" si="5"/>
        <v>8.06</v>
      </c>
    </row>
    <row r="100" spans="1:19" ht="31">
      <c r="A100" s="1579">
        <v>21.8</v>
      </c>
      <c r="B100" s="1455" t="s">
        <v>1919</v>
      </c>
      <c r="C100" s="1545" t="s">
        <v>904</v>
      </c>
      <c r="D100" s="9" t="s">
        <v>1658</v>
      </c>
      <c r="E100" s="1653">
        <v>45429</v>
      </c>
      <c r="F100" s="560"/>
      <c r="G100" s="1653">
        <f t="shared" si="3"/>
        <v>45429</v>
      </c>
      <c r="H100" s="560"/>
      <c r="I100" s="1653" t="s">
        <v>1911</v>
      </c>
      <c r="J100" s="1653" t="s">
        <v>1911</v>
      </c>
      <c r="K100" s="560"/>
      <c r="L100" s="1653" t="s">
        <v>1911</v>
      </c>
      <c r="M100" s="879">
        <v>4.9800000000000004</v>
      </c>
      <c r="N100" s="1273">
        <v>0</v>
      </c>
      <c r="O100" s="560"/>
      <c r="P100" s="1277">
        <f t="shared" si="4"/>
        <v>4.9800000000000004</v>
      </c>
      <c r="Q100" s="560"/>
      <c r="R100" s="560"/>
      <c r="S100" s="1652">
        <f t="shared" si="5"/>
        <v>4.9800000000000004</v>
      </c>
    </row>
    <row r="101" spans="1:19" ht="31">
      <c r="A101" s="1455">
        <v>21.9</v>
      </c>
      <c r="B101" s="1455" t="s">
        <v>1920</v>
      </c>
      <c r="C101" s="1545" t="s">
        <v>904</v>
      </c>
      <c r="D101" s="9" t="s">
        <v>1658</v>
      </c>
      <c r="E101" s="1653">
        <v>45429</v>
      </c>
      <c r="F101" s="560"/>
      <c r="G101" s="1653">
        <f t="shared" si="3"/>
        <v>45429</v>
      </c>
      <c r="H101" s="560"/>
      <c r="I101" s="1653" t="s">
        <v>1911</v>
      </c>
      <c r="J101" s="1653" t="s">
        <v>1911</v>
      </c>
      <c r="K101" s="560"/>
      <c r="L101" s="1653" t="s">
        <v>1911</v>
      </c>
      <c r="M101" s="879">
        <v>3.92</v>
      </c>
      <c r="N101" s="1273">
        <v>0</v>
      </c>
      <c r="O101" s="560"/>
      <c r="P101" s="1277">
        <f t="shared" si="4"/>
        <v>3.92</v>
      </c>
      <c r="Q101" s="560"/>
      <c r="R101" s="560"/>
      <c r="S101" s="1652">
        <f t="shared" si="5"/>
        <v>3.92</v>
      </c>
    </row>
    <row r="102" spans="1:19" ht="15.5">
      <c r="A102" s="1455">
        <v>0</v>
      </c>
      <c r="B102" s="1455" t="s">
        <v>415</v>
      </c>
      <c r="C102" s="1545">
        <v>0</v>
      </c>
      <c r="D102" s="9">
        <v>0</v>
      </c>
      <c r="E102" s="1653" t="s">
        <v>1911</v>
      </c>
      <c r="F102" s="560"/>
      <c r="G102" s="1653" t="str">
        <f t="shared" si="3"/>
        <v>-</v>
      </c>
      <c r="H102" s="560"/>
      <c r="I102" s="1653" t="s">
        <v>1911</v>
      </c>
      <c r="J102" s="1653" t="s">
        <v>1911</v>
      </c>
      <c r="K102" s="560"/>
      <c r="L102" s="1653" t="s">
        <v>1911</v>
      </c>
      <c r="M102" s="879">
        <v>0</v>
      </c>
      <c r="N102" s="1273">
        <v>0</v>
      </c>
      <c r="O102" s="560"/>
      <c r="P102" s="1277">
        <f t="shared" si="4"/>
        <v>0</v>
      </c>
      <c r="Q102" s="560"/>
      <c r="R102" s="560"/>
      <c r="S102" s="1652">
        <f t="shared" si="5"/>
        <v>0</v>
      </c>
    </row>
  </sheetData>
  <autoFilter ref="S9:S101" xr:uid="{00000000-0009-0000-0000-000012000000}"/>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0">
    <cfRule type="containsText" dxfId="162" priority="29" operator="containsText" text="DPR not submitted">
      <formula>NOT(ISERROR(SEARCH("DPR not submitted",D10)))</formula>
    </cfRule>
    <cfRule type="containsText" dxfId="161" priority="30" operator="containsText" text="Yet to be approved">
      <formula>NOT(ISERROR(SEARCH("Yet to be approved",D10)))</formula>
    </cfRule>
  </conditionalFormatting>
  <conditionalFormatting sqref="D12:D50">
    <cfRule type="containsText" dxfId="160" priority="13" operator="containsText" text="Yet to be approved">
      <formula>NOT(ISERROR(SEARCH("Yet to be approved",D12)))</formula>
    </cfRule>
  </conditionalFormatting>
  <conditionalFormatting sqref="D12:D67">
    <cfRule type="containsText" dxfId="159" priority="12" operator="containsText" text="DPR not submitted">
      <formula>NOT(ISERROR(SEARCH("DPR not submitted",D12)))</formula>
    </cfRule>
  </conditionalFormatting>
  <conditionalFormatting sqref="D51:D58">
    <cfRule type="containsText" dxfId="158" priority="28" operator="containsText" text="Yet to be approved">
      <formula>NOT(ISERROR(SEARCH("Yet to be approved",D51)))</formula>
    </cfRule>
  </conditionalFormatting>
  <conditionalFormatting sqref="D57">
    <cfRule type="containsText" dxfId="157" priority="26" operator="containsText" text="DPR returmed back for non compliance of queries">
      <formula>NOT(ISERROR(SEARCH("DPR returmed back for non compliance of queries",D57)))</formula>
    </cfRule>
    <cfRule type="containsText" dxfId="156" priority="27" operator="containsText" text="DPR not approved">
      <formula>NOT(ISERROR(SEARCH("DPR not approved",D57)))</formula>
    </cfRule>
  </conditionalFormatting>
  <conditionalFormatting sqref="D59">
    <cfRule type="containsText" dxfId="155" priority="23" operator="containsText" text="DPR returmed back for non compliance of queries">
      <formula>NOT(ISERROR(SEARCH("DPR returmed back for non compliance of queries",D59)))</formula>
    </cfRule>
    <cfRule type="containsText" dxfId="154" priority="24" operator="containsText" text="DPR not approved">
      <formula>NOT(ISERROR(SEARCH("DPR not approved",D59)))</formula>
    </cfRule>
    <cfRule type="containsText" dxfId="153" priority="25" operator="containsText" text="Yet to be approved">
      <formula>NOT(ISERROR(SEARCH("Yet to be approved",D59)))</formula>
    </cfRule>
  </conditionalFormatting>
  <conditionalFormatting sqref="D60">
    <cfRule type="containsText" dxfId="152" priority="16" operator="containsText" text="Yet to be approved">
      <formula>NOT(ISERROR(SEARCH("Yet to be approved",D60)))</formula>
    </cfRule>
  </conditionalFormatting>
  <conditionalFormatting sqref="D61">
    <cfRule type="containsText" dxfId="151" priority="20" operator="containsText" text="DPR returmed back for non compliance of queries">
      <formula>NOT(ISERROR(SEARCH("DPR returmed back for non compliance of queries",D61)))</formula>
    </cfRule>
    <cfRule type="containsText" dxfId="150" priority="21" operator="containsText" text="DPR not approved">
      <formula>NOT(ISERROR(SEARCH("DPR not approved",D61)))</formula>
    </cfRule>
    <cfRule type="containsText" dxfId="149" priority="22" operator="containsText" text="Yet to be approved">
      <formula>NOT(ISERROR(SEARCH("Yet to be approved",D61)))</formula>
    </cfRule>
  </conditionalFormatting>
  <conditionalFormatting sqref="D62:D64">
    <cfRule type="containsText" dxfId="148" priority="15" operator="containsText" text="Yet to be approved">
      <formula>NOT(ISERROR(SEARCH("Yet to be approved",D62)))</formula>
    </cfRule>
  </conditionalFormatting>
  <conditionalFormatting sqref="D65">
    <cfRule type="containsText" dxfId="147" priority="17" operator="containsText" text="DPR returmed back for non compliance of queries">
      <formula>NOT(ISERROR(SEARCH("DPR returmed back for non compliance of queries",D65)))</formula>
    </cfRule>
    <cfRule type="containsText" dxfId="146" priority="18" operator="containsText" text="DPR not approved">
      <formula>NOT(ISERROR(SEARCH("DPR not approved",D65)))</formula>
    </cfRule>
    <cfRule type="containsText" dxfId="145" priority="19" operator="containsText" text="Yet to be approved">
      <formula>NOT(ISERROR(SEARCH("Yet to be approved",D65)))</formula>
    </cfRule>
  </conditionalFormatting>
  <conditionalFormatting sqref="D66:D67">
    <cfRule type="containsText" dxfId="144" priority="14" operator="containsText" text="Yet to be approved">
      <formula>NOT(ISERROR(SEARCH("Yet to be approved",D66)))</formula>
    </cfRule>
  </conditionalFormatting>
  <conditionalFormatting sqref="D72">
    <cfRule type="containsText" dxfId="143" priority="10" operator="containsText" text="DPR not submitted">
      <formula>NOT(ISERROR(SEARCH("DPR not submitted",D72)))</formula>
    </cfRule>
    <cfRule type="containsText" dxfId="142" priority="11" operator="containsText" text="Yet to be approved">
      <formula>NOT(ISERROR(SEARCH("Yet to be approved",D72)))</formula>
    </cfRule>
  </conditionalFormatting>
  <conditionalFormatting sqref="D78">
    <cfRule type="containsText" dxfId="141" priority="8" operator="containsText" text="DPR not submitted">
      <formula>NOT(ISERROR(SEARCH("DPR not submitted",D78)))</formula>
    </cfRule>
    <cfRule type="containsText" dxfId="140" priority="9" operator="containsText" text="Yet to be approved">
      <formula>NOT(ISERROR(SEARCH("Yet to be approved",D78)))</formula>
    </cfRule>
  </conditionalFormatting>
  <conditionalFormatting sqref="D81">
    <cfRule type="containsText" dxfId="139" priority="4" operator="containsText" text="DPR not submitted">
      <formula>NOT(ISERROR(SEARCH("DPR not submitted",D81)))</formula>
    </cfRule>
    <cfRule type="containsText" dxfId="138" priority="5" operator="containsText" text="Yet to be approved">
      <formula>NOT(ISERROR(SEARCH("Yet to be approved",D81)))</formula>
    </cfRule>
  </conditionalFormatting>
  <conditionalFormatting sqref="D84">
    <cfRule type="containsText" dxfId="137" priority="6" operator="containsText" text="DPR not submitted">
      <formula>NOT(ISERROR(SEARCH("DPR not submitted",D84)))</formula>
    </cfRule>
    <cfRule type="containsText" dxfId="136" priority="7" operator="containsText" text="Yet to be approved">
      <formula>NOT(ISERROR(SEARCH("Yet to be approved",D84)))</formula>
    </cfRule>
  </conditionalFormatting>
  <conditionalFormatting sqref="D92">
    <cfRule type="containsText" dxfId="135" priority="2" operator="containsText" text="DPR not submitted">
      <formula>NOT(ISERROR(SEARCH("DPR not submitted",D92)))</formula>
    </cfRule>
    <cfRule type="containsText" dxfId="134" priority="3" operator="containsText" text="Yet to be approved">
      <formula>NOT(ISERROR(SEARCH("Yet to be approved",D92)))</formula>
    </cfRule>
  </conditionalFormatting>
  <conditionalFormatting sqref="S1:S1048576">
    <cfRule type="cellIs" dxfId="133" priority="1" operator="lessThan">
      <formula>0</formula>
    </cfRule>
  </conditionalFormatting>
  <pageMargins left="0.47244094488188981" right="0.19685039370078741" top="0.39370078740157483" bottom="0.35433070866141736" header="0.23622047244094491" footer="0.23622047244094491"/>
  <pageSetup paperSize="9" scale="52" fitToWidth="2" fitToHeight="4" pageOrder="overThenDown" orientation="landscape" blackAndWhite="1" r:id="rId1"/>
  <headerFooter alignWithMargins="0">
    <oddHeader>&amp;F</oddHeader>
  </headerFooter>
  <colBreaks count="1" manualBreakCount="1">
    <brk id="12" max="102"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G422"/>
  <sheetViews>
    <sheetView view="pageBreakPreview" zoomScale="80" zoomScaleNormal="80" zoomScaleSheetLayoutView="80" workbookViewId="0">
      <pane xSplit="2" ySplit="6" topLeftCell="U230" activePane="bottomRight" state="frozen"/>
      <selection activeCell="N10" sqref="N10"/>
      <selection pane="topRight" activeCell="N10" sqref="N10"/>
      <selection pane="bottomLeft" activeCell="N10" sqref="N10"/>
      <selection pane="bottomRight" activeCell="U235" sqref="U235"/>
    </sheetView>
  </sheetViews>
  <sheetFormatPr defaultColWidth="9.1796875" defaultRowHeight="14" outlineLevelRow="1" outlineLevelCol="1"/>
  <cols>
    <col min="1" max="1" width="8.1796875" style="1411" bestFit="1" customWidth="1"/>
    <col min="2" max="2" width="43.7265625" style="96" customWidth="1"/>
    <col min="3" max="3" width="10.81640625" style="96" customWidth="1" outlineLevel="1"/>
    <col min="4" max="4" width="23" style="96" customWidth="1" outlineLevel="1"/>
    <col min="5" max="6" width="14.54296875" style="1487" customWidth="1" outlineLevel="1"/>
    <col min="7" max="7" width="12.26953125" style="96" customWidth="1" outlineLevel="1"/>
    <col min="8" max="8" width="12.54296875" style="96" customWidth="1" outlineLevel="1" collapsed="1"/>
    <col min="9" max="10" width="10.81640625" style="96" customWidth="1" outlineLevel="1"/>
    <col min="11" max="11" width="13.26953125" style="1487" customWidth="1" outlineLevel="1"/>
    <col min="12" max="14" width="14.453125" style="1487" customWidth="1" outlineLevel="1"/>
    <col min="15" max="15" width="47.1796875" style="96" customWidth="1"/>
    <col min="16" max="16" width="16.54296875" style="320" hidden="1" customWidth="1" collapsed="1"/>
    <col min="17" max="17" width="15.54296875" style="320" hidden="1" customWidth="1" collapsed="1"/>
    <col min="18" max="19" width="14.453125" style="320" hidden="1" customWidth="1"/>
    <col min="20" max="22" width="14.453125" style="320" customWidth="1" outlineLevel="1"/>
    <col min="23" max="27" width="11.81640625" style="320" customWidth="1" outlineLevel="1"/>
    <col min="28" max="28" width="11.81640625" style="320" customWidth="1"/>
    <col min="29" max="29" width="12.7265625" style="1498" customWidth="1" outlineLevel="1"/>
    <col min="30" max="32" width="10.7265625" style="1498" customWidth="1" outlineLevel="1"/>
    <col min="33" max="35" width="12.54296875" style="1498" customWidth="1" outlineLevel="1"/>
    <col min="36" max="39" width="11.81640625" style="320" customWidth="1" outlineLevel="1"/>
    <col min="40" max="40" width="11.81640625" style="320" customWidth="1"/>
    <col min="41" max="41" width="12.26953125" style="320" hidden="1" customWidth="1"/>
    <col min="42" max="44" width="12.54296875" style="320" hidden="1" customWidth="1"/>
    <col min="45" max="47" width="12.54296875" style="320" customWidth="1" outlineLevel="1"/>
    <col min="48" max="48" width="12.54296875" style="320" customWidth="1" outlineLevel="1" collapsed="1"/>
    <col min="49" max="52" width="11.81640625" style="320" customWidth="1" outlineLevel="1"/>
    <col min="53" max="53" width="11.81640625" style="320" customWidth="1"/>
    <col min="54" max="54" width="14.453125" style="320" customWidth="1"/>
    <col min="55" max="55" width="57.81640625" style="494" customWidth="1"/>
    <col min="56" max="56" width="18.54296875" style="1411" customWidth="1"/>
    <col min="57" max="57" width="12.54296875" style="96" customWidth="1"/>
    <col min="58" max="58" width="13.453125" style="96" customWidth="1"/>
    <col min="59" max="59" width="13.54296875" style="96" customWidth="1"/>
    <col min="60" max="62" width="9.1796875" style="96"/>
    <col min="63" max="63" width="11.26953125" style="96" customWidth="1"/>
    <col min="64" max="16384" width="9.1796875" style="96"/>
  </cols>
  <sheetData>
    <row r="1" spans="1:59">
      <c r="A1" s="562"/>
      <c r="B1" s="563"/>
      <c r="C1" s="563"/>
      <c r="D1" s="564" t="s">
        <v>1819</v>
      </c>
      <c r="E1" s="1278"/>
      <c r="F1" s="1278"/>
      <c r="G1" s="563"/>
      <c r="H1" s="563"/>
      <c r="I1" s="563"/>
      <c r="J1" s="563"/>
      <c r="K1" s="1278"/>
      <c r="L1" s="1278"/>
      <c r="M1" s="1278"/>
      <c r="O1" s="563"/>
      <c r="P1" s="1488"/>
      <c r="Q1" s="1488"/>
      <c r="R1" s="1488"/>
      <c r="S1" s="1488"/>
      <c r="T1" s="1488"/>
      <c r="U1" s="1488"/>
      <c r="V1" s="1489"/>
      <c r="W1" s="1489"/>
      <c r="X1" s="1489"/>
      <c r="Y1" s="1489"/>
      <c r="Z1" s="1489"/>
      <c r="AA1" s="1489"/>
      <c r="AB1" s="1489"/>
      <c r="AC1" s="1490"/>
      <c r="AD1" s="1490"/>
      <c r="AE1" s="1491"/>
      <c r="AF1" s="1491"/>
      <c r="AG1" s="1491"/>
      <c r="AH1" s="1492"/>
      <c r="AI1" s="1492"/>
      <c r="AJ1" s="1489"/>
      <c r="AK1" s="1489"/>
      <c r="AL1" s="1489"/>
      <c r="AM1" s="1489"/>
      <c r="AN1" s="1489"/>
      <c r="AO1" s="1493"/>
      <c r="AP1" s="1493"/>
      <c r="AQ1" s="1493"/>
      <c r="AR1" s="1493"/>
      <c r="AS1" s="1493"/>
      <c r="AT1" s="1493"/>
      <c r="AU1" s="1493"/>
      <c r="AV1" s="1493"/>
      <c r="AW1" s="1489"/>
      <c r="AX1" s="1489"/>
      <c r="AY1" s="1489"/>
      <c r="AZ1" s="1489"/>
      <c r="BA1" s="1489"/>
      <c r="BB1" s="1493"/>
      <c r="BC1" s="1279"/>
      <c r="BE1" s="1411" t="s">
        <v>896</v>
      </c>
      <c r="BF1" s="96" t="s">
        <v>902</v>
      </c>
    </row>
    <row r="2" spans="1:59">
      <c r="A2" s="565"/>
      <c r="B2" s="1494"/>
      <c r="C2" s="1494"/>
      <c r="D2" s="1665" t="s">
        <v>1820</v>
      </c>
      <c r="E2" s="1430"/>
      <c r="F2" s="1430"/>
      <c r="G2" s="1494"/>
      <c r="H2" s="1495"/>
      <c r="I2" s="1494"/>
      <c r="J2" s="1494"/>
      <c r="K2" s="1430"/>
      <c r="L2" s="1430"/>
      <c r="M2" s="1430"/>
      <c r="O2" s="1494"/>
      <c r="P2" s="1431"/>
      <c r="Q2" s="1431"/>
      <c r="R2" s="1431"/>
      <c r="S2" s="1431"/>
      <c r="T2" s="1431"/>
      <c r="U2" s="1431"/>
      <c r="V2" s="1432"/>
      <c r="W2" s="1432"/>
      <c r="X2" s="1432"/>
      <c r="Y2" s="1432"/>
      <c r="Z2" s="1432"/>
      <c r="AA2" s="1432"/>
      <c r="AB2" s="1432"/>
      <c r="AC2" s="1496"/>
      <c r="AD2" s="1496"/>
      <c r="AE2" s="1497"/>
      <c r="AF2" s="1497"/>
      <c r="AG2" s="1497"/>
      <c r="AJ2" s="1432"/>
      <c r="AK2" s="1432"/>
      <c r="AL2" s="1432"/>
      <c r="AM2" s="1432"/>
      <c r="AN2" s="1432"/>
      <c r="AW2" s="1432"/>
      <c r="AX2" s="1432"/>
      <c r="AY2" s="1432"/>
      <c r="AZ2" s="1432"/>
      <c r="BA2" s="1432"/>
      <c r="BE2" s="1411" t="s">
        <v>904</v>
      </c>
      <c r="BF2" s="96" t="s">
        <v>905</v>
      </c>
    </row>
    <row r="3" spans="1:59">
      <c r="A3" s="566"/>
      <c r="B3" s="1280" t="s">
        <v>0</v>
      </c>
      <c r="C3" s="567"/>
      <c r="D3" s="567" t="s">
        <v>604</v>
      </c>
      <c r="E3" s="1281"/>
      <c r="F3" s="1281"/>
      <c r="G3" s="567"/>
      <c r="H3" s="567"/>
      <c r="I3" s="567"/>
      <c r="J3" s="567"/>
      <c r="K3" s="1281"/>
      <c r="L3" s="1281"/>
      <c r="M3" s="1281"/>
      <c r="O3" s="1282"/>
      <c r="P3" s="1499"/>
      <c r="Q3" s="1499"/>
      <c r="R3" s="1499"/>
      <c r="S3" s="1499"/>
      <c r="T3" s="1499"/>
      <c r="U3" s="1499"/>
      <c r="V3" s="1499"/>
      <c r="W3" s="1499"/>
      <c r="X3" s="1499"/>
      <c r="Y3" s="1499"/>
      <c r="Z3" s="1499"/>
      <c r="AA3" s="1499"/>
      <c r="AB3" s="1499"/>
      <c r="AC3" s="1500"/>
      <c r="AD3" s="1500"/>
      <c r="AE3" s="1500"/>
      <c r="AF3" s="1500"/>
      <c r="AG3" s="1500"/>
      <c r="AH3" s="1500"/>
      <c r="AI3" s="1500"/>
      <c r="AJ3" s="1499"/>
      <c r="AK3" s="1499"/>
      <c r="AL3" s="1499"/>
      <c r="AM3" s="1499"/>
      <c r="AN3" s="1499"/>
      <c r="AO3" s="1499"/>
      <c r="AP3" s="1499"/>
      <c r="AQ3" s="1499"/>
      <c r="AR3" s="1499"/>
      <c r="AS3" s="1499"/>
      <c r="AT3" s="1499"/>
      <c r="AU3" s="1499"/>
      <c r="AV3" s="1501" t="s">
        <v>10</v>
      </c>
      <c r="AW3" s="1499"/>
      <c r="AX3" s="1499"/>
      <c r="AY3" s="1499"/>
      <c r="AZ3" s="1499"/>
      <c r="BA3" s="1499"/>
      <c r="BB3" s="1502"/>
      <c r="BC3" s="1283"/>
      <c r="BE3" s="1411" t="s">
        <v>415</v>
      </c>
      <c r="BF3" s="96" t="s">
        <v>906</v>
      </c>
      <c r="BG3" s="1503"/>
    </row>
    <row r="4" spans="1:59">
      <c r="A4" s="1719" t="s">
        <v>341</v>
      </c>
      <c r="B4" s="1719" t="s">
        <v>16</v>
      </c>
      <c r="C4" s="1719" t="s">
        <v>1</v>
      </c>
      <c r="D4" s="1719" t="s">
        <v>491</v>
      </c>
      <c r="E4" s="1830" t="s">
        <v>897</v>
      </c>
      <c r="F4" s="1830" t="s">
        <v>492</v>
      </c>
      <c r="G4" s="1719" t="s">
        <v>898</v>
      </c>
      <c r="H4" s="1719" t="s">
        <v>496</v>
      </c>
      <c r="I4" s="1719" t="s">
        <v>19</v>
      </c>
      <c r="J4" s="1719" t="s">
        <v>554</v>
      </c>
      <c r="K4" s="1830" t="s">
        <v>497</v>
      </c>
      <c r="L4" s="1830" t="s">
        <v>498</v>
      </c>
      <c r="M4" s="1830" t="s">
        <v>499</v>
      </c>
      <c r="N4" s="1830" t="s">
        <v>500</v>
      </c>
      <c r="O4" s="1719" t="s">
        <v>17</v>
      </c>
      <c r="P4" s="1821" t="s">
        <v>22</v>
      </c>
      <c r="Q4" s="1821"/>
      <c r="R4" s="1821"/>
      <c r="S4" s="1821"/>
      <c r="T4" s="1821"/>
      <c r="U4" s="1821"/>
      <c r="V4" s="1821"/>
      <c r="W4" s="1821"/>
      <c r="X4" s="1662"/>
      <c r="Y4" s="1662"/>
      <c r="Z4" s="1662"/>
      <c r="AA4" s="1662"/>
      <c r="AB4" s="1662"/>
      <c r="AC4" s="1831" t="s">
        <v>20</v>
      </c>
      <c r="AD4" s="1831"/>
      <c r="AE4" s="1831"/>
      <c r="AF4" s="1831"/>
      <c r="AG4" s="1831"/>
      <c r="AH4" s="1831"/>
      <c r="AI4" s="1831"/>
      <c r="AJ4" s="1662"/>
      <c r="AK4" s="1662"/>
      <c r="AL4" s="1662"/>
      <c r="AM4" s="1662"/>
      <c r="AN4" s="1662"/>
      <c r="AO4" s="1821" t="s">
        <v>18</v>
      </c>
      <c r="AP4" s="1821"/>
      <c r="AQ4" s="1821"/>
      <c r="AR4" s="1821"/>
      <c r="AS4" s="1821"/>
      <c r="AT4" s="1821"/>
      <c r="AU4" s="1821"/>
      <c r="AV4" s="1821"/>
      <c r="AW4" s="1662"/>
      <c r="AX4" s="1662"/>
      <c r="AY4" s="1662"/>
      <c r="AZ4" s="1662"/>
      <c r="BA4" s="1662"/>
      <c r="BB4" s="1822" t="s">
        <v>899</v>
      </c>
      <c r="BC4" s="1825" t="s">
        <v>27</v>
      </c>
      <c r="BD4" s="1719" t="s">
        <v>900</v>
      </c>
      <c r="BE4" s="1411" t="s">
        <v>907</v>
      </c>
      <c r="BF4" s="1504" t="s">
        <v>908</v>
      </c>
    </row>
    <row r="5" spans="1:59" ht="15" customHeight="1">
      <c r="A5" s="1719"/>
      <c r="B5" s="1719"/>
      <c r="C5" s="1719"/>
      <c r="D5" s="1719"/>
      <c r="E5" s="1830"/>
      <c r="F5" s="1830"/>
      <c r="G5" s="1719"/>
      <c r="H5" s="1719"/>
      <c r="I5" s="1719"/>
      <c r="J5" s="1719"/>
      <c r="K5" s="1830"/>
      <c r="L5" s="1830"/>
      <c r="M5" s="1830"/>
      <c r="N5" s="1830"/>
      <c r="O5" s="1719"/>
      <c r="P5" s="1821" t="s">
        <v>681</v>
      </c>
      <c r="Q5" s="1662" t="s">
        <v>7</v>
      </c>
      <c r="R5" s="1662" t="s">
        <v>7</v>
      </c>
      <c r="S5" s="1662" t="s">
        <v>7</v>
      </c>
      <c r="T5" s="1821" t="s">
        <v>1497</v>
      </c>
      <c r="U5" s="1662" t="s">
        <v>7</v>
      </c>
      <c r="V5" s="1662" t="s">
        <v>7</v>
      </c>
      <c r="W5" s="1662" t="s">
        <v>682</v>
      </c>
      <c r="X5" s="1505" t="s">
        <v>21</v>
      </c>
      <c r="Y5" s="1505" t="s">
        <v>21</v>
      </c>
      <c r="Z5" s="1505" t="s">
        <v>21</v>
      </c>
      <c r="AA5" s="1505" t="s">
        <v>21</v>
      </c>
      <c r="AB5" s="1505" t="s">
        <v>21</v>
      </c>
      <c r="AC5" s="1828" t="s">
        <v>683</v>
      </c>
      <c r="AD5" s="1663" t="s">
        <v>7</v>
      </c>
      <c r="AE5" s="1663" t="s">
        <v>7</v>
      </c>
      <c r="AF5" s="1663" t="s">
        <v>7</v>
      </c>
      <c r="AG5" s="1662" t="s">
        <v>7</v>
      </c>
      <c r="AH5" s="1662" t="s">
        <v>7</v>
      </c>
      <c r="AI5" s="1662" t="s">
        <v>682</v>
      </c>
      <c r="AJ5" s="1505" t="s">
        <v>21</v>
      </c>
      <c r="AK5" s="1505" t="s">
        <v>21</v>
      </c>
      <c r="AL5" s="1505" t="s">
        <v>21</v>
      </c>
      <c r="AM5" s="1505" t="s">
        <v>21</v>
      </c>
      <c r="AN5" s="1505" t="s">
        <v>21</v>
      </c>
      <c r="AO5" s="1821" t="s">
        <v>684</v>
      </c>
      <c r="AP5" s="1662" t="s">
        <v>7</v>
      </c>
      <c r="AQ5" s="1662" t="s">
        <v>7</v>
      </c>
      <c r="AR5" s="1662" t="s">
        <v>7</v>
      </c>
      <c r="AS5" s="1821" t="s">
        <v>1498</v>
      </c>
      <c r="AT5" s="1662" t="s">
        <v>7</v>
      </c>
      <c r="AU5" s="1662" t="s">
        <v>7</v>
      </c>
      <c r="AV5" s="1662" t="s">
        <v>682</v>
      </c>
      <c r="AW5" s="1505" t="s">
        <v>21</v>
      </c>
      <c r="AX5" s="1505" t="s">
        <v>21</v>
      </c>
      <c r="AY5" s="1505" t="s">
        <v>21</v>
      </c>
      <c r="AZ5" s="1505" t="s">
        <v>21</v>
      </c>
      <c r="BA5" s="1505" t="s">
        <v>21</v>
      </c>
      <c r="BB5" s="1823"/>
      <c r="BC5" s="1826"/>
      <c r="BD5" s="1719"/>
      <c r="BF5" s="1504" t="s">
        <v>909</v>
      </c>
    </row>
    <row r="6" spans="1:59" ht="14.5">
      <c r="A6" s="1719"/>
      <c r="B6" s="1719"/>
      <c r="C6" s="1719"/>
      <c r="D6" s="1719"/>
      <c r="E6" s="1830"/>
      <c r="F6" s="1830"/>
      <c r="G6" s="1719"/>
      <c r="H6" s="1719"/>
      <c r="I6" s="1719"/>
      <c r="J6" s="1719"/>
      <c r="K6" s="1830"/>
      <c r="L6" s="1830"/>
      <c r="M6" s="1830"/>
      <c r="N6" s="1830"/>
      <c r="O6" s="1719"/>
      <c r="P6" s="1821"/>
      <c r="Q6" s="1662" t="s">
        <v>326</v>
      </c>
      <c r="R6" s="1662" t="s">
        <v>507</v>
      </c>
      <c r="S6" s="1662" t="s">
        <v>508</v>
      </c>
      <c r="T6" s="1821"/>
      <c r="U6" s="1662" t="s">
        <v>509</v>
      </c>
      <c r="V6" s="1662" t="s">
        <v>510</v>
      </c>
      <c r="W6" s="1662" t="s">
        <v>511</v>
      </c>
      <c r="X6" s="1505" t="s">
        <v>947</v>
      </c>
      <c r="Y6" s="1505" t="s">
        <v>948</v>
      </c>
      <c r="Z6" s="1505" t="s">
        <v>949</v>
      </c>
      <c r="AA6" s="1505" t="s">
        <v>950</v>
      </c>
      <c r="AB6" s="1505" t="s">
        <v>951</v>
      </c>
      <c r="AC6" s="1829"/>
      <c r="AD6" s="1663" t="s">
        <v>326</v>
      </c>
      <c r="AE6" s="1663" t="s">
        <v>507</v>
      </c>
      <c r="AF6" s="1663" t="s">
        <v>508</v>
      </c>
      <c r="AG6" s="1663" t="s">
        <v>509</v>
      </c>
      <c r="AH6" s="1663" t="s">
        <v>510</v>
      </c>
      <c r="AI6" s="1663" t="s">
        <v>511</v>
      </c>
      <c r="AJ6" s="1505" t="s">
        <v>947</v>
      </c>
      <c r="AK6" s="1505" t="s">
        <v>948</v>
      </c>
      <c r="AL6" s="1505" t="s">
        <v>949</v>
      </c>
      <c r="AM6" s="1505" t="s">
        <v>950</v>
      </c>
      <c r="AN6" s="1505" t="s">
        <v>951</v>
      </c>
      <c r="AO6" s="1821"/>
      <c r="AP6" s="1662" t="s">
        <v>326</v>
      </c>
      <c r="AQ6" s="1662" t="s">
        <v>507</v>
      </c>
      <c r="AR6" s="1662" t="s">
        <v>508</v>
      </c>
      <c r="AS6" s="1821"/>
      <c r="AT6" s="1662" t="s">
        <v>509</v>
      </c>
      <c r="AU6" s="1662" t="s">
        <v>510</v>
      </c>
      <c r="AV6" s="1662" t="s">
        <v>511</v>
      </c>
      <c r="AW6" s="1505" t="s">
        <v>947</v>
      </c>
      <c r="AX6" s="1505" t="s">
        <v>948</v>
      </c>
      <c r="AY6" s="1505" t="s">
        <v>949</v>
      </c>
      <c r="AZ6" s="1505" t="s">
        <v>950</v>
      </c>
      <c r="BA6" s="1505" t="s">
        <v>951</v>
      </c>
      <c r="BB6" s="1824"/>
      <c r="BC6" s="1827"/>
      <c r="BD6" s="1719"/>
      <c r="BF6" s="1284" t="s">
        <v>910</v>
      </c>
    </row>
    <row r="7" spans="1:59" ht="14.5">
      <c r="A7" s="1270"/>
      <c r="B7" s="1270"/>
      <c r="C7" s="1270"/>
      <c r="D7" s="1270"/>
      <c r="E7" s="1285"/>
      <c r="F7" s="1285"/>
      <c r="G7" s="1270"/>
      <c r="H7" s="1270"/>
      <c r="I7" s="1270"/>
      <c r="J7" s="1270"/>
      <c r="K7" s="1285"/>
      <c r="L7" s="1285"/>
      <c r="M7" s="1285"/>
      <c r="N7" s="1285"/>
      <c r="O7" s="1270"/>
      <c r="P7" s="1506"/>
      <c r="Q7" s="1506"/>
      <c r="R7" s="1506"/>
      <c r="S7" s="1506"/>
      <c r="T7" s="1506"/>
      <c r="U7" s="1506"/>
      <c r="V7" s="1506"/>
      <c r="W7" s="1506"/>
      <c r="X7" s="1506"/>
      <c r="Y7" s="1506"/>
      <c r="Z7" s="1506"/>
      <c r="AA7" s="1506"/>
      <c r="AB7" s="1506"/>
      <c r="AC7" s="1507"/>
      <c r="AD7" s="1507"/>
      <c r="AE7" s="1507"/>
      <c r="AF7" s="1507"/>
      <c r="AG7" s="1507"/>
      <c r="AH7" s="1507"/>
      <c r="AI7" s="1507"/>
      <c r="AJ7" s="1506"/>
      <c r="AK7" s="1506"/>
      <c r="AL7" s="1506"/>
      <c r="AM7" s="1506"/>
      <c r="AN7" s="1506"/>
      <c r="AO7" s="1506"/>
      <c r="AP7" s="1506"/>
      <c r="AQ7" s="1506"/>
      <c r="AR7" s="1506"/>
      <c r="AS7" s="1506"/>
      <c r="AT7" s="1506"/>
      <c r="AU7" s="1506"/>
      <c r="AV7" s="1506"/>
      <c r="AW7" s="1506"/>
      <c r="AX7" s="1506"/>
      <c r="AY7" s="1506"/>
      <c r="AZ7" s="1506"/>
      <c r="BA7" s="1506"/>
      <c r="BB7" s="1506"/>
      <c r="BC7" s="1270"/>
      <c r="BD7" s="1286" t="s">
        <v>901</v>
      </c>
      <c r="BF7" s="1287" t="s">
        <v>901</v>
      </c>
    </row>
    <row r="8" spans="1:59" ht="14.5">
      <c r="A8" s="131"/>
      <c r="B8" s="1288" t="s">
        <v>903</v>
      </c>
      <c r="C8" s="161"/>
      <c r="D8" s="161"/>
      <c r="E8" s="1321"/>
      <c r="F8" s="1321"/>
      <c r="G8" s="161"/>
      <c r="H8" s="161"/>
      <c r="I8" s="161"/>
      <c r="J8" s="161"/>
      <c r="K8" s="1321"/>
      <c r="L8" s="1321"/>
      <c r="M8" s="1321"/>
      <c r="N8" s="1321"/>
      <c r="O8" s="161"/>
      <c r="P8" s="318"/>
      <c r="Q8" s="318"/>
      <c r="R8" s="318"/>
      <c r="S8" s="318"/>
      <c r="T8" s="318"/>
      <c r="U8" s="318"/>
      <c r="V8" s="318"/>
      <c r="W8" s="318"/>
      <c r="X8" s="318"/>
      <c r="Y8" s="318"/>
      <c r="Z8" s="318"/>
      <c r="AA8" s="318"/>
      <c r="AB8" s="318"/>
      <c r="AC8" s="1508"/>
      <c r="AD8" s="1508"/>
      <c r="AE8" s="1508"/>
      <c r="AF8" s="1508"/>
      <c r="AG8" s="1508"/>
      <c r="AH8" s="1508"/>
      <c r="AI8" s="1508"/>
      <c r="AJ8" s="318"/>
      <c r="AK8" s="318"/>
      <c r="AL8" s="318"/>
      <c r="AM8" s="318"/>
      <c r="AN8" s="318"/>
      <c r="AO8" s="318"/>
      <c r="AP8" s="318"/>
      <c r="AQ8" s="318"/>
      <c r="AR8" s="318"/>
      <c r="AS8" s="318"/>
      <c r="AT8" s="318"/>
      <c r="AU8" s="318"/>
      <c r="AV8" s="318"/>
      <c r="AW8" s="318"/>
      <c r="AX8" s="318"/>
      <c r="AY8" s="318"/>
      <c r="AZ8" s="318"/>
      <c r="BA8" s="318"/>
      <c r="BB8" s="318"/>
      <c r="BC8" s="943"/>
      <c r="BD8" s="166" t="s">
        <v>901</v>
      </c>
      <c r="BF8" s="1287" t="s">
        <v>911</v>
      </c>
    </row>
    <row r="9" spans="1:59">
      <c r="A9" s="131"/>
      <c r="B9" s="1437" t="s">
        <v>1499</v>
      </c>
      <c r="C9" s="161"/>
      <c r="D9" s="161"/>
      <c r="E9" s="1321"/>
      <c r="F9" s="1321"/>
      <c r="G9" s="161"/>
      <c r="H9" s="161"/>
      <c r="I9" s="161"/>
      <c r="J9" s="161"/>
      <c r="K9" s="1321"/>
      <c r="L9" s="1321"/>
      <c r="M9" s="1321"/>
      <c r="N9" s="1321"/>
      <c r="O9" s="161"/>
      <c r="P9" s="318"/>
      <c r="Q9" s="318"/>
      <c r="R9" s="318"/>
      <c r="S9" s="318"/>
      <c r="T9" s="318"/>
      <c r="U9" s="318"/>
      <c r="V9" s="318"/>
      <c r="W9" s="318"/>
      <c r="X9" s="318"/>
      <c r="Y9" s="318"/>
      <c r="Z9" s="318"/>
      <c r="AA9" s="318"/>
      <c r="AB9" s="318"/>
      <c r="AC9" s="1508"/>
      <c r="AD9" s="1508"/>
      <c r="AE9" s="1508"/>
      <c r="AF9" s="1508"/>
      <c r="AG9" s="1508"/>
      <c r="AH9" s="1508"/>
      <c r="AI9" s="1508"/>
      <c r="AJ9" s="318"/>
      <c r="AK9" s="318"/>
      <c r="AL9" s="318"/>
      <c r="AM9" s="318"/>
      <c r="AN9" s="318"/>
      <c r="AO9" s="318"/>
      <c r="AP9" s="318"/>
      <c r="AQ9" s="318"/>
      <c r="AR9" s="318"/>
      <c r="AS9" s="318"/>
      <c r="AT9" s="318"/>
      <c r="AU9" s="318"/>
      <c r="AV9" s="318"/>
      <c r="AW9" s="318"/>
      <c r="AX9" s="318"/>
      <c r="AY9" s="318"/>
      <c r="AZ9" s="318"/>
      <c r="BA9" s="318"/>
      <c r="BB9" s="318"/>
      <c r="BC9" s="943"/>
      <c r="BD9" s="166" t="s">
        <v>901</v>
      </c>
    </row>
    <row r="10" spans="1:59" ht="47.25" customHeight="1" outlineLevel="1">
      <c r="A10" s="1440">
        <v>7</v>
      </c>
      <c r="B10" s="1441" t="s">
        <v>1500</v>
      </c>
      <c r="C10" s="1440" t="s">
        <v>896</v>
      </c>
      <c r="D10" s="1440" t="s">
        <v>1501</v>
      </c>
      <c r="E10" s="1509">
        <v>42307</v>
      </c>
      <c r="F10" s="1509">
        <v>42514</v>
      </c>
      <c r="G10" s="1289">
        <f>SUM(G11:G12)</f>
        <v>24</v>
      </c>
      <c r="H10" s="1289">
        <f>SUM(H11:H12)</f>
        <v>24</v>
      </c>
      <c r="I10" s="568"/>
      <c r="J10" s="568"/>
      <c r="K10" s="1510">
        <f>IF(F10=0,"-",F10)</f>
        <v>42514</v>
      </c>
      <c r="L10" s="1290"/>
      <c r="M10" s="1290"/>
      <c r="N10" s="1290"/>
      <c r="O10" s="1291"/>
      <c r="P10" s="1511"/>
      <c r="Q10" s="1511"/>
      <c r="R10" s="1511"/>
      <c r="S10" s="1511"/>
      <c r="T10" s="1511">
        <f>SUM(P10:S10)</f>
        <v>0</v>
      </c>
      <c r="U10" s="1512"/>
      <c r="V10" s="1512"/>
      <c r="W10" s="1513"/>
      <c r="X10" s="1513"/>
      <c r="Y10" s="1513"/>
      <c r="Z10" s="1513"/>
      <c r="AA10" s="1513"/>
      <c r="AB10" s="1513"/>
      <c r="AC10" s="1514"/>
      <c r="AD10" s="1514"/>
      <c r="AE10" s="1514"/>
      <c r="AF10" s="1514"/>
      <c r="AG10" s="1514"/>
      <c r="AH10" s="1514"/>
      <c r="AI10" s="1514"/>
      <c r="AJ10" s="1513"/>
      <c r="AK10" s="1513"/>
      <c r="AL10" s="1513"/>
      <c r="AM10" s="1513"/>
      <c r="AN10" s="1513"/>
      <c r="AO10" s="1511"/>
      <c r="AP10" s="1511"/>
      <c r="AQ10" s="1511"/>
      <c r="AR10" s="1511"/>
      <c r="AS10" s="1511">
        <f>SUM(AO10:AR10)</f>
        <v>0</v>
      </c>
      <c r="AT10" s="1512"/>
      <c r="AU10" s="1512"/>
      <c r="AV10" s="1513"/>
      <c r="AW10" s="1513"/>
      <c r="AX10" s="1513"/>
      <c r="AY10" s="1513"/>
      <c r="AZ10" s="1513"/>
      <c r="BA10" s="1513"/>
      <c r="BB10" s="1512"/>
      <c r="BC10" s="1291"/>
      <c r="BD10" s="570" t="s">
        <v>901</v>
      </c>
    </row>
    <row r="11" spans="1:59" ht="130.5" outlineLevel="1">
      <c r="A11" s="1446">
        <v>7.1</v>
      </c>
      <c r="B11" s="1447" t="s">
        <v>1500</v>
      </c>
      <c r="C11" s="1446" t="s">
        <v>904</v>
      </c>
      <c r="D11" s="1515" t="str">
        <f>D10</f>
        <v>MERC/CAPEX/20162017/00227</v>
      </c>
      <c r="E11" s="1516">
        <f>E10</f>
        <v>42307</v>
      </c>
      <c r="F11" s="1516">
        <f>IF(F10=0,"-",F10)</f>
        <v>42514</v>
      </c>
      <c r="G11" s="1292">
        <v>22.73</v>
      </c>
      <c r="H11" s="1292">
        <v>22.73</v>
      </c>
      <c r="I11" s="568"/>
      <c r="J11" s="568"/>
      <c r="K11" s="1290">
        <f t="shared" ref="K11:K74" si="0">IF(F11=0,"-",F11)</f>
        <v>42514</v>
      </c>
      <c r="L11" s="1293" t="s">
        <v>1502</v>
      </c>
      <c r="M11" s="1293">
        <v>43244</v>
      </c>
      <c r="N11" s="1293">
        <v>43558</v>
      </c>
      <c r="O11" s="1294" t="s">
        <v>1503</v>
      </c>
      <c r="P11" s="1517">
        <v>18.829778999999998</v>
      </c>
      <c r="Q11" s="1517">
        <f>0.266912754000001+0.01</f>
        <v>0.27691275400000098</v>
      </c>
      <c r="R11" s="1517"/>
      <c r="S11" s="1517"/>
      <c r="T11" s="1511">
        <f t="shared" ref="T11:T74" si="1">SUM(P11:S11)</f>
        <v>19.106691754</v>
      </c>
      <c r="U11" s="1518"/>
      <c r="V11" s="1518"/>
      <c r="W11" s="1519"/>
      <c r="X11" s="1519"/>
      <c r="Y11" s="1519"/>
      <c r="Z11" s="1519"/>
      <c r="AA11" s="1519"/>
      <c r="AB11" s="1519"/>
      <c r="AC11" s="1520">
        <v>0.96</v>
      </c>
      <c r="AD11" s="1520">
        <v>1</v>
      </c>
      <c r="AE11" s="1514"/>
      <c r="AF11" s="1514"/>
      <c r="AG11" s="1514"/>
      <c r="AH11" s="1514"/>
      <c r="AI11" s="1514"/>
      <c r="AJ11" s="1519"/>
      <c r="AK11" s="1519"/>
      <c r="AL11" s="1519"/>
      <c r="AM11" s="1519"/>
      <c r="AN11" s="1519"/>
      <c r="AO11" s="1517">
        <v>0</v>
      </c>
      <c r="AP11" s="1521">
        <f>191066917.54/10^7</f>
        <v>19.106691754</v>
      </c>
      <c r="AQ11" s="1517"/>
      <c r="AR11" s="1517"/>
      <c r="AS11" s="1511">
        <f t="shared" ref="AS11:AS74" si="2">SUM(AO11:AR11)</f>
        <v>19.106691754</v>
      </c>
      <c r="AT11" s="1518"/>
      <c r="AU11" s="1518"/>
      <c r="AV11" s="1519"/>
      <c r="AW11" s="1519"/>
      <c r="AX11" s="1519"/>
      <c r="AY11" s="1519"/>
      <c r="AZ11" s="1519"/>
      <c r="BA11" s="1519"/>
      <c r="BB11" s="1518"/>
      <c r="BC11" s="1291"/>
      <c r="BD11" s="1522" t="s">
        <v>908</v>
      </c>
    </row>
    <row r="12" spans="1:59" ht="31" outlineLevel="1">
      <c r="A12" s="1446"/>
      <c r="B12" s="1447" t="s">
        <v>415</v>
      </c>
      <c r="C12" s="1446" t="s">
        <v>415</v>
      </c>
      <c r="D12" s="1515" t="str">
        <f>D11</f>
        <v>MERC/CAPEX/20162017/00227</v>
      </c>
      <c r="E12" s="1516">
        <f>E11</f>
        <v>42307</v>
      </c>
      <c r="F12" s="1516">
        <f>IF(F11=0,"-",F11)</f>
        <v>42514</v>
      </c>
      <c r="G12" s="1292">
        <v>1.27</v>
      </c>
      <c r="H12" s="1292">
        <v>1.27</v>
      </c>
      <c r="I12" s="568"/>
      <c r="J12" s="568"/>
      <c r="K12" s="1290">
        <f t="shared" si="0"/>
        <v>42514</v>
      </c>
      <c r="L12" s="1290"/>
      <c r="M12" s="1290"/>
      <c r="N12" s="1290"/>
      <c r="O12" s="1291"/>
      <c r="P12" s="1517"/>
      <c r="Q12" s="1517"/>
      <c r="R12" s="1517"/>
      <c r="S12" s="1517"/>
      <c r="T12" s="1511">
        <f t="shared" si="1"/>
        <v>0</v>
      </c>
      <c r="U12" s="1518"/>
      <c r="V12" s="1518"/>
      <c r="W12" s="1519"/>
      <c r="X12" s="1519"/>
      <c r="Y12" s="1519"/>
      <c r="Z12" s="1519"/>
      <c r="AA12" s="1519"/>
      <c r="AB12" s="1519"/>
      <c r="AC12" s="1514"/>
      <c r="AD12" s="1514"/>
      <c r="AE12" s="1514"/>
      <c r="AF12" s="1514"/>
      <c r="AG12" s="1514"/>
      <c r="AH12" s="1514"/>
      <c r="AI12" s="1514"/>
      <c r="AJ12" s="1519"/>
      <c r="AK12" s="1519"/>
      <c r="AL12" s="1519"/>
      <c r="AM12" s="1519"/>
      <c r="AN12" s="1519"/>
      <c r="AO12" s="1517"/>
      <c r="AP12" s="1517"/>
      <c r="AQ12" s="1517"/>
      <c r="AR12" s="1517"/>
      <c r="AS12" s="1511">
        <f t="shared" si="2"/>
        <v>0</v>
      </c>
      <c r="AT12" s="1518"/>
      <c r="AU12" s="1518"/>
      <c r="AV12" s="1519"/>
      <c r="AW12" s="1519"/>
      <c r="AX12" s="1519"/>
      <c r="AY12" s="1519"/>
      <c r="AZ12" s="1519"/>
      <c r="BA12" s="1519"/>
      <c r="BB12" s="1518"/>
      <c r="BC12" s="1291"/>
      <c r="BD12" s="1522" t="s">
        <v>901</v>
      </c>
    </row>
    <row r="13" spans="1:59" ht="46.5" outlineLevel="1">
      <c r="A13" s="1440">
        <v>8</v>
      </c>
      <c r="B13" s="1441" t="s">
        <v>912</v>
      </c>
      <c r="C13" s="1440" t="s">
        <v>896</v>
      </c>
      <c r="D13" s="1440" t="s">
        <v>913</v>
      </c>
      <c r="E13" s="1509">
        <v>42403</v>
      </c>
      <c r="F13" s="1509">
        <v>42768</v>
      </c>
      <c r="G13" s="1289">
        <f>SUM(G14:G20)</f>
        <v>9.9669421487603316</v>
      </c>
      <c r="H13" s="1289">
        <f>SUM(H14:H20)</f>
        <v>9.9669421487603316</v>
      </c>
      <c r="I13" s="568"/>
      <c r="J13" s="568"/>
      <c r="K13" s="1510">
        <f t="shared" si="0"/>
        <v>42768</v>
      </c>
      <c r="L13" s="1290"/>
      <c r="M13" s="1290"/>
      <c r="N13" s="1290"/>
      <c r="O13" s="1291"/>
      <c r="P13" s="1511"/>
      <c r="Q13" s="1511"/>
      <c r="R13" s="1511"/>
      <c r="S13" s="1511"/>
      <c r="T13" s="1511">
        <f t="shared" si="1"/>
        <v>0</v>
      </c>
      <c r="U13" s="1512"/>
      <c r="V13" s="1512"/>
      <c r="W13" s="1513"/>
      <c r="X13" s="1513"/>
      <c r="Y13" s="1513"/>
      <c r="Z13" s="1513"/>
      <c r="AA13" s="1513"/>
      <c r="AB13" s="1513"/>
      <c r="AC13" s="1514"/>
      <c r="AD13" s="1514"/>
      <c r="AE13" s="1514"/>
      <c r="AF13" s="1514"/>
      <c r="AG13" s="1514"/>
      <c r="AH13" s="1514"/>
      <c r="AI13" s="1514"/>
      <c r="AJ13" s="1513"/>
      <c r="AK13" s="1513"/>
      <c r="AL13" s="1513"/>
      <c r="AM13" s="1513"/>
      <c r="AN13" s="1513"/>
      <c r="AO13" s="1511"/>
      <c r="AP13" s="1511"/>
      <c r="AQ13" s="1511"/>
      <c r="AR13" s="1511"/>
      <c r="AS13" s="1511">
        <f t="shared" si="2"/>
        <v>0</v>
      </c>
      <c r="AT13" s="1512"/>
      <c r="AU13" s="1512"/>
      <c r="AV13" s="1513"/>
      <c r="AW13" s="1513"/>
      <c r="AX13" s="1513"/>
      <c r="AY13" s="1513"/>
      <c r="AZ13" s="1513"/>
      <c r="BA13" s="1513"/>
      <c r="BB13" s="1512"/>
      <c r="BC13" s="1291"/>
      <c r="BD13" s="570" t="s">
        <v>901</v>
      </c>
    </row>
    <row r="14" spans="1:59" ht="390" customHeight="1" outlineLevel="1">
      <c r="A14" s="1446">
        <v>8.1</v>
      </c>
      <c r="B14" s="1447" t="s">
        <v>914</v>
      </c>
      <c r="C14" s="1446" t="s">
        <v>904</v>
      </c>
      <c r="D14" s="1515" t="str">
        <f>D13</f>
        <v>MERC/CAPEX/20162017/01426</v>
      </c>
      <c r="E14" s="1516">
        <f>E13</f>
        <v>42403</v>
      </c>
      <c r="F14" s="1516">
        <f t="shared" ref="F14:F56" si="3">IF(F13=0,"-",F13)</f>
        <v>42768</v>
      </c>
      <c r="G14" s="1292">
        <f>5.99*1000/1210</f>
        <v>4.9504132231404956</v>
      </c>
      <c r="H14" s="1292">
        <f>5.99*1000/1210</f>
        <v>4.9504132231404956</v>
      </c>
      <c r="I14" s="568"/>
      <c r="J14" s="568"/>
      <c r="K14" s="1290">
        <f t="shared" si="0"/>
        <v>42768</v>
      </c>
      <c r="L14" s="1295">
        <v>43262</v>
      </c>
      <c r="M14" s="1293">
        <v>43133</v>
      </c>
      <c r="N14" s="1295" t="s">
        <v>1504</v>
      </c>
      <c r="O14" s="1296" t="s">
        <v>915</v>
      </c>
      <c r="P14" s="1517">
        <f>5.8395568*1000/1210</f>
        <v>4.8260800000000001</v>
      </c>
      <c r="Q14" s="1517"/>
      <c r="R14" s="1517"/>
      <c r="S14" s="1517"/>
      <c r="T14" s="1511">
        <f t="shared" si="1"/>
        <v>4.8260800000000001</v>
      </c>
      <c r="U14" s="1518"/>
      <c r="V14" s="1518"/>
      <c r="W14" s="1519"/>
      <c r="X14" s="1519"/>
      <c r="Y14" s="1519"/>
      <c r="Z14" s="1519"/>
      <c r="AA14" s="1519"/>
      <c r="AB14" s="1519"/>
      <c r="AC14" s="1514">
        <v>1</v>
      </c>
      <c r="AD14" s="1514"/>
      <c r="AE14" s="1514"/>
      <c r="AF14" s="1514"/>
      <c r="AG14" s="1514"/>
      <c r="AH14" s="1514"/>
      <c r="AI14" s="1514"/>
      <c r="AJ14" s="1519"/>
      <c r="AK14" s="1519"/>
      <c r="AL14" s="1519"/>
      <c r="AM14" s="1519"/>
      <c r="AN14" s="1519"/>
      <c r="AO14" s="1517">
        <f>5.8395568*1000/1210</f>
        <v>4.8260800000000001</v>
      </c>
      <c r="AP14" s="1517"/>
      <c r="AQ14" s="1517"/>
      <c r="AR14" s="1517"/>
      <c r="AS14" s="1511">
        <f t="shared" si="2"/>
        <v>4.8260800000000001</v>
      </c>
      <c r="AT14" s="1518"/>
      <c r="AU14" s="1518"/>
      <c r="AV14" s="1519"/>
      <c r="AW14" s="1519"/>
      <c r="AX14" s="1519"/>
      <c r="AY14" s="1519"/>
      <c r="AZ14" s="1519"/>
      <c r="BA14" s="1519"/>
      <c r="BB14" s="1518"/>
      <c r="BC14" s="1296" t="s">
        <v>1505</v>
      </c>
      <c r="BD14" s="1522" t="s">
        <v>908</v>
      </c>
    </row>
    <row r="15" spans="1:59" ht="285" customHeight="1" outlineLevel="1">
      <c r="A15" s="1446">
        <v>8.1999999999999993</v>
      </c>
      <c r="B15" s="1447" t="s">
        <v>916</v>
      </c>
      <c r="C15" s="1446" t="s">
        <v>904</v>
      </c>
      <c r="D15" s="1515" t="str">
        <f t="shared" ref="D15:E20" si="4">D14</f>
        <v>MERC/CAPEX/20162017/01426</v>
      </c>
      <c r="E15" s="1516">
        <f t="shared" si="4"/>
        <v>42403</v>
      </c>
      <c r="F15" s="1516">
        <f t="shared" si="3"/>
        <v>42768</v>
      </c>
      <c r="G15" s="1292">
        <f>3.1*1000/1210</f>
        <v>2.5619834710743801</v>
      </c>
      <c r="H15" s="1292">
        <f>3.1*1000/1210</f>
        <v>2.5619834710743801</v>
      </c>
      <c r="I15" s="568"/>
      <c r="J15" s="568"/>
      <c r="K15" s="1290">
        <f t="shared" si="0"/>
        <v>42768</v>
      </c>
      <c r="L15" s="1293">
        <v>42903</v>
      </c>
      <c r="M15" s="1293">
        <v>43133</v>
      </c>
      <c r="N15" s="1293">
        <v>42991</v>
      </c>
      <c r="O15" s="1296" t="s">
        <v>917</v>
      </c>
      <c r="P15" s="1517">
        <v>3.4747105785123966</v>
      </c>
      <c r="Q15" s="1517"/>
      <c r="R15" s="1517"/>
      <c r="S15" s="1517"/>
      <c r="T15" s="1511">
        <f t="shared" si="1"/>
        <v>3.4747105785123966</v>
      </c>
      <c r="U15" s="1518"/>
      <c r="V15" s="1518"/>
      <c r="W15" s="1519"/>
      <c r="X15" s="1519"/>
      <c r="Y15" s="1519"/>
      <c r="Z15" s="1519"/>
      <c r="AA15" s="1519"/>
      <c r="AB15" s="1519"/>
      <c r="AC15" s="1514">
        <v>1</v>
      </c>
      <c r="AD15" s="1514"/>
      <c r="AE15" s="1514"/>
      <c r="AF15" s="1514"/>
      <c r="AG15" s="1514"/>
      <c r="AH15" s="1514"/>
      <c r="AI15" s="1514"/>
      <c r="AJ15" s="1519"/>
      <c r="AK15" s="1519"/>
      <c r="AL15" s="1519"/>
      <c r="AM15" s="1519"/>
      <c r="AN15" s="1519"/>
      <c r="AO15" s="1517">
        <v>3.4747105785123966</v>
      </c>
      <c r="AP15" s="1517"/>
      <c r="AQ15" s="1517"/>
      <c r="AR15" s="1517"/>
      <c r="AS15" s="1511">
        <f t="shared" si="2"/>
        <v>3.4747105785123966</v>
      </c>
      <c r="AT15" s="1518"/>
      <c r="AU15" s="1518"/>
      <c r="AV15" s="1519"/>
      <c r="AW15" s="1519"/>
      <c r="AX15" s="1519"/>
      <c r="AY15" s="1519"/>
      <c r="AZ15" s="1519"/>
      <c r="BA15" s="1519"/>
      <c r="BB15" s="1518"/>
      <c r="BC15" s="1296" t="s">
        <v>1506</v>
      </c>
      <c r="BD15" s="1522" t="s">
        <v>908</v>
      </c>
    </row>
    <row r="16" spans="1:59" ht="90" customHeight="1" outlineLevel="1">
      <c r="A16" s="1446">
        <v>8.3000000000000007</v>
      </c>
      <c r="B16" s="1447" t="s">
        <v>918</v>
      </c>
      <c r="C16" s="1446" t="s">
        <v>904</v>
      </c>
      <c r="D16" s="1515" t="str">
        <f t="shared" si="4"/>
        <v>MERC/CAPEX/20162017/01426</v>
      </c>
      <c r="E16" s="1516">
        <f t="shared" si="4"/>
        <v>42403</v>
      </c>
      <c r="F16" s="1516">
        <f t="shared" si="3"/>
        <v>42768</v>
      </c>
      <c r="G16" s="1292">
        <f>0.52*1000/1210</f>
        <v>0.42975206611570249</v>
      </c>
      <c r="H16" s="1292">
        <f>0.52*1000/1210</f>
        <v>0.42975206611570249</v>
      </c>
      <c r="I16" s="568"/>
      <c r="J16" s="568"/>
      <c r="K16" s="1290">
        <f t="shared" si="0"/>
        <v>42768</v>
      </c>
      <c r="L16" s="1293">
        <v>43121</v>
      </c>
      <c r="M16" s="1293">
        <v>43498</v>
      </c>
      <c r="N16" s="1293">
        <v>43132</v>
      </c>
      <c r="O16" s="1296" t="s">
        <v>919</v>
      </c>
      <c r="P16" s="1517">
        <v>0.38033057851239671</v>
      </c>
      <c r="Q16" s="1517"/>
      <c r="R16" s="1517"/>
      <c r="S16" s="1517"/>
      <c r="T16" s="1511">
        <f t="shared" si="1"/>
        <v>0.38033057851239671</v>
      </c>
      <c r="U16" s="1518"/>
      <c r="V16" s="1518"/>
      <c r="W16" s="1519"/>
      <c r="X16" s="1519"/>
      <c r="Y16" s="1519"/>
      <c r="Z16" s="1519"/>
      <c r="AA16" s="1519"/>
      <c r="AB16" s="1519"/>
      <c r="AC16" s="1514">
        <v>1</v>
      </c>
      <c r="AD16" s="1514"/>
      <c r="AE16" s="1514"/>
      <c r="AF16" s="1514"/>
      <c r="AG16" s="1514"/>
      <c r="AH16" s="1514"/>
      <c r="AI16" s="1514"/>
      <c r="AJ16" s="1519"/>
      <c r="AK16" s="1519"/>
      <c r="AL16" s="1519"/>
      <c r="AM16" s="1519"/>
      <c r="AN16" s="1519"/>
      <c r="AO16" s="1517">
        <v>0.38033057851239671</v>
      </c>
      <c r="AP16" s="1517"/>
      <c r="AQ16" s="1517"/>
      <c r="AR16" s="1517"/>
      <c r="AS16" s="1511">
        <f t="shared" si="2"/>
        <v>0.38033057851239671</v>
      </c>
      <c r="AT16" s="1518"/>
      <c r="AU16" s="1518"/>
      <c r="AV16" s="1519"/>
      <c r="AW16" s="1519"/>
      <c r="AX16" s="1519"/>
      <c r="AY16" s="1519"/>
      <c r="AZ16" s="1519"/>
      <c r="BA16" s="1519"/>
      <c r="BB16" s="1518"/>
      <c r="BC16" s="1296" t="s">
        <v>1507</v>
      </c>
      <c r="BD16" s="1522" t="s">
        <v>908</v>
      </c>
    </row>
    <row r="17" spans="1:57" ht="31" outlineLevel="1">
      <c r="A17" s="1446">
        <v>8.4</v>
      </c>
      <c r="B17" s="1447" t="s">
        <v>920</v>
      </c>
      <c r="C17" s="1446" t="s">
        <v>904</v>
      </c>
      <c r="D17" s="1515" t="str">
        <f t="shared" si="4"/>
        <v>MERC/CAPEX/20162017/01426</v>
      </c>
      <c r="E17" s="1516">
        <f t="shared" si="4"/>
        <v>42403</v>
      </c>
      <c r="F17" s="1516">
        <f t="shared" si="3"/>
        <v>42768</v>
      </c>
      <c r="G17" s="1292">
        <f>0.96*1000/1210</f>
        <v>0.79338842975206614</v>
      </c>
      <c r="H17" s="1292">
        <f>0.96*1000/1210</f>
        <v>0.79338842975206614</v>
      </c>
      <c r="I17" s="568"/>
      <c r="J17" s="568"/>
      <c r="K17" s="1290">
        <f t="shared" si="0"/>
        <v>42768</v>
      </c>
      <c r="L17" s="1290"/>
      <c r="M17" s="1293">
        <v>43498</v>
      </c>
      <c r="N17" s="1290"/>
      <c r="O17" s="1291"/>
      <c r="P17" s="1517">
        <v>0</v>
      </c>
      <c r="Q17" s="1517"/>
      <c r="R17" s="1517"/>
      <c r="S17" s="1517"/>
      <c r="T17" s="1511">
        <f t="shared" si="1"/>
        <v>0</v>
      </c>
      <c r="U17" s="1518"/>
      <c r="V17" s="1518"/>
      <c r="W17" s="1519"/>
      <c r="X17" s="1519"/>
      <c r="Y17" s="1519"/>
      <c r="Z17" s="1519"/>
      <c r="AA17" s="1519"/>
      <c r="AB17" s="1519"/>
      <c r="AC17" s="1514"/>
      <c r="AD17" s="1514"/>
      <c r="AE17" s="1514"/>
      <c r="AF17" s="1514"/>
      <c r="AG17" s="1514"/>
      <c r="AH17" s="1514"/>
      <c r="AI17" s="1514"/>
      <c r="AJ17" s="1519"/>
      <c r="AK17" s="1519"/>
      <c r="AL17" s="1519"/>
      <c r="AM17" s="1519"/>
      <c r="AN17" s="1519"/>
      <c r="AO17" s="1517">
        <v>0</v>
      </c>
      <c r="AP17" s="1517"/>
      <c r="AQ17" s="1517"/>
      <c r="AR17" s="1517"/>
      <c r="AS17" s="1511">
        <f t="shared" si="2"/>
        <v>0</v>
      </c>
      <c r="AT17" s="1518"/>
      <c r="AU17" s="1518"/>
      <c r="AV17" s="1519"/>
      <c r="AW17" s="1519"/>
      <c r="AX17" s="1519"/>
      <c r="AY17" s="1519"/>
      <c r="AZ17" s="1519"/>
      <c r="BA17" s="1519"/>
      <c r="BB17" s="1518"/>
      <c r="BC17" s="1296"/>
      <c r="BD17" s="1522" t="s">
        <v>909</v>
      </c>
    </row>
    <row r="18" spans="1:57" ht="58" outlineLevel="1">
      <c r="A18" s="1446">
        <v>8.5</v>
      </c>
      <c r="B18" s="1447" t="s">
        <v>921</v>
      </c>
      <c r="C18" s="1446" t="s">
        <v>904</v>
      </c>
      <c r="D18" s="1515" t="str">
        <f t="shared" si="4"/>
        <v>MERC/CAPEX/20162017/01426</v>
      </c>
      <c r="E18" s="1516">
        <f t="shared" si="4"/>
        <v>42403</v>
      </c>
      <c r="F18" s="1516">
        <f t="shared" si="3"/>
        <v>42768</v>
      </c>
      <c r="G18" s="1292">
        <f>0.65*1000/1210</f>
        <v>0.53719008264462809</v>
      </c>
      <c r="H18" s="1292">
        <f>0.65*1000/1210</f>
        <v>0.53719008264462809</v>
      </c>
      <c r="I18" s="568"/>
      <c r="J18" s="568"/>
      <c r="K18" s="1290">
        <f t="shared" si="0"/>
        <v>42768</v>
      </c>
      <c r="L18" s="1290"/>
      <c r="M18" s="1293">
        <v>43498</v>
      </c>
      <c r="N18" s="1290"/>
      <c r="O18" s="1291"/>
      <c r="P18" s="1517">
        <v>0</v>
      </c>
      <c r="Q18" s="1517"/>
      <c r="R18" s="1517"/>
      <c r="S18" s="1517"/>
      <c r="T18" s="1511">
        <f t="shared" si="1"/>
        <v>0</v>
      </c>
      <c r="U18" s="1518"/>
      <c r="V18" s="1518"/>
      <c r="W18" s="1519"/>
      <c r="X18" s="1519"/>
      <c r="Y18" s="1519"/>
      <c r="Z18" s="1519"/>
      <c r="AA18" s="1519"/>
      <c r="AB18" s="1519"/>
      <c r="AC18" s="1514"/>
      <c r="AD18" s="1514"/>
      <c r="AE18" s="1514"/>
      <c r="AF18" s="1514"/>
      <c r="AG18" s="1514"/>
      <c r="AH18" s="1514"/>
      <c r="AI18" s="1514"/>
      <c r="AJ18" s="1519"/>
      <c r="AK18" s="1519"/>
      <c r="AL18" s="1519"/>
      <c r="AM18" s="1519"/>
      <c r="AN18" s="1519"/>
      <c r="AO18" s="1517">
        <v>0</v>
      </c>
      <c r="AP18" s="1517"/>
      <c r="AQ18" s="1517"/>
      <c r="AR18" s="1517"/>
      <c r="AS18" s="1511">
        <f t="shared" si="2"/>
        <v>0</v>
      </c>
      <c r="AT18" s="1518"/>
      <c r="AU18" s="1518"/>
      <c r="AV18" s="1519"/>
      <c r="AW18" s="1519"/>
      <c r="AX18" s="1519"/>
      <c r="AY18" s="1519"/>
      <c r="AZ18" s="1519"/>
      <c r="BA18" s="1519"/>
      <c r="BB18" s="1518"/>
      <c r="BC18" s="1296" t="s">
        <v>1508</v>
      </c>
      <c r="BD18" s="1522" t="s">
        <v>909</v>
      </c>
    </row>
    <row r="19" spans="1:57" ht="58" outlineLevel="1">
      <c r="A19" s="1446">
        <v>8.6</v>
      </c>
      <c r="B19" s="1447" t="s">
        <v>922</v>
      </c>
      <c r="C19" s="1446" t="s">
        <v>904</v>
      </c>
      <c r="D19" s="1515" t="str">
        <f t="shared" si="4"/>
        <v>MERC/CAPEX/20162017/01426</v>
      </c>
      <c r="E19" s="1516">
        <f t="shared" si="4"/>
        <v>42403</v>
      </c>
      <c r="F19" s="1516">
        <f t="shared" si="3"/>
        <v>42768</v>
      </c>
      <c r="G19" s="1292">
        <f>0.41*1000/1210</f>
        <v>0.33884297520661155</v>
      </c>
      <c r="H19" s="1292">
        <f>0.41*1000/1210</f>
        <v>0.33884297520661155</v>
      </c>
      <c r="I19" s="568"/>
      <c r="J19" s="568"/>
      <c r="K19" s="1290">
        <f t="shared" si="0"/>
        <v>42768</v>
      </c>
      <c r="L19" s="1290"/>
      <c r="M19" s="1293">
        <v>43498</v>
      </c>
      <c r="N19" s="1290"/>
      <c r="O19" s="1291"/>
      <c r="P19" s="1517">
        <v>0</v>
      </c>
      <c r="Q19" s="1517"/>
      <c r="R19" s="1517"/>
      <c r="S19" s="1517"/>
      <c r="T19" s="1511">
        <f t="shared" si="1"/>
        <v>0</v>
      </c>
      <c r="U19" s="1518"/>
      <c r="V19" s="1518"/>
      <c r="W19" s="1519"/>
      <c r="X19" s="1519"/>
      <c r="Y19" s="1519"/>
      <c r="Z19" s="1519"/>
      <c r="AA19" s="1519"/>
      <c r="AB19" s="1519"/>
      <c r="AC19" s="1514"/>
      <c r="AD19" s="1514"/>
      <c r="AE19" s="1514"/>
      <c r="AF19" s="1514"/>
      <c r="AG19" s="1514"/>
      <c r="AH19" s="1514"/>
      <c r="AI19" s="1514"/>
      <c r="AJ19" s="1519"/>
      <c r="AK19" s="1519"/>
      <c r="AL19" s="1519"/>
      <c r="AM19" s="1519"/>
      <c r="AN19" s="1519"/>
      <c r="AO19" s="1517">
        <v>0</v>
      </c>
      <c r="AP19" s="1517"/>
      <c r="AQ19" s="1517"/>
      <c r="AR19" s="1517"/>
      <c r="AS19" s="1511">
        <f t="shared" si="2"/>
        <v>0</v>
      </c>
      <c r="AT19" s="1518"/>
      <c r="AU19" s="1518"/>
      <c r="AV19" s="1519"/>
      <c r="AW19" s="1519"/>
      <c r="AX19" s="1519"/>
      <c r="AY19" s="1519"/>
      <c r="AZ19" s="1519"/>
      <c r="BA19" s="1519"/>
      <c r="BB19" s="1518"/>
      <c r="BC19" s="1296" t="s">
        <v>1509</v>
      </c>
      <c r="BD19" s="1522" t="s">
        <v>909</v>
      </c>
    </row>
    <row r="20" spans="1:57" ht="31" outlineLevel="1">
      <c r="A20" s="1446"/>
      <c r="B20" s="1447" t="s">
        <v>415</v>
      </c>
      <c r="C20" s="1446" t="s">
        <v>415</v>
      </c>
      <c r="D20" s="1515" t="str">
        <f t="shared" si="4"/>
        <v>MERC/CAPEX/20162017/01426</v>
      </c>
      <c r="E20" s="1516">
        <f t="shared" si="4"/>
        <v>42403</v>
      </c>
      <c r="F20" s="1516">
        <f t="shared" si="3"/>
        <v>42768</v>
      </c>
      <c r="G20" s="1292">
        <f>0.43*1000/1210</f>
        <v>0.35537190082644626</v>
      </c>
      <c r="H20" s="1292">
        <f>0.43*1000/1210</f>
        <v>0.35537190082644626</v>
      </c>
      <c r="I20" s="568"/>
      <c r="J20" s="568"/>
      <c r="K20" s="1290">
        <f t="shared" si="0"/>
        <v>42768</v>
      </c>
      <c r="L20" s="1290"/>
      <c r="M20" s="1290"/>
      <c r="N20" s="1290"/>
      <c r="O20" s="1291"/>
      <c r="P20" s="1517"/>
      <c r="Q20" s="1517"/>
      <c r="R20" s="1517"/>
      <c r="S20" s="1517"/>
      <c r="T20" s="1511">
        <f t="shared" si="1"/>
        <v>0</v>
      </c>
      <c r="U20" s="1518"/>
      <c r="V20" s="1518"/>
      <c r="W20" s="1519"/>
      <c r="X20" s="1519"/>
      <c r="Y20" s="1519"/>
      <c r="Z20" s="1519"/>
      <c r="AA20" s="1519"/>
      <c r="AB20" s="1519"/>
      <c r="AC20" s="1514"/>
      <c r="AD20" s="1514"/>
      <c r="AE20" s="1514"/>
      <c r="AF20" s="1514"/>
      <c r="AG20" s="1514"/>
      <c r="AH20" s="1514"/>
      <c r="AI20" s="1514"/>
      <c r="AJ20" s="1519"/>
      <c r="AK20" s="1519"/>
      <c r="AL20" s="1519"/>
      <c r="AM20" s="1519"/>
      <c r="AN20" s="1519"/>
      <c r="AO20" s="1517"/>
      <c r="AP20" s="1517"/>
      <c r="AQ20" s="1517"/>
      <c r="AR20" s="1517"/>
      <c r="AS20" s="1511">
        <f t="shared" si="2"/>
        <v>0</v>
      </c>
      <c r="AT20" s="1518"/>
      <c r="AU20" s="1518"/>
      <c r="AV20" s="1519"/>
      <c r="AW20" s="1519"/>
      <c r="AX20" s="1519"/>
      <c r="AY20" s="1519"/>
      <c r="AZ20" s="1519"/>
      <c r="BA20" s="1519"/>
      <c r="BB20" s="1518"/>
      <c r="BC20" s="1291"/>
      <c r="BD20" s="1522" t="s">
        <v>901</v>
      </c>
    </row>
    <row r="21" spans="1:57" ht="31" outlineLevel="1">
      <c r="A21" s="1440">
        <v>9</v>
      </c>
      <c r="B21" s="1441" t="s">
        <v>1510</v>
      </c>
      <c r="C21" s="1440" t="s">
        <v>896</v>
      </c>
      <c r="D21" s="1440" t="s">
        <v>1511</v>
      </c>
      <c r="E21" s="1509">
        <v>42867</v>
      </c>
      <c r="F21" s="1509">
        <v>43006</v>
      </c>
      <c r="G21" s="1289">
        <f>SUM(G22)</f>
        <v>64.22</v>
      </c>
      <c r="H21" s="1289">
        <f>SUM(H22)</f>
        <v>64.22</v>
      </c>
      <c r="I21" s="568"/>
      <c r="J21" s="568"/>
      <c r="K21" s="1510">
        <f t="shared" si="0"/>
        <v>43006</v>
      </c>
      <c r="L21" s="1290"/>
      <c r="M21" s="1290"/>
      <c r="N21" s="1290"/>
      <c r="O21" s="1291"/>
      <c r="P21" s="1511"/>
      <c r="Q21" s="1511"/>
      <c r="R21" s="1511"/>
      <c r="S21" s="1511"/>
      <c r="T21" s="1511">
        <f t="shared" si="1"/>
        <v>0</v>
      </c>
      <c r="U21" s="1512"/>
      <c r="V21" s="1512"/>
      <c r="W21" s="1513"/>
      <c r="X21" s="1513"/>
      <c r="Y21" s="1513"/>
      <c r="Z21" s="1513"/>
      <c r="AA21" s="1513"/>
      <c r="AB21" s="1513"/>
      <c r="AC21" s="1514"/>
      <c r="AD21" s="1514"/>
      <c r="AE21" s="1514"/>
      <c r="AF21" s="1514"/>
      <c r="AG21" s="1514"/>
      <c r="AH21" s="1514"/>
      <c r="AI21" s="1514"/>
      <c r="AJ21" s="1513"/>
      <c r="AK21" s="1513"/>
      <c r="AL21" s="1513"/>
      <c r="AM21" s="1513"/>
      <c r="AN21" s="1513"/>
      <c r="AO21" s="1511"/>
      <c r="AP21" s="1511"/>
      <c r="AQ21" s="1511"/>
      <c r="AR21" s="1511"/>
      <c r="AS21" s="1511">
        <f t="shared" si="2"/>
        <v>0</v>
      </c>
      <c r="AT21" s="1512"/>
      <c r="AU21" s="1512"/>
      <c r="AV21" s="1513"/>
      <c r="AW21" s="1513"/>
      <c r="AX21" s="1513"/>
      <c r="AY21" s="1513"/>
      <c r="AZ21" s="1513"/>
      <c r="BA21" s="1513"/>
      <c r="BB21" s="1512"/>
      <c r="BC21" s="1291"/>
      <c r="BD21" s="570" t="s">
        <v>901</v>
      </c>
      <c r="BE21" s="1504"/>
    </row>
    <row r="22" spans="1:57" ht="90" customHeight="1" outlineLevel="1">
      <c r="A22" s="1446">
        <v>9.1</v>
      </c>
      <c r="B22" s="1447" t="s">
        <v>1510</v>
      </c>
      <c r="C22" s="1446" t="s">
        <v>904</v>
      </c>
      <c r="D22" s="1515" t="str">
        <f>D21</f>
        <v>MERC/CAPEX/20172018/4267</v>
      </c>
      <c r="E22" s="1516">
        <f t="shared" ref="E22" si="5">E21</f>
        <v>42867</v>
      </c>
      <c r="F22" s="1516">
        <f t="shared" si="3"/>
        <v>43006</v>
      </c>
      <c r="G22" s="1292">
        <v>64.22</v>
      </c>
      <c r="H22" s="1292">
        <v>64.22</v>
      </c>
      <c r="I22" s="568"/>
      <c r="J22" s="568"/>
      <c r="K22" s="1290">
        <f t="shared" si="0"/>
        <v>43006</v>
      </c>
      <c r="L22" s="1293">
        <v>43035</v>
      </c>
      <c r="M22" s="1297">
        <v>43736</v>
      </c>
      <c r="N22" s="1293">
        <v>43575</v>
      </c>
      <c r="O22" s="1296" t="s">
        <v>1512</v>
      </c>
      <c r="P22" s="1517">
        <v>60.545811248</v>
      </c>
      <c r="Q22" s="1521">
        <v>3.9524269983013682</v>
      </c>
      <c r="R22" s="1517"/>
      <c r="S22" s="1517"/>
      <c r="T22" s="1511">
        <f t="shared" si="1"/>
        <v>64.498238246301369</v>
      </c>
      <c r="U22" s="1518"/>
      <c r="V22" s="1523"/>
      <c r="W22" s="1519"/>
      <c r="X22" s="1519"/>
      <c r="Y22" s="1519"/>
      <c r="Z22" s="1519"/>
      <c r="AA22" s="1519"/>
      <c r="AB22" s="1519"/>
      <c r="AC22" s="1514">
        <v>0.8</v>
      </c>
      <c r="AD22" s="1514">
        <v>1</v>
      </c>
      <c r="AE22" s="1514"/>
      <c r="AF22" s="1514"/>
      <c r="AG22" s="1514"/>
      <c r="AH22" s="1514"/>
      <c r="AI22" s="1514"/>
      <c r="AJ22" s="1519"/>
      <c r="AK22" s="1519"/>
      <c r="AL22" s="1519"/>
      <c r="AM22" s="1519"/>
      <c r="AN22" s="1519"/>
      <c r="AO22" s="1517">
        <v>0</v>
      </c>
      <c r="AP22" s="1517">
        <v>64.498238246301369</v>
      </c>
      <c r="AQ22" s="1517"/>
      <c r="AR22" s="1517"/>
      <c r="AS22" s="1511">
        <f t="shared" si="2"/>
        <v>64.498238246301369</v>
      </c>
      <c r="AT22" s="1518"/>
      <c r="AU22" s="1518"/>
      <c r="AV22" s="1519"/>
      <c r="AW22" s="1519"/>
      <c r="AX22" s="1519"/>
      <c r="AY22" s="1519"/>
      <c r="AZ22" s="1519"/>
      <c r="BA22" s="1519"/>
      <c r="BB22" s="1518"/>
      <c r="BC22" s="1291" t="s">
        <v>1513</v>
      </c>
      <c r="BD22" s="1522" t="s">
        <v>908</v>
      </c>
    </row>
    <row r="23" spans="1:57" ht="46.5" outlineLevel="1">
      <c r="A23" s="1440">
        <v>10</v>
      </c>
      <c r="B23" s="1441" t="s">
        <v>1514</v>
      </c>
      <c r="C23" s="1440" t="s">
        <v>896</v>
      </c>
      <c r="D23" s="1440" t="s">
        <v>1515</v>
      </c>
      <c r="E23" s="1509">
        <v>42875</v>
      </c>
      <c r="F23" s="1509">
        <v>43067</v>
      </c>
      <c r="G23" s="1289">
        <f>SUM(G24:G29)</f>
        <v>43.980000000000004</v>
      </c>
      <c r="H23" s="1289">
        <f>SUM(H24:H29)</f>
        <v>17.439999999999998</v>
      </c>
      <c r="I23" s="568"/>
      <c r="J23" s="568"/>
      <c r="K23" s="1510">
        <f t="shared" si="0"/>
        <v>43067</v>
      </c>
      <c r="L23" s="1290"/>
      <c r="M23" s="1290"/>
      <c r="N23" s="1290"/>
      <c r="O23" s="1291"/>
      <c r="P23" s="1511"/>
      <c r="Q23" s="1511"/>
      <c r="R23" s="1511"/>
      <c r="S23" s="1511"/>
      <c r="T23" s="1511">
        <f t="shared" si="1"/>
        <v>0</v>
      </c>
      <c r="U23" s="1512"/>
      <c r="V23" s="1512"/>
      <c r="W23" s="1513"/>
      <c r="X23" s="1513"/>
      <c r="Y23" s="1513"/>
      <c r="Z23" s="1513"/>
      <c r="AA23" s="1513"/>
      <c r="AB23" s="1513"/>
      <c r="AC23" s="1514"/>
      <c r="AD23" s="1514"/>
      <c r="AE23" s="1514"/>
      <c r="AF23" s="1514"/>
      <c r="AG23" s="1514"/>
      <c r="AH23" s="1514"/>
      <c r="AI23" s="1514"/>
      <c r="AJ23" s="1513"/>
      <c r="AK23" s="1513"/>
      <c r="AL23" s="1513"/>
      <c r="AM23" s="1513"/>
      <c r="AN23" s="1513"/>
      <c r="AO23" s="1511"/>
      <c r="AP23" s="1511"/>
      <c r="AQ23" s="1511"/>
      <c r="AR23" s="1511"/>
      <c r="AS23" s="1511">
        <f t="shared" si="2"/>
        <v>0</v>
      </c>
      <c r="AT23" s="1512"/>
      <c r="AU23" s="1512"/>
      <c r="AV23" s="1513"/>
      <c r="AW23" s="1513"/>
      <c r="AX23" s="1513"/>
      <c r="AY23" s="1513"/>
      <c r="AZ23" s="1513"/>
      <c r="BA23" s="1513"/>
      <c r="BB23" s="1512"/>
      <c r="BC23" s="1291"/>
      <c r="BD23" s="570" t="s">
        <v>901</v>
      </c>
      <c r="BE23" s="1504"/>
    </row>
    <row r="24" spans="1:57" ht="31" outlineLevel="1">
      <c r="A24" s="1446">
        <v>10.1</v>
      </c>
      <c r="B24" s="1447" t="s">
        <v>1516</v>
      </c>
      <c r="C24" s="1446" t="s">
        <v>904</v>
      </c>
      <c r="D24" s="1515" t="str">
        <f>D23</f>
        <v>MERC/CAPEX/20172018/4782</v>
      </c>
      <c r="E24" s="1516">
        <f t="shared" ref="E24:E29" si="6">E23</f>
        <v>42875</v>
      </c>
      <c r="F24" s="1516">
        <f t="shared" si="3"/>
        <v>43067</v>
      </c>
      <c r="G24" s="1292">
        <v>34.5</v>
      </c>
      <c r="H24" s="1292">
        <v>11.5</v>
      </c>
      <c r="I24" s="568"/>
      <c r="J24" s="568"/>
      <c r="K24" s="1290">
        <f t="shared" si="0"/>
        <v>43067</v>
      </c>
      <c r="L24" s="1293"/>
      <c r="M24" s="1297">
        <v>43432</v>
      </c>
      <c r="N24" s="1293"/>
      <c r="O24" s="1296"/>
      <c r="P24" s="1517">
        <v>0</v>
      </c>
      <c r="Q24" s="1521"/>
      <c r="R24" s="1521"/>
      <c r="S24" s="1521"/>
      <c r="T24" s="1511">
        <f t="shared" si="1"/>
        <v>0</v>
      </c>
      <c r="U24" s="1523"/>
      <c r="V24" s="1523"/>
      <c r="W24" s="1524"/>
      <c r="X24" s="1524"/>
      <c r="Y24" s="1524"/>
      <c r="Z24" s="1524"/>
      <c r="AA24" s="1524"/>
      <c r="AB24" s="1524"/>
      <c r="AC24" s="1514"/>
      <c r="AD24" s="1514"/>
      <c r="AE24" s="1514"/>
      <c r="AF24" s="1514"/>
      <c r="AG24" s="1514"/>
      <c r="AH24" s="1514"/>
      <c r="AI24" s="1514"/>
      <c r="AJ24" s="1524"/>
      <c r="AK24" s="1524"/>
      <c r="AL24" s="1524"/>
      <c r="AM24" s="1524"/>
      <c r="AN24" s="1524"/>
      <c r="AO24" s="1517">
        <v>0</v>
      </c>
      <c r="AP24" s="1517"/>
      <c r="AQ24" s="1517"/>
      <c r="AR24" s="1517"/>
      <c r="AS24" s="1511">
        <f t="shared" si="2"/>
        <v>0</v>
      </c>
      <c r="AT24" s="1518"/>
      <c r="AU24" s="1518"/>
      <c r="AV24" s="1519"/>
      <c r="AW24" s="1524"/>
      <c r="AX24" s="1524"/>
      <c r="AY24" s="1524"/>
      <c r="AZ24" s="1524"/>
      <c r="BA24" s="1524"/>
      <c r="BB24" s="1518"/>
      <c r="BC24" s="1291"/>
      <c r="BD24" s="1522" t="s">
        <v>909</v>
      </c>
    </row>
    <row r="25" spans="1:57" ht="46.5" outlineLevel="1">
      <c r="A25" s="1446">
        <v>10.199999999999999</v>
      </c>
      <c r="B25" s="1447" t="s">
        <v>1517</v>
      </c>
      <c r="C25" s="1446" t="s">
        <v>904</v>
      </c>
      <c r="D25" s="1515" t="str">
        <f t="shared" ref="D25:D29" si="7">D24</f>
        <v>MERC/CAPEX/20172018/4782</v>
      </c>
      <c r="E25" s="1516">
        <f t="shared" si="6"/>
        <v>42875</v>
      </c>
      <c r="F25" s="1516">
        <f t="shared" si="3"/>
        <v>43067</v>
      </c>
      <c r="G25" s="1292">
        <v>1.8</v>
      </c>
      <c r="H25" s="1292">
        <v>0.6</v>
      </c>
      <c r="I25" s="568"/>
      <c r="J25" s="568"/>
      <c r="K25" s="1290">
        <f t="shared" si="0"/>
        <v>43067</v>
      </c>
      <c r="L25" s="1293"/>
      <c r="M25" s="1297">
        <v>43432</v>
      </c>
      <c r="N25" s="1293"/>
      <c r="O25" s="1296"/>
      <c r="P25" s="1517">
        <v>0</v>
      </c>
      <c r="Q25" s="1521"/>
      <c r="R25" s="1521"/>
      <c r="S25" s="1521"/>
      <c r="T25" s="1511">
        <f t="shared" si="1"/>
        <v>0</v>
      </c>
      <c r="U25" s="1523"/>
      <c r="V25" s="1523"/>
      <c r="W25" s="1524"/>
      <c r="X25" s="1524"/>
      <c r="Y25" s="1524"/>
      <c r="Z25" s="1524"/>
      <c r="AA25" s="1524"/>
      <c r="AB25" s="1524"/>
      <c r="AC25" s="1514"/>
      <c r="AD25" s="1514"/>
      <c r="AE25" s="1514"/>
      <c r="AF25" s="1514"/>
      <c r="AG25" s="1514"/>
      <c r="AH25" s="1514"/>
      <c r="AI25" s="1514"/>
      <c r="AJ25" s="1524"/>
      <c r="AK25" s="1524"/>
      <c r="AL25" s="1524"/>
      <c r="AM25" s="1524"/>
      <c r="AN25" s="1524"/>
      <c r="AO25" s="1517">
        <v>0</v>
      </c>
      <c r="AP25" s="1517"/>
      <c r="AQ25" s="1517"/>
      <c r="AR25" s="1517"/>
      <c r="AS25" s="1511">
        <f t="shared" si="2"/>
        <v>0</v>
      </c>
      <c r="AT25" s="1518"/>
      <c r="AU25" s="1518"/>
      <c r="AV25" s="1519"/>
      <c r="AW25" s="1524"/>
      <c r="AX25" s="1524"/>
      <c r="AY25" s="1524"/>
      <c r="AZ25" s="1524"/>
      <c r="BA25" s="1524"/>
      <c r="BB25" s="1518"/>
      <c r="BC25" s="1291"/>
      <c r="BD25" s="1522" t="s">
        <v>909</v>
      </c>
    </row>
    <row r="26" spans="1:57" ht="240" customHeight="1" outlineLevel="1">
      <c r="A26" s="1446">
        <v>10.3</v>
      </c>
      <c r="B26" s="1447" t="s">
        <v>1518</v>
      </c>
      <c r="C26" s="1446" t="s">
        <v>904</v>
      </c>
      <c r="D26" s="1515" t="str">
        <f t="shared" si="7"/>
        <v>MERC/CAPEX/20172018/4782</v>
      </c>
      <c r="E26" s="1516">
        <f t="shared" si="6"/>
        <v>42875</v>
      </c>
      <c r="F26" s="1516">
        <f t="shared" si="3"/>
        <v>43067</v>
      </c>
      <c r="G26" s="1292">
        <f>8.48/2</f>
        <v>4.24</v>
      </c>
      <c r="H26" s="1292">
        <f>8.48/2</f>
        <v>4.24</v>
      </c>
      <c r="I26" s="568"/>
      <c r="J26" s="568"/>
      <c r="K26" s="1290">
        <f t="shared" si="0"/>
        <v>43067</v>
      </c>
      <c r="L26" s="1293">
        <v>43178</v>
      </c>
      <c r="M26" s="1297">
        <v>43432</v>
      </c>
      <c r="N26" s="1293">
        <v>43732</v>
      </c>
      <c r="O26" s="1296" t="s">
        <v>1519</v>
      </c>
      <c r="P26" s="1517">
        <v>0</v>
      </c>
      <c r="Q26" s="1521">
        <f>46696428/10^7</f>
        <v>4.6696428000000001</v>
      </c>
      <c r="R26" s="1521"/>
      <c r="S26" s="1521"/>
      <c r="T26" s="1511">
        <f t="shared" si="1"/>
        <v>4.6696428000000001</v>
      </c>
      <c r="U26" s="1523"/>
      <c r="V26" s="1523"/>
      <c r="W26" s="1524"/>
      <c r="X26" s="1524"/>
      <c r="Y26" s="1524"/>
      <c r="Z26" s="1524"/>
      <c r="AA26" s="1524"/>
      <c r="AB26" s="1524"/>
      <c r="AC26" s="1520">
        <v>0</v>
      </c>
      <c r="AD26" s="1520">
        <v>1</v>
      </c>
      <c r="AE26" s="1525"/>
      <c r="AF26" s="1525"/>
      <c r="AG26" s="1525"/>
      <c r="AH26" s="1525"/>
      <c r="AI26" s="1525"/>
      <c r="AJ26" s="1524"/>
      <c r="AK26" s="1524"/>
      <c r="AL26" s="1524"/>
      <c r="AM26" s="1524"/>
      <c r="AN26" s="1524"/>
      <c r="AO26" s="1521">
        <v>0</v>
      </c>
      <c r="AP26" s="1521">
        <f>46696428/10^7</f>
        <v>4.6696428000000001</v>
      </c>
      <c r="AQ26" s="1521"/>
      <c r="AR26" s="1521"/>
      <c r="AS26" s="1511">
        <f t="shared" si="2"/>
        <v>4.6696428000000001</v>
      </c>
      <c r="AT26" s="1523"/>
      <c r="AU26" s="1523"/>
      <c r="AV26" s="1524"/>
      <c r="AW26" s="1524"/>
      <c r="AX26" s="1524"/>
      <c r="AY26" s="1524"/>
      <c r="AZ26" s="1524"/>
      <c r="BA26" s="1524"/>
      <c r="BB26" s="1518"/>
      <c r="BC26" s="1298" t="s">
        <v>1520</v>
      </c>
      <c r="BD26" s="1522" t="s">
        <v>908</v>
      </c>
    </row>
    <row r="27" spans="1:57" ht="135" customHeight="1" outlineLevel="1">
      <c r="A27" s="1446">
        <v>10.4</v>
      </c>
      <c r="B27" s="1447" t="s">
        <v>1521</v>
      </c>
      <c r="C27" s="1446" t="s">
        <v>904</v>
      </c>
      <c r="D27" s="1515" t="str">
        <f t="shared" si="7"/>
        <v>MERC/CAPEX/20172018/4782</v>
      </c>
      <c r="E27" s="1516">
        <f t="shared" si="6"/>
        <v>42875</v>
      </c>
      <c r="F27" s="1516">
        <f t="shared" si="3"/>
        <v>43067</v>
      </c>
      <c r="G27" s="1292">
        <v>0.95</v>
      </c>
      <c r="H27" s="1292">
        <v>0.95</v>
      </c>
      <c r="I27" s="568"/>
      <c r="J27" s="568"/>
      <c r="K27" s="1290">
        <f t="shared" si="0"/>
        <v>43067</v>
      </c>
      <c r="L27" s="1293">
        <v>43395</v>
      </c>
      <c r="M27" s="1297">
        <v>43432</v>
      </c>
      <c r="N27" s="1293">
        <v>43663</v>
      </c>
      <c r="O27" s="1296" t="s">
        <v>1522</v>
      </c>
      <c r="P27" s="1517">
        <v>0</v>
      </c>
      <c r="Q27" s="1521">
        <f>9286427.55/10^7</f>
        <v>0.92864275500000004</v>
      </c>
      <c r="R27" s="1521"/>
      <c r="S27" s="1521"/>
      <c r="T27" s="1511">
        <f t="shared" si="1"/>
        <v>0.92864275500000004</v>
      </c>
      <c r="U27" s="1523"/>
      <c r="V27" s="1523"/>
      <c r="W27" s="1524"/>
      <c r="X27" s="1524"/>
      <c r="Y27" s="1524"/>
      <c r="Z27" s="1524"/>
      <c r="AA27" s="1524"/>
      <c r="AB27" s="1524"/>
      <c r="AC27" s="1520">
        <v>0</v>
      </c>
      <c r="AD27" s="1520">
        <v>1</v>
      </c>
      <c r="AE27" s="1525"/>
      <c r="AF27" s="1525"/>
      <c r="AG27" s="1525"/>
      <c r="AH27" s="1525"/>
      <c r="AI27" s="1525"/>
      <c r="AJ27" s="1524"/>
      <c r="AK27" s="1524"/>
      <c r="AL27" s="1524"/>
      <c r="AM27" s="1524"/>
      <c r="AN27" s="1524"/>
      <c r="AO27" s="1521">
        <v>0</v>
      </c>
      <c r="AP27" s="1521">
        <f>9286427.55/10^7</f>
        <v>0.92864275500000004</v>
      </c>
      <c r="AQ27" s="1521"/>
      <c r="AR27" s="1521"/>
      <c r="AS27" s="1511">
        <f t="shared" si="2"/>
        <v>0.92864275500000004</v>
      </c>
      <c r="AT27" s="1523"/>
      <c r="AU27" s="1523"/>
      <c r="AV27" s="1524"/>
      <c r="AW27" s="1524"/>
      <c r="AX27" s="1524"/>
      <c r="AY27" s="1524"/>
      <c r="AZ27" s="1524"/>
      <c r="BA27" s="1524"/>
      <c r="BB27" s="1518"/>
      <c r="BC27" s="1298" t="s">
        <v>1523</v>
      </c>
      <c r="BD27" s="1522" t="s">
        <v>908</v>
      </c>
    </row>
    <row r="28" spans="1:57" ht="150" customHeight="1" outlineLevel="1">
      <c r="A28" s="1446">
        <v>10.5</v>
      </c>
      <c r="B28" s="1447" t="s">
        <v>1524</v>
      </c>
      <c r="C28" s="1446" t="s">
        <v>904</v>
      </c>
      <c r="D28" s="1515" t="str">
        <f t="shared" si="7"/>
        <v>MERC/CAPEX/20172018/4782</v>
      </c>
      <c r="E28" s="1516">
        <f t="shared" si="6"/>
        <v>42875</v>
      </c>
      <c r="F28" s="1516">
        <f t="shared" si="3"/>
        <v>43067</v>
      </c>
      <c r="G28" s="1292">
        <v>0.15</v>
      </c>
      <c r="H28" s="1292">
        <v>0.15</v>
      </c>
      <c r="I28" s="568"/>
      <c r="J28" s="568"/>
      <c r="K28" s="1290">
        <f t="shared" si="0"/>
        <v>43067</v>
      </c>
      <c r="L28" s="1293">
        <v>43143</v>
      </c>
      <c r="M28" s="1297">
        <v>43432</v>
      </c>
      <c r="N28" s="1293">
        <v>43447</v>
      </c>
      <c r="O28" s="1296" t="s">
        <v>1525</v>
      </c>
      <c r="P28" s="1517">
        <v>0.157884</v>
      </c>
      <c r="Q28" s="1521"/>
      <c r="R28" s="1521"/>
      <c r="S28" s="1521"/>
      <c r="T28" s="1511">
        <f t="shared" si="1"/>
        <v>0.157884</v>
      </c>
      <c r="U28" s="1523"/>
      <c r="V28" s="1523"/>
      <c r="W28" s="1524"/>
      <c r="X28" s="1524"/>
      <c r="Y28" s="1524"/>
      <c r="Z28" s="1524"/>
      <c r="AA28" s="1524"/>
      <c r="AB28" s="1524"/>
      <c r="AC28" s="1520">
        <v>1</v>
      </c>
      <c r="AD28" s="1525"/>
      <c r="AE28" s="1525"/>
      <c r="AF28" s="1525"/>
      <c r="AG28" s="1525"/>
      <c r="AH28" s="1525"/>
      <c r="AI28" s="1525"/>
      <c r="AJ28" s="1524"/>
      <c r="AK28" s="1524"/>
      <c r="AL28" s="1524"/>
      <c r="AM28" s="1524"/>
      <c r="AN28" s="1524"/>
      <c r="AO28" s="1521">
        <v>0.157884</v>
      </c>
      <c r="AP28" s="1521"/>
      <c r="AQ28" s="1521"/>
      <c r="AR28" s="1521"/>
      <c r="AS28" s="1511">
        <f t="shared" si="2"/>
        <v>0.157884</v>
      </c>
      <c r="AT28" s="1523"/>
      <c r="AU28" s="1523"/>
      <c r="AV28" s="1524"/>
      <c r="AW28" s="1524"/>
      <c r="AX28" s="1524"/>
      <c r="AY28" s="1524"/>
      <c r="AZ28" s="1524"/>
      <c r="BA28" s="1524"/>
      <c r="BB28" s="1518"/>
      <c r="BC28" s="1298" t="s">
        <v>1526</v>
      </c>
      <c r="BD28" s="1522" t="s">
        <v>908</v>
      </c>
    </row>
    <row r="29" spans="1:57" ht="31" outlineLevel="1">
      <c r="A29" s="1446"/>
      <c r="B29" s="1447" t="s">
        <v>1527</v>
      </c>
      <c r="C29" s="1446" t="s">
        <v>415</v>
      </c>
      <c r="D29" s="1515" t="str">
        <f t="shared" si="7"/>
        <v>MERC/CAPEX/20172018/4782</v>
      </c>
      <c r="E29" s="1516">
        <f t="shared" si="6"/>
        <v>42875</v>
      </c>
      <c r="F29" s="1516">
        <f t="shared" si="3"/>
        <v>43067</v>
      </c>
      <c r="G29" s="1292">
        <v>2.34</v>
      </c>
      <c r="H29" s="1292">
        <v>0</v>
      </c>
      <c r="I29" s="568"/>
      <c r="J29" s="568"/>
      <c r="K29" s="1290">
        <f t="shared" si="0"/>
        <v>43067</v>
      </c>
      <c r="L29" s="1290"/>
      <c r="M29" s="1290"/>
      <c r="N29" s="1290"/>
      <c r="O29" s="1291"/>
      <c r="P29" s="1517"/>
      <c r="Q29" s="1517"/>
      <c r="R29" s="1517"/>
      <c r="S29" s="1517"/>
      <c r="T29" s="1511">
        <f t="shared" si="1"/>
        <v>0</v>
      </c>
      <c r="U29" s="1518"/>
      <c r="V29" s="1518"/>
      <c r="W29" s="1519"/>
      <c r="X29" s="1519"/>
      <c r="Y29" s="1519"/>
      <c r="Z29" s="1519"/>
      <c r="AA29" s="1519"/>
      <c r="AB29" s="1519"/>
      <c r="AC29" s="1514"/>
      <c r="AD29" s="1514"/>
      <c r="AE29" s="1514"/>
      <c r="AF29" s="1514"/>
      <c r="AG29" s="1514"/>
      <c r="AH29" s="1514"/>
      <c r="AI29" s="1514"/>
      <c r="AJ29" s="1519"/>
      <c r="AK29" s="1519"/>
      <c r="AL29" s="1519"/>
      <c r="AM29" s="1519"/>
      <c r="AN29" s="1519"/>
      <c r="AO29" s="1517"/>
      <c r="AP29" s="1517"/>
      <c r="AQ29" s="1517"/>
      <c r="AR29" s="1517"/>
      <c r="AS29" s="1511">
        <f t="shared" si="2"/>
        <v>0</v>
      </c>
      <c r="AT29" s="1518"/>
      <c r="AU29" s="1518"/>
      <c r="AV29" s="1519"/>
      <c r="AW29" s="1519"/>
      <c r="AX29" s="1519"/>
      <c r="AY29" s="1519"/>
      <c r="AZ29" s="1519"/>
      <c r="BA29" s="1519"/>
      <c r="BB29" s="1518"/>
      <c r="BC29" s="1291"/>
      <c r="BD29" s="1522" t="s">
        <v>901</v>
      </c>
    </row>
    <row r="30" spans="1:57" ht="31" outlineLevel="1">
      <c r="A30" s="1440">
        <v>11</v>
      </c>
      <c r="B30" s="1441" t="s">
        <v>1528</v>
      </c>
      <c r="C30" s="1440" t="s">
        <v>896</v>
      </c>
      <c r="D30" s="1440" t="s">
        <v>1529</v>
      </c>
      <c r="E30" s="1509">
        <v>43130</v>
      </c>
      <c r="F30" s="1509">
        <v>43143</v>
      </c>
      <c r="G30" s="1289">
        <f>G31+G32+G33+G34</f>
        <v>19.334125999999998</v>
      </c>
      <c r="H30" s="1289">
        <f>H31+H32+H33+H34</f>
        <v>19.334125999999998</v>
      </c>
      <c r="I30" s="568"/>
      <c r="J30" s="568"/>
      <c r="K30" s="1510">
        <f t="shared" si="0"/>
        <v>43143</v>
      </c>
      <c r="L30" s="1290"/>
      <c r="M30" s="1290"/>
      <c r="N30" s="1290"/>
      <c r="O30" s="1291"/>
      <c r="P30" s="1511"/>
      <c r="Q30" s="1511"/>
      <c r="R30" s="1511"/>
      <c r="S30" s="1511"/>
      <c r="T30" s="1511">
        <f t="shared" si="1"/>
        <v>0</v>
      </c>
      <c r="U30" s="1512"/>
      <c r="V30" s="1512"/>
      <c r="W30" s="1513"/>
      <c r="X30" s="1513"/>
      <c r="Y30" s="1513"/>
      <c r="Z30" s="1513"/>
      <c r="AA30" s="1513"/>
      <c r="AB30" s="1513"/>
      <c r="AC30" s="1514"/>
      <c r="AD30" s="1514"/>
      <c r="AE30" s="1514"/>
      <c r="AF30" s="1514"/>
      <c r="AG30" s="1514"/>
      <c r="AH30" s="1514"/>
      <c r="AI30" s="1514"/>
      <c r="AJ30" s="1513"/>
      <c r="AK30" s="1513"/>
      <c r="AL30" s="1513"/>
      <c r="AM30" s="1513"/>
      <c r="AN30" s="1513"/>
      <c r="AO30" s="1511"/>
      <c r="AP30" s="1511"/>
      <c r="AQ30" s="1511"/>
      <c r="AR30" s="1511"/>
      <c r="AS30" s="1511">
        <f t="shared" si="2"/>
        <v>0</v>
      </c>
      <c r="AT30" s="1512"/>
      <c r="AU30" s="1512"/>
      <c r="AV30" s="1513"/>
      <c r="AW30" s="1513"/>
      <c r="AX30" s="1513"/>
      <c r="AY30" s="1513"/>
      <c r="AZ30" s="1513"/>
      <c r="BA30" s="1513"/>
      <c r="BB30" s="1512"/>
      <c r="BC30" s="1291"/>
      <c r="BD30" s="1522" t="s">
        <v>901</v>
      </c>
      <c r="BE30" s="1504"/>
    </row>
    <row r="31" spans="1:57" ht="105" customHeight="1" outlineLevel="1">
      <c r="A31" s="1446">
        <v>11.1</v>
      </c>
      <c r="B31" s="1447" t="s">
        <v>1530</v>
      </c>
      <c r="C31" s="1446" t="s">
        <v>904</v>
      </c>
      <c r="D31" s="1515" t="str">
        <f>D30</f>
        <v>MERC/CAPEX/20172018/0221</v>
      </c>
      <c r="E31" s="1516">
        <f t="shared" ref="E31" si="8">E30</f>
        <v>43130</v>
      </c>
      <c r="F31" s="1516">
        <f t="shared" si="3"/>
        <v>43143</v>
      </c>
      <c r="G31" s="1292">
        <v>7.0209999999999999</v>
      </c>
      <c r="H31" s="1292">
        <v>7.0209999999999999</v>
      </c>
      <c r="I31" s="568"/>
      <c r="J31" s="568"/>
      <c r="K31" s="1290">
        <f t="shared" si="0"/>
        <v>43143</v>
      </c>
      <c r="L31" s="1295" t="s">
        <v>1531</v>
      </c>
      <c r="M31" s="1295" t="s">
        <v>1532</v>
      </c>
      <c r="N31" s="1295" t="s">
        <v>1533</v>
      </c>
      <c r="O31" s="1298" t="s">
        <v>1534</v>
      </c>
      <c r="P31" s="1517">
        <f>0.416275866+0.64219149</f>
        <v>1.058467356</v>
      </c>
      <c r="Q31" s="1521">
        <f>AP31-P31</f>
        <v>4.3999044640000005</v>
      </c>
      <c r="R31" s="1521"/>
      <c r="S31" s="1521"/>
      <c r="T31" s="1511">
        <f t="shared" si="1"/>
        <v>5.45837182</v>
      </c>
      <c r="U31" s="1523"/>
      <c r="V31" s="1523"/>
      <c r="W31" s="1524"/>
      <c r="X31" s="1524"/>
      <c r="Y31" s="1524"/>
      <c r="Z31" s="1524"/>
      <c r="AA31" s="1524"/>
      <c r="AB31" s="1524"/>
      <c r="AC31" s="1525"/>
      <c r="AD31" s="1520">
        <v>1</v>
      </c>
      <c r="AE31" s="1525"/>
      <c r="AF31" s="1525"/>
      <c r="AG31" s="1525"/>
      <c r="AH31" s="1525"/>
      <c r="AI31" s="1525"/>
      <c r="AJ31" s="1524"/>
      <c r="AK31" s="1524"/>
      <c r="AL31" s="1524"/>
      <c r="AM31" s="1524"/>
      <c r="AN31" s="1524"/>
      <c r="AO31" s="1521">
        <v>0</v>
      </c>
      <c r="AP31" s="1521">
        <f>(54611918.2-28200)/10^7</f>
        <v>5.45837182</v>
      </c>
      <c r="AQ31" s="1521"/>
      <c r="AR31" s="1521"/>
      <c r="AS31" s="1511">
        <f t="shared" si="2"/>
        <v>5.45837182</v>
      </c>
      <c r="AT31" s="1523"/>
      <c r="AU31" s="1523"/>
      <c r="AV31" s="1524"/>
      <c r="AW31" s="1524"/>
      <c r="AX31" s="1524"/>
      <c r="AY31" s="1524"/>
      <c r="AZ31" s="1524"/>
      <c r="BA31" s="1524"/>
      <c r="BB31" s="1518"/>
      <c r="BC31" s="1298"/>
      <c r="BD31" s="1522" t="s">
        <v>908</v>
      </c>
    </row>
    <row r="32" spans="1:57" ht="45" customHeight="1" outlineLevel="1">
      <c r="A32" s="1446">
        <v>11.2</v>
      </c>
      <c r="B32" s="1447" t="s">
        <v>1535</v>
      </c>
      <c r="C32" s="1446" t="s">
        <v>904</v>
      </c>
      <c r="D32" s="1515" t="str">
        <f>D30</f>
        <v>MERC/CAPEX/20172018/0221</v>
      </c>
      <c r="E32" s="1516">
        <f>E30</f>
        <v>43130</v>
      </c>
      <c r="F32" s="1516">
        <f t="shared" si="3"/>
        <v>43143</v>
      </c>
      <c r="G32" s="1292">
        <v>3.85</v>
      </c>
      <c r="H32" s="1292">
        <v>3.85</v>
      </c>
      <c r="I32" s="568"/>
      <c r="J32" s="568"/>
      <c r="K32" s="1290">
        <f t="shared" si="0"/>
        <v>43143</v>
      </c>
      <c r="L32" s="1295" t="s">
        <v>1536</v>
      </c>
      <c r="M32" s="1299" t="s">
        <v>1537</v>
      </c>
      <c r="N32" s="1295" t="s">
        <v>1538</v>
      </c>
      <c r="O32" s="1296" t="s">
        <v>1539</v>
      </c>
      <c r="P32" s="1517">
        <v>2.4234192999999999</v>
      </c>
      <c r="Q32" s="1521">
        <f>8266538.94/10^7</f>
        <v>0.826653894</v>
      </c>
      <c r="R32" s="1521"/>
      <c r="S32" s="1521"/>
      <c r="T32" s="1511">
        <f t="shared" si="1"/>
        <v>3.2500731940000001</v>
      </c>
      <c r="U32" s="1523"/>
      <c r="V32" s="1523"/>
      <c r="W32" s="1524"/>
      <c r="X32" s="1524"/>
      <c r="Y32" s="1524"/>
      <c r="Z32" s="1524"/>
      <c r="AA32" s="1524"/>
      <c r="AB32" s="1524"/>
      <c r="AC32" s="1520">
        <v>0.75</v>
      </c>
      <c r="AD32" s="1520">
        <v>0.25</v>
      </c>
      <c r="AE32" s="1525"/>
      <c r="AF32" s="1525"/>
      <c r="AG32" s="1525"/>
      <c r="AH32" s="1525"/>
      <c r="AI32" s="1525"/>
      <c r="AJ32" s="1524"/>
      <c r="AK32" s="1524"/>
      <c r="AL32" s="1524"/>
      <c r="AM32" s="1524"/>
      <c r="AN32" s="1524"/>
      <c r="AO32" s="1521">
        <f>24247483.29/10^7</f>
        <v>2.4247483289999998</v>
      </c>
      <c r="AP32" s="1521">
        <f>8266538.94/10^7</f>
        <v>0.826653894</v>
      </c>
      <c r="AQ32" s="1521"/>
      <c r="AR32" s="1521"/>
      <c r="AS32" s="1511">
        <f t="shared" si="2"/>
        <v>3.2514022229999999</v>
      </c>
      <c r="AT32" s="1523"/>
      <c r="AU32" s="1523"/>
      <c r="AV32" s="1524"/>
      <c r="AW32" s="1524"/>
      <c r="AX32" s="1524"/>
      <c r="AY32" s="1524"/>
      <c r="AZ32" s="1524"/>
      <c r="BA32" s="1524"/>
      <c r="BB32" s="1518"/>
      <c r="BC32" s="1296"/>
      <c r="BD32" s="1522" t="s">
        <v>908</v>
      </c>
    </row>
    <row r="33" spans="1:57" ht="270" customHeight="1" outlineLevel="1">
      <c r="A33" s="1446">
        <v>11.3</v>
      </c>
      <c r="B33" s="1447" t="s">
        <v>1540</v>
      </c>
      <c r="C33" s="1446" t="s">
        <v>904</v>
      </c>
      <c r="D33" s="1515" t="str">
        <f>D30</f>
        <v>MERC/CAPEX/20172018/0221</v>
      </c>
      <c r="E33" s="1516">
        <f>E30</f>
        <v>43130</v>
      </c>
      <c r="F33" s="1516">
        <f t="shared" si="3"/>
        <v>43143</v>
      </c>
      <c r="G33" s="1292">
        <v>7.3</v>
      </c>
      <c r="H33" s="1292">
        <v>7.3</v>
      </c>
      <c r="I33" s="568"/>
      <c r="J33" s="568"/>
      <c r="K33" s="1290">
        <f t="shared" si="0"/>
        <v>43143</v>
      </c>
      <c r="L33" s="1295" t="s">
        <v>1541</v>
      </c>
      <c r="M33" s="1299" t="s">
        <v>1542</v>
      </c>
      <c r="N33" s="1295" t="s">
        <v>1543</v>
      </c>
      <c r="O33" s="1296" t="s">
        <v>1544</v>
      </c>
      <c r="P33" s="1517">
        <f>0.3660794</f>
        <v>0.3660794</v>
      </c>
      <c r="Q33" s="1521">
        <f>5.42+0.05</f>
        <v>5.47</v>
      </c>
      <c r="R33" s="1521"/>
      <c r="S33" s="1521"/>
      <c r="T33" s="1511">
        <f t="shared" si="1"/>
        <v>5.8360794</v>
      </c>
      <c r="U33" s="1523"/>
      <c r="V33" s="1523"/>
      <c r="W33" s="1524"/>
      <c r="X33" s="1524"/>
      <c r="Y33" s="1524"/>
      <c r="Z33" s="1524"/>
      <c r="AA33" s="1524"/>
      <c r="AB33" s="1524"/>
      <c r="AC33" s="1525"/>
      <c r="AD33" s="1520">
        <v>1</v>
      </c>
      <c r="AE33" s="1525"/>
      <c r="AF33" s="1525"/>
      <c r="AG33" s="1525"/>
      <c r="AH33" s="1525"/>
      <c r="AI33" s="1525"/>
      <c r="AJ33" s="1524"/>
      <c r="AK33" s="1524"/>
      <c r="AL33" s="1524"/>
      <c r="AM33" s="1524"/>
      <c r="AN33" s="1524"/>
      <c r="AO33" s="1521">
        <v>0</v>
      </c>
      <c r="AP33" s="1521">
        <f>(57599118.16+509383)/10^7</f>
        <v>5.8108501159999992</v>
      </c>
      <c r="AQ33" s="1521"/>
      <c r="AR33" s="1521"/>
      <c r="AS33" s="1511">
        <f t="shared" si="2"/>
        <v>5.8108501159999992</v>
      </c>
      <c r="AT33" s="1523"/>
      <c r="AU33" s="1523"/>
      <c r="AV33" s="1524"/>
      <c r="AW33" s="1524"/>
      <c r="AX33" s="1524"/>
      <c r="AY33" s="1524"/>
      <c r="AZ33" s="1524"/>
      <c r="BA33" s="1524"/>
      <c r="BB33" s="1518"/>
      <c r="BC33" s="1298"/>
      <c r="BD33" s="1522" t="s">
        <v>908</v>
      </c>
    </row>
    <row r="34" spans="1:57" ht="31" outlineLevel="1">
      <c r="A34" s="1446">
        <v>11.4</v>
      </c>
      <c r="B34" s="1447" t="s">
        <v>1545</v>
      </c>
      <c r="C34" s="1446" t="s">
        <v>904</v>
      </c>
      <c r="D34" s="1515" t="str">
        <f>D33</f>
        <v>MERC/CAPEX/20172018/0221</v>
      </c>
      <c r="E34" s="1516">
        <f>E33</f>
        <v>43130</v>
      </c>
      <c r="F34" s="1516">
        <f t="shared" si="3"/>
        <v>43143</v>
      </c>
      <c r="G34" s="1292">
        <f>0.9857*1.18</f>
        <v>1.1631259999999999</v>
      </c>
      <c r="H34" s="1292">
        <f>0.9857*1.18</f>
        <v>1.1631259999999999</v>
      </c>
      <c r="I34" s="568"/>
      <c r="J34" s="568"/>
      <c r="K34" s="1290">
        <f t="shared" si="0"/>
        <v>43143</v>
      </c>
      <c r="L34" s="1295">
        <v>43367</v>
      </c>
      <c r="M34" s="1297">
        <v>43640</v>
      </c>
      <c r="N34" s="1295">
        <v>43464</v>
      </c>
      <c r="O34" s="1296" t="s">
        <v>1546</v>
      </c>
      <c r="P34" s="1517">
        <v>0.91823160000000004</v>
      </c>
      <c r="Q34" s="1521"/>
      <c r="R34" s="1521"/>
      <c r="S34" s="1521"/>
      <c r="T34" s="1511">
        <f t="shared" si="1"/>
        <v>0.91823160000000004</v>
      </c>
      <c r="U34" s="1523"/>
      <c r="V34" s="1523"/>
      <c r="W34" s="1524"/>
      <c r="X34" s="1524"/>
      <c r="Y34" s="1524"/>
      <c r="Z34" s="1524"/>
      <c r="AA34" s="1524"/>
      <c r="AB34" s="1524"/>
      <c r="AC34" s="1520">
        <v>1</v>
      </c>
      <c r="AD34" s="1525"/>
      <c r="AE34" s="1525"/>
      <c r="AF34" s="1525"/>
      <c r="AG34" s="1525"/>
      <c r="AH34" s="1525"/>
      <c r="AI34" s="1525"/>
      <c r="AJ34" s="1524"/>
      <c r="AK34" s="1524"/>
      <c r="AL34" s="1524"/>
      <c r="AM34" s="1524"/>
      <c r="AN34" s="1524"/>
      <c r="AO34" s="1521">
        <f>9182316.22/10^7</f>
        <v>0.91823162200000008</v>
      </c>
      <c r="AP34" s="1521"/>
      <c r="AQ34" s="1521"/>
      <c r="AR34" s="1521"/>
      <c r="AS34" s="1511">
        <f t="shared" si="2"/>
        <v>0.91823162200000008</v>
      </c>
      <c r="AT34" s="1523"/>
      <c r="AU34" s="1523"/>
      <c r="AV34" s="1524"/>
      <c r="AW34" s="1524"/>
      <c r="AX34" s="1524"/>
      <c r="AY34" s="1524"/>
      <c r="AZ34" s="1524"/>
      <c r="BA34" s="1524"/>
      <c r="BB34" s="1518"/>
      <c r="BC34" s="1298"/>
      <c r="BD34" s="1522" t="s">
        <v>908</v>
      </c>
    </row>
    <row r="35" spans="1:57" ht="62" outlineLevel="1">
      <c r="A35" s="1526">
        <v>12</v>
      </c>
      <c r="B35" s="1527" t="s">
        <v>1547</v>
      </c>
      <c r="C35" s="1526" t="s">
        <v>896</v>
      </c>
      <c r="D35" s="1526" t="s">
        <v>1548</v>
      </c>
      <c r="E35" s="1528">
        <v>43278</v>
      </c>
      <c r="F35" s="1528">
        <v>43559</v>
      </c>
      <c r="G35" s="1300">
        <f>G36+G37+G38+G39</f>
        <v>13.1172</v>
      </c>
      <c r="H35" s="1300">
        <f>H36+H37+H38+H39</f>
        <v>13.1172</v>
      </c>
      <c r="I35" s="1301"/>
      <c r="J35" s="1301"/>
      <c r="K35" s="1528">
        <f t="shared" si="0"/>
        <v>43559</v>
      </c>
      <c r="L35" s="1302"/>
      <c r="M35" s="1302"/>
      <c r="N35" s="1302"/>
      <c r="O35" s="1303"/>
      <c r="P35" s="1529"/>
      <c r="Q35" s="1529"/>
      <c r="R35" s="1529"/>
      <c r="S35" s="1529"/>
      <c r="T35" s="1529">
        <f t="shared" si="1"/>
        <v>0</v>
      </c>
      <c r="U35" s="1529"/>
      <c r="V35" s="1529"/>
      <c r="W35" s="1530"/>
      <c r="X35" s="1530"/>
      <c r="Y35" s="1530"/>
      <c r="Z35" s="1530"/>
      <c r="AA35" s="1530"/>
      <c r="AB35" s="1530"/>
      <c r="AC35" s="1531"/>
      <c r="AD35" s="1531"/>
      <c r="AE35" s="1531"/>
      <c r="AF35" s="1531"/>
      <c r="AG35" s="1531"/>
      <c r="AH35" s="1531"/>
      <c r="AI35" s="1531"/>
      <c r="AJ35" s="1530"/>
      <c r="AK35" s="1530"/>
      <c r="AL35" s="1530"/>
      <c r="AM35" s="1530"/>
      <c r="AN35" s="1530"/>
      <c r="AO35" s="1529"/>
      <c r="AP35" s="1529"/>
      <c r="AQ35" s="1529"/>
      <c r="AR35" s="1529"/>
      <c r="AS35" s="1529">
        <f t="shared" si="2"/>
        <v>0</v>
      </c>
      <c r="AT35" s="1529"/>
      <c r="AU35" s="1529"/>
      <c r="AV35" s="1530"/>
      <c r="AW35" s="1530"/>
      <c r="AX35" s="1530"/>
      <c r="AY35" s="1530"/>
      <c r="AZ35" s="1530"/>
      <c r="BA35" s="1530"/>
      <c r="BB35" s="1529"/>
      <c r="BC35" s="1303"/>
      <c r="BD35" s="572" t="s">
        <v>901</v>
      </c>
      <c r="BE35" s="1504"/>
    </row>
    <row r="36" spans="1:57" s="1538" customFormat="1" ht="93" outlineLevel="1">
      <c r="A36" s="1448">
        <v>12.1</v>
      </c>
      <c r="B36" s="1449" t="s">
        <v>1549</v>
      </c>
      <c r="C36" s="1448" t="s">
        <v>904</v>
      </c>
      <c r="D36" s="1532" t="str">
        <f>D35</f>
        <v>MERC/CAPEX/2018-2019/0104</v>
      </c>
      <c r="E36" s="1469">
        <f t="shared" ref="E36:E37" si="9">E35</f>
        <v>43278</v>
      </c>
      <c r="F36" s="1469">
        <f t="shared" si="3"/>
        <v>43559</v>
      </c>
      <c r="G36" s="1304">
        <f>6.15*1.18</f>
        <v>7.2569999999999997</v>
      </c>
      <c r="H36" s="1304">
        <f>6.15*1.18</f>
        <v>7.2569999999999997</v>
      </c>
      <c r="I36" s="1305"/>
      <c r="J36" s="1305"/>
      <c r="K36" s="1306">
        <f t="shared" si="0"/>
        <v>43559</v>
      </c>
      <c r="L36" s="1307"/>
      <c r="M36" s="1307">
        <v>43925</v>
      </c>
      <c r="N36" s="1307"/>
      <c r="O36" s="1308"/>
      <c r="P36" s="306">
        <v>0</v>
      </c>
      <c r="Q36" s="1533">
        <v>0</v>
      </c>
      <c r="R36" s="1533">
        <v>0</v>
      </c>
      <c r="S36" s="1533">
        <v>0</v>
      </c>
      <c r="T36" s="1511">
        <f t="shared" si="1"/>
        <v>0</v>
      </c>
      <c r="U36" s="1533">
        <v>0</v>
      </c>
      <c r="V36" s="1533">
        <v>0</v>
      </c>
      <c r="W36" s="1534">
        <v>0</v>
      </c>
      <c r="X36" s="1534"/>
      <c r="Y36" s="1534"/>
      <c r="Z36" s="1534"/>
      <c r="AA36" s="1534"/>
      <c r="AB36" s="1534"/>
      <c r="AC36" s="1535">
        <v>0</v>
      </c>
      <c r="AD36" s="1535">
        <v>0</v>
      </c>
      <c r="AE36" s="1535">
        <v>0</v>
      </c>
      <c r="AF36" s="1535">
        <v>0</v>
      </c>
      <c r="AG36" s="1535">
        <v>0</v>
      </c>
      <c r="AH36" s="1535">
        <v>0</v>
      </c>
      <c r="AI36" s="1535">
        <v>0</v>
      </c>
      <c r="AJ36" s="1534"/>
      <c r="AK36" s="1534"/>
      <c r="AL36" s="1534"/>
      <c r="AM36" s="1534"/>
      <c r="AN36" s="1534"/>
      <c r="AO36" s="1533">
        <v>0</v>
      </c>
      <c r="AP36" s="1533">
        <v>0</v>
      </c>
      <c r="AQ36" s="1533">
        <v>0</v>
      </c>
      <c r="AR36" s="1533">
        <v>0</v>
      </c>
      <c r="AS36" s="1511">
        <f t="shared" si="2"/>
        <v>0</v>
      </c>
      <c r="AT36" s="1533">
        <v>0</v>
      </c>
      <c r="AU36" s="1533">
        <v>0</v>
      </c>
      <c r="AV36" s="1534">
        <v>0</v>
      </c>
      <c r="AW36" s="1534"/>
      <c r="AX36" s="1534"/>
      <c r="AY36" s="1534"/>
      <c r="AZ36" s="1534"/>
      <c r="BA36" s="1534"/>
      <c r="BB36" s="1536"/>
      <c r="BC36" s="1449" t="s">
        <v>1550</v>
      </c>
      <c r="BD36" s="1537" t="s">
        <v>902</v>
      </c>
    </row>
    <row r="37" spans="1:57" s="1538" customFormat="1" ht="225.5" outlineLevel="1">
      <c r="A37" s="1448">
        <v>12.2</v>
      </c>
      <c r="B37" s="1449" t="s">
        <v>1551</v>
      </c>
      <c r="C37" s="1448" t="s">
        <v>904</v>
      </c>
      <c r="D37" s="1532" t="str">
        <f>D36</f>
        <v>MERC/CAPEX/2018-2019/0104</v>
      </c>
      <c r="E37" s="1469">
        <f t="shared" si="9"/>
        <v>43278</v>
      </c>
      <c r="F37" s="1469">
        <f t="shared" si="3"/>
        <v>43559</v>
      </c>
      <c r="G37" s="1304">
        <v>4.22</v>
      </c>
      <c r="H37" s="1304">
        <v>4.22</v>
      </c>
      <c r="I37" s="1305"/>
      <c r="J37" s="1305"/>
      <c r="K37" s="1306">
        <f t="shared" si="0"/>
        <v>43559</v>
      </c>
      <c r="L37" s="1309" t="s">
        <v>1552</v>
      </c>
      <c r="M37" s="1307">
        <v>43925</v>
      </c>
      <c r="N37" s="1309" t="s">
        <v>1553</v>
      </c>
      <c r="O37" s="1308" t="s">
        <v>1554</v>
      </c>
      <c r="P37" s="306">
        <v>0</v>
      </c>
      <c r="Q37" s="1533">
        <v>0</v>
      </c>
      <c r="R37" s="1533">
        <v>0</v>
      </c>
      <c r="S37" s="1533">
        <f>12700408.63/10^7</f>
        <v>1.2700408630000002</v>
      </c>
      <c r="T37" s="1511">
        <f t="shared" si="1"/>
        <v>1.2700408630000002</v>
      </c>
      <c r="U37" s="1533">
        <f>19032320.17/10^7</f>
        <v>1.9032320170000001</v>
      </c>
      <c r="V37" s="1533">
        <f>6571979.8/10^7</f>
        <v>0.65719797999999996</v>
      </c>
      <c r="W37" s="1534"/>
      <c r="X37" s="1534"/>
      <c r="Y37" s="1534"/>
      <c r="Z37" s="1534"/>
      <c r="AA37" s="1534"/>
      <c r="AB37" s="1534"/>
      <c r="AC37" s="1535"/>
      <c r="AD37" s="1535"/>
      <c r="AE37" s="1535"/>
      <c r="AF37" s="1535">
        <v>0.9</v>
      </c>
      <c r="AG37" s="1535">
        <v>1</v>
      </c>
      <c r="AH37" s="1535"/>
      <c r="AI37" s="1535"/>
      <c r="AJ37" s="1534"/>
      <c r="AK37" s="1534"/>
      <c r="AL37" s="1534"/>
      <c r="AM37" s="1534"/>
      <c r="AN37" s="1534"/>
      <c r="AO37" s="1533">
        <v>0</v>
      </c>
      <c r="AP37" s="1533">
        <v>0</v>
      </c>
      <c r="AQ37" s="1533">
        <v>0</v>
      </c>
      <c r="AR37" s="1533">
        <v>0</v>
      </c>
      <c r="AS37" s="1511">
        <f t="shared" si="2"/>
        <v>0</v>
      </c>
      <c r="AT37" s="1539">
        <v>1.1931890000000001</v>
      </c>
      <c r="AU37" s="1539">
        <v>2.6372818869999999</v>
      </c>
      <c r="AV37" s="1534"/>
      <c r="AW37" s="1534"/>
      <c r="AX37" s="1534"/>
      <c r="AY37" s="1534"/>
      <c r="AZ37" s="1534"/>
      <c r="BA37" s="1534"/>
      <c r="BB37" s="1533"/>
      <c r="BC37" s="1540" t="s">
        <v>1555</v>
      </c>
      <c r="BD37" s="1310" t="s">
        <v>908</v>
      </c>
    </row>
    <row r="38" spans="1:57" ht="62" outlineLevel="1">
      <c r="A38" s="1446">
        <v>12.3</v>
      </c>
      <c r="B38" s="1447" t="s">
        <v>1556</v>
      </c>
      <c r="C38" s="1446" t="s">
        <v>904</v>
      </c>
      <c r="D38" s="1515" t="str">
        <f>D37</f>
        <v>MERC/CAPEX/2018-2019/0104</v>
      </c>
      <c r="E38" s="1516">
        <f>E37</f>
        <v>43278</v>
      </c>
      <c r="F38" s="1516">
        <f t="shared" si="3"/>
        <v>43559</v>
      </c>
      <c r="G38" s="1292">
        <f>1.39*1.18</f>
        <v>1.6401999999999999</v>
      </c>
      <c r="H38" s="1292">
        <f>1.39*1.18</f>
        <v>1.6401999999999999</v>
      </c>
      <c r="I38" s="568"/>
      <c r="J38" s="568"/>
      <c r="K38" s="1290">
        <f t="shared" si="0"/>
        <v>43559</v>
      </c>
      <c r="L38" s="1293">
        <v>43708</v>
      </c>
      <c r="M38" s="1293">
        <v>43925</v>
      </c>
      <c r="N38" s="1293">
        <v>44648</v>
      </c>
      <c r="O38" s="1296" t="s">
        <v>1557</v>
      </c>
      <c r="P38" s="1517">
        <v>0</v>
      </c>
      <c r="Q38" s="1521">
        <v>0</v>
      </c>
      <c r="R38" s="1521">
        <v>0.27</v>
      </c>
      <c r="S38" s="1521" t="s">
        <v>1558</v>
      </c>
      <c r="T38" s="1511">
        <f t="shared" si="1"/>
        <v>0.27</v>
      </c>
      <c r="U38" s="1523"/>
      <c r="V38" s="1523"/>
      <c r="W38" s="1524"/>
      <c r="X38" s="1524"/>
      <c r="Y38" s="1524"/>
      <c r="Z38" s="1524"/>
      <c r="AA38" s="1524"/>
      <c r="AB38" s="1524"/>
      <c r="AC38" s="1514"/>
      <c r="AD38" s="1514"/>
      <c r="AE38" s="1514"/>
      <c r="AF38" s="1514">
        <v>1</v>
      </c>
      <c r="AG38" s="1514"/>
      <c r="AH38" s="1514"/>
      <c r="AI38" s="1514"/>
      <c r="AJ38" s="1524"/>
      <c r="AK38" s="1524"/>
      <c r="AL38" s="1524"/>
      <c r="AM38" s="1524"/>
      <c r="AN38" s="1524"/>
      <c r="AO38" s="1521">
        <v>0</v>
      </c>
      <c r="AP38" s="1521">
        <v>0</v>
      </c>
      <c r="AQ38" s="1521">
        <v>0</v>
      </c>
      <c r="AR38" s="1521">
        <f>16376399.46/10^7</f>
        <v>1.6376399460000002</v>
      </c>
      <c r="AS38" s="1511">
        <f t="shared" si="2"/>
        <v>1.6376399460000002</v>
      </c>
      <c r="AT38" s="1523"/>
      <c r="AU38" s="1523"/>
      <c r="AV38" s="1524"/>
      <c r="AW38" s="1524"/>
      <c r="AX38" s="1524"/>
      <c r="AY38" s="1524"/>
      <c r="AZ38" s="1524"/>
      <c r="BA38" s="1524"/>
      <c r="BB38" s="1541"/>
      <c r="BC38" s="1296" t="s">
        <v>1559</v>
      </c>
      <c r="BD38" s="570" t="s">
        <v>908</v>
      </c>
    </row>
    <row r="39" spans="1:57" s="1538" customFormat="1" ht="31" outlineLevel="1">
      <c r="A39" s="1448"/>
      <c r="B39" s="1449" t="s">
        <v>415</v>
      </c>
      <c r="C39" s="1448" t="s">
        <v>415</v>
      </c>
      <c r="D39" s="1532" t="str">
        <f>D38</f>
        <v>MERC/CAPEX/2018-2019/0104</v>
      </c>
      <c r="E39" s="1469">
        <f t="shared" ref="E39" si="10">E38</f>
        <v>43278</v>
      </c>
      <c r="F39" s="1469">
        <f t="shared" si="3"/>
        <v>43559</v>
      </c>
      <c r="G39" s="1304">
        <v>0</v>
      </c>
      <c r="H39" s="1304">
        <v>0</v>
      </c>
      <c r="I39" s="1305"/>
      <c r="J39" s="1305"/>
      <c r="K39" s="1306">
        <f t="shared" si="0"/>
        <v>43559</v>
      </c>
      <c r="L39" s="1306"/>
      <c r="M39" s="1306"/>
      <c r="N39" s="1306"/>
      <c r="O39" s="1542"/>
      <c r="P39" s="306"/>
      <c r="Q39" s="1533"/>
      <c r="R39" s="1533"/>
      <c r="S39" s="1533"/>
      <c r="T39" s="1511">
        <f t="shared" si="1"/>
        <v>0</v>
      </c>
      <c r="U39" s="1533">
        <f>596233/10^7</f>
        <v>5.9623299999999997E-2</v>
      </c>
      <c r="V39" s="1533">
        <f>895519/10^7</f>
        <v>8.9551900000000004E-2</v>
      </c>
      <c r="W39" s="1534"/>
      <c r="X39" s="1534"/>
      <c r="Y39" s="1534"/>
      <c r="Z39" s="1534"/>
      <c r="AA39" s="1534"/>
      <c r="AB39" s="1534"/>
      <c r="AC39" s="1535"/>
      <c r="AD39" s="1535"/>
      <c r="AE39" s="1535"/>
      <c r="AF39" s="1535"/>
      <c r="AG39" s="1535"/>
      <c r="AH39" s="1535"/>
      <c r="AI39" s="1535"/>
      <c r="AJ39" s="1534"/>
      <c r="AK39" s="1534"/>
      <c r="AL39" s="1534"/>
      <c r="AM39" s="1534"/>
      <c r="AN39" s="1534"/>
      <c r="AO39" s="1533"/>
      <c r="AP39" s="1533"/>
      <c r="AQ39" s="1533"/>
      <c r="AR39" s="1533"/>
      <c r="AS39" s="1511">
        <f t="shared" si="2"/>
        <v>0</v>
      </c>
      <c r="AT39" s="1533"/>
      <c r="AU39" s="1543">
        <v>0.14917520000000001</v>
      </c>
      <c r="AV39" s="1534"/>
      <c r="AW39" s="1534"/>
      <c r="AX39" s="1534"/>
      <c r="AY39" s="1534"/>
      <c r="AZ39" s="1534"/>
      <c r="BA39" s="1534"/>
      <c r="BB39" s="1536"/>
      <c r="BC39" s="1308"/>
      <c r="BD39" s="1537" t="s">
        <v>901</v>
      </c>
    </row>
    <row r="40" spans="1:57" ht="77.5" outlineLevel="1">
      <c r="A40" s="1440">
        <v>13</v>
      </c>
      <c r="B40" s="1441" t="s">
        <v>1560</v>
      </c>
      <c r="C40" s="1440" t="s">
        <v>896</v>
      </c>
      <c r="D40" s="1440" t="s">
        <v>1561</v>
      </c>
      <c r="E40" s="1509">
        <v>43298</v>
      </c>
      <c r="F40" s="1509">
        <v>43322</v>
      </c>
      <c r="G40" s="1289">
        <f>SUM(G41:G42)</f>
        <v>11.59</v>
      </c>
      <c r="H40" s="1289">
        <f>SUM(H41:H42)</f>
        <v>11.59</v>
      </c>
      <c r="I40" s="568"/>
      <c r="J40" s="568"/>
      <c r="K40" s="1510">
        <f t="shared" si="0"/>
        <v>43322</v>
      </c>
      <c r="L40" s="1290"/>
      <c r="M40" s="1290"/>
      <c r="N40" s="1290"/>
      <c r="O40" s="1291"/>
      <c r="P40" s="1511"/>
      <c r="Q40" s="1511"/>
      <c r="R40" s="1511"/>
      <c r="S40" s="1511"/>
      <c r="T40" s="1511">
        <f t="shared" si="1"/>
        <v>0</v>
      </c>
      <c r="U40" s="1512"/>
      <c r="V40" s="1512"/>
      <c r="W40" s="1513"/>
      <c r="X40" s="1513"/>
      <c r="Y40" s="1513"/>
      <c r="Z40" s="1513"/>
      <c r="AA40" s="1513"/>
      <c r="AB40" s="1513"/>
      <c r="AC40" s="1514"/>
      <c r="AD40" s="1514"/>
      <c r="AE40" s="1514"/>
      <c r="AF40" s="1514"/>
      <c r="AG40" s="1514"/>
      <c r="AH40" s="1514"/>
      <c r="AI40" s="1514"/>
      <c r="AJ40" s="1513"/>
      <c r="AK40" s="1513"/>
      <c r="AL40" s="1513"/>
      <c r="AM40" s="1513"/>
      <c r="AN40" s="1513"/>
      <c r="AO40" s="1511"/>
      <c r="AP40" s="1511"/>
      <c r="AQ40" s="1511"/>
      <c r="AR40" s="1511"/>
      <c r="AS40" s="1511">
        <f t="shared" si="2"/>
        <v>0</v>
      </c>
      <c r="AT40" s="1512"/>
      <c r="AU40" s="1512"/>
      <c r="AV40" s="1513"/>
      <c r="AW40" s="1513"/>
      <c r="AX40" s="1513"/>
      <c r="AY40" s="1513"/>
      <c r="AZ40" s="1513"/>
      <c r="BA40" s="1513"/>
      <c r="BB40" s="1512"/>
      <c r="BC40" s="1291"/>
      <c r="BD40" s="570" t="s">
        <v>901</v>
      </c>
      <c r="BE40" s="1504"/>
    </row>
    <row r="41" spans="1:57" ht="145" outlineLevel="1">
      <c r="A41" s="1446">
        <v>13.1</v>
      </c>
      <c r="B41" s="1447" t="s">
        <v>1562</v>
      </c>
      <c r="C41" s="1446" t="s">
        <v>904</v>
      </c>
      <c r="D41" s="1515" t="str">
        <f>D40</f>
        <v>MERC/CAPEX/2017-2018/1226</v>
      </c>
      <c r="E41" s="1516">
        <f t="shared" ref="E41:E42" si="11">E40</f>
        <v>43298</v>
      </c>
      <c r="F41" s="1516">
        <f t="shared" si="3"/>
        <v>43322</v>
      </c>
      <c r="G41" s="1292">
        <v>5.7949999999999999</v>
      </c>
      <c r="H41" s="1292">
        <v>5.7949999999999999</v>
      </c>
      <c r="I41" s="568"/>
      <c r="J41" s="568"/>
      <c r="K41" s="1290">
        <f t="shared" si="0"/>
        <v>43322</v>
      </c>
      <c r="L41" s="1293">
        <v>43395</v>
      </c>
      <c r="M41" s="1297">
        <v>43687</v>
      </c>
      <c r="N41" s="1293">
        <v>43735</v>
      </c>
      <c r="O41" s="1296" t="s">
        <v>1563</v>
      </c>
      <c r="P41" s="1517">
        <v>0</v>
      </c>
      <c r="Q41" s="1521">
        <f>63739579.5/10^7</f>
        <v>6.3739579500000003</v>
      </c>
      <c r="R41" s="1521"/>
      <c r="S41" s="1521"/>
      <c r="T41" s="1511">
        <f t="shared" si="1"/>
        <v>6.3739579500000003</v>
      </c>
      <c r="U41" s="1523"/>
      <c r="V41" s="1523"/>
      <c r="W41" s="1524"/>
      <c r="X41" s="1524"/>
      <c r="Y41" s="1524"/>
      <c r="Z41" s="1524"/>
      <c r="AA41" s="1524"/>
      <c r="AB41" s="1524"/>
      <c r="AC41" s="1525"/>
      <c r="AD41" s="1520">
        <v>1</v>
      </c>
      <c r="AE41" s="1525"/>
      <c r="AF41" s="1525"/>
      <c r="AG41" s="1525"/>
      <c r="AH41" s="1525"/>
      <c r="AI41" s="1525"/>
      <c r="AJ41" s="1524"/>
      <c r="AK41" s="1524"/>
      <c r="AL41" s="1524"/>
      <c r="AM41" s="1524"/>
      <c r="AN41" s="1524"/>
      <c r="AO41" s="1521">
        <v>0</v>
      </c>
      <c r="AP41" s="1521">
        <f>63739579.5/10^7</f>
        <v>6.3739579500000003</v>
      </c>
      <c r="AQ41" s="1521"/>
      <c r="AR41" s="1521"/>
      <c r="AS41" s="1511">
        <f t="shared" si="2"/>
        <v>6.3739579500000003</v>
      </c>
      <c r="AT41" s="1523"/>
      <c r="AU41" s="1523"/>
      <c r="AV41" s="1524"/>
      <c r="AW41" s="1524"/>
      <c r="AX41" s="1524"/>
      <c r="AY41" s="1524"/>
      <c r="AZ41" s="1524"/>
      <c r="BA41" s="1524"/>
      <c r="BB41" s="1523">
        <v>-3.9345778999999999</v>
      </c>
      <c r="BC41" s="1296" t="s">
        <v>1564</v>
      </c>
      <c r="BD41" s="1544" t="s">
        <v>908</v>
      </c>
    </row>
    <row r="42" spans="1:57" ht="145" outlineLevel="1">
      <c r="A42" s="1446">
        <v>13.2</v>
      </c>
      <c r="B42" s="1447" t="s">
        <v>1565</v>
      </c>
      <c r="C42" s="1446" t="s">
        <v>904</v>
      </c>
      <c r="D42" s="1515" t="str">
        <f>D41</f>
        <v>MERC/CAPEX/2017-2018/1226</v>
      </c>
      <c r="E42" s="1516">
        <f t="shared" si="11"/>
        <v>43298</v>
      </c>
      <c r="F42" s="1516">
        <f t="shared" si="3"/>
        <v>43322</v>
      </c>
      <c r="G42" s="1292">
        <v>5.7949999999999999</v>
      </c>
      <c r="H42" s="1292">
        <v>5.7949999999999999</v>
      </c>
      <c r="I42" s="568"/>
      <c r="J42" s="568"/>
      <c r="K42" s="1290">
        <f t="shared" si="0"/>
        <v>43322</v>
      </c>
      <c r="L42" s="1293">
        <v>43522</v>
      </c>
      <c r="M42" s="1297">
        <v>43687</v>
      </c>
      <c r="N42" s="1293">
        <v>44604</v>
      </c>
      <c r="O42" s="1296" t="s">
        <v>1566</v>
      </c>
      <c r="P42" s="1517">
        <v>0</v>
      </c>
      <c r="Q42" s="1521">
        <v>0</v>
      </c>
      <c r="R42" s="1521">
        <v>0</v>
      </c>
      <c r="S42" s="1521">
        <f>63227326/10^7</f>
        <v>6.3227326000000001</v>
      </c>
      <c r="T42" s="1511">
        <f t="shared" si="1"/>
        <v>6.3227326000000001</v>
      </c>
      <c r="U42" s="1523"/>
      <c r="V42" s="1523"/>
      <c r="W42" s="1524"/>
      <c r="X42" s="1524"/>
      <c r="Y42" s="1524"/>
      <c r="Z42" s="1524"/>
      <c r="AA42" s="1524"/>
      <c r="AB42" s="1524"/>
      <c r="AC42" s="1525"/>
      <c r="AD42" s="1525"/>
      <c r="AE42" s="1525"/>
      <c r="AF42" s="1520">
        <v>1</v>
      </c>
      <c r="AG42" s="1525"/>
      <c r="AH42" s="1525"/>
      <c r="AI42" s="1525"/>
      <c r="AJ42" s="1524"/>
      <c r="AK42" s="1524"/>
      <c r="AL42" s="1524"/>
      <c r="AM42" s="1524"/>
      <c r="AN42" s="1524"/>
      <c r="AO42" s="1521">
        <v>0</v>
      </c>
      <c r="AP42" s="1521">
        <v>0</v>
      </c>
      <c r="AQ42" s="1521">
        <v>0</v>
      </c>
      <c r="AR42" s="1521">
        <f>63227326/10^7</f>
        <v>6.3227326000000001</v>
      </c>
      <c r="AS42" s="1511">
        <f t="shared" si="2"/>
        <v>6.3227326000000001</v>
      </c>
      <c r="AT42" s="1523"/>
      <c r="AU42" s="1523"/>
      <c r="AV42" s="1524"/>
      <c r="AW42" s="1524"/>
      <c r="AX42" s="1524"/>
      <c r="AY42" s="1524"/>
      <c r="AZ42" s="1524"/>
      <c r="BA42" s="1524"/>
      <c r="BB42" s="1523">
        <v>-3.7917640000000001</v>
      </c>
      <c r="BC42" s="1298" t="s">
        <v>1567</v>
      </c>
      <c r="BD42" s="1544" t="s">
        <v>908</v>
      </c>
    </row>
    <row r="43" spans="1:57" ht="31" outlineLevel="1">
      <c r="A43" s="1440">
        <v>15</v>
      </c>
      <c r="B43" s="1441" t="s">
        <v>1568</v>
      </c>
      <c r="C43" s="1440" t="s">
        <v>896</v>
      </c>
      <c r="D43" s="1440" t="s">
        <v>1569</v>
      </c>
      <c r="E43" s="1509">
        <v>43808</v>
      </c>
      <c r="F43" s="1509">
        <v>44232</v>
      </c>
      <c r="G43" s="1289">
        <f>SUM(G44:G45)</f>
        <v>869.5</v>
      </c>
      <c r="H43" s="1289">
        <f t="shared" ref="H43" si="12">SUM(H44:H45)</f>
        <v>869.5</v>
      </c>
      <c r="I43" s="568"/>
      <c r="J43" s="568"/>
      <c r="K43" s="1510">
        <f t="shared" si="0"/>
        <v>44232</v>
      </c>
      <c r="L43" s="1290"/>
      <c r="M43" s="1290"/>
      <c r="N43" s="1290"/>
      <c r="O43" s="1291"/>
      <c r="P43" s="1511"/>
      <c r="Q43" s="1511"/>
      <c r="R43" s="1511"/>
      <c r="S43" s="1511"/>
      <c r="T43" s="1511">
        <f t="shared" si="1"/>
        <v>0</v>
      </c>
      <c r="U43" s="1512"/>
      <c r="V43" s="1512"/>
      <c r="W43" s="1513"/>
      <c r="X43" s="1513"/>
      <c r="Y43" s="1513"/>
      <c r="Z43" s="1513"/>
      <c r="AA43" s="1513"/>
      <c r="AB43" s="1513"/>
      <c r="AC43" s="1514"/>
      <c r="AD43" s="1514"/>
      <c r="AE43" s="1514"/>
      <c r="AF43" s="1514"/>
      <c r="AG43" s="1514"/>
      <c r="AH43" s="1514"/>
      <c r="AI43" s="1514"/>
      <c r="AJ43" s="1513"/>
      <c r="AK43" s="1513"/>
      <c r="AL43" s="1513"/>
      <c r="AM43" s="1513"/>
      <c r="AN43" s="1513"/>
      <c r="AO43" s="1511"/>
      <c r="AP43" s="1511"/>
      <c r="AQ43" s="1511"/>
      <c r="AR43" s="1511"/>
      <c r="AS43" s="1511">
        <f t="shared" si="2"/>
        <v>0</v>
      </c>
      <c r="AT43" s="1512"/>
      <c r="AU43" s="1512"/>
      <c r="AV43" s="1513"/>
      <c r="AW43" s="1513"/>
      <c r="AX43" s="1513"/>
      <c r="AY43" s="1513"/>
      <c r="AZ43" s="1513"/>
      <c r="BA43" s="1513"/>
      <c r="BB43" s="1512"/>
      <c r="BC43" s="1291"/>
      <c r="BD43" s="570" t="s">
        <v>901</v>
      </c>
      <c r="BE43" s="1504"/>
    </row>
    <row r="44" spans="1:57" ht="56" outlineLevel="1">
      <c r="A44" s="1545">
        <v>15.1</v>
      </c>
      <c r="B44" s="1546" t="s">
        <v>1570</v>
      </c>
      <c r="C44" s="1545" t="s">
        <v>904</v>
      </c>
      <c r="D44" s="1475" t="str">
        <f>D43</f>
        <v>MERC/CAPEX/2020-2021/WFH/SBR/45</v>
      </c>
      <c r="E44" s="1547">
        <f t="shared" ref="E44:E45" si="13">E43</f>
        <v>43808</v>
      </c>
      <c r="F44" s="1473">
        <f t="shared" si="3"/>
        <v>44232</v>
      </c>
      <c r="G44" s="1311">
        <v>830.4</v>
      </c>
      <c r="H44" s="1311">
        <v>830.4</v>
      </c>
      <c r="I44" s="161"/>
      <c r="J44" s="161"/>
      <c r="K44" s="1321">
        <f t="shared" si="0"/>
        <v>44232</v>
      </c>
      <c r="L44" s="1321"/>
      <c r="M44" s="1321"/>
      <c r="N44" s="1321"/>
      <c r="O44" s="1548" t="s">
        <v>1571</v>
      </c>
      <c r="P44" s="318"/>
      <c r="Q44" s="318"/>
      <c r="R44" s="318">
        <v>0</v>
      </c>
      <c r="S44" s="318">
        <v>0</v>
      </c>
      <c r="T44" s="1549">
        <f t="shared" si="1"/>
        <v>0</v>
      </c>
      <c r="U44" s="318">
        <v>0</v>
      </c>
      <c r="V44" s="318">
        <v>0</v>
      </c>
      <c r="W44" s="1550">
        <v>127.37</v>
      </c>
      <c r="X44" s="1550">
        <v>467.04</v>
      </c>
      <c r="Y44" s="1550">
        <v>254.75</v>
      </c>
      <c r="Z44" s="1550"/>
      <c r="AA44" s="318"/>
      <c r="AB44" s="318"/>
      <c r="AC44" s="318"/>
      <c r="AD44" s="318"/>
      <c r="AE44" s="1508"/>
      <c r="AF44" s="1508"/>
      <c r="AG44" s="1508"/>
      <c r="AH44" s="1508"/>
      <c r="AI44" s="1508"/>
      <c r="AJ44" s="318"/>
      <c r="AK44" s="318"/>
      <c r="AL44" s="1551">
        <v>1</v>
      </c>
      <c r="AM44" s="318"/>
      <c r="AN44" s="318"/>
      <c r="AO44" s="318"/>
      <c r="AP44" s="318"/>
      <c r="AQ44" s="318">
        <v>0</v>
      </c>
      <c r="AR44" s="318">
        <v>0</v>
      </c>
      <c r="AS44" s="1549">
        <f t="shared" si="2"/>
        <v>0</v>
      </c>
      <c r="AT44" s="318">
        <v>0</v>
      </c>
      <c r="AU44" s="318">
        <v>0</v>
      </c>
      <c r="AV44" s="1550"/>
      <c r="AX44" s="1550">
        <v>424.58</v>
      </c>
      <c r="AY44" s="1550">
        <v>424.58</v>
      </c>
      <c r="AZ44" s="318"/>
      <c r="BA44" s="318"/>
      <c r="BB44" s="318"/>
      <c r="BC44" s="1552" t="s">
        <v>1572</v>
      </c>
      <c r="BD44" s="166" t="s">
        <v>905</v>
      </c>
    </row>
    <row r="45" spans="1:57" ht="31" outlineLevel="1">
      <c r="A45" s="1450"/>
      <c r="B45" s="1452" t="s">
        <v>415</v>
      </c>
      <c r="C45" s="1450" t="s">
        <v>415</v>
      </c>
      <c r="D45" s="1553" t="str">
        <f>D44</f>
        <v>MERC/CAPEX/2020-2021/WFH/SBR/45</v>
      </c>
      <c r="E45" s="1554">
        <f t="shared" si="13"/>
        <v>43808</v>
      </c>
      <c r="F45" s="1516">
        <f t="shared" si="3"/>
        <v>44232</v>
      </c>
      <c r="G45" s="1312">
        <v>39.1</v>
      </c>
      <c r="H45" s="1312">
        <v>39.1</v>
      </c>
      <c r="I45" s="568"/>
      <c r="J45" s="568"/>
      <c r="K45" s="1290">
        <f t="shared" si="0"/>
        <v>44232</v>
      </c>
      <c r="L45" s="1290"/>
      <c r="M45" s="1290"/>
      <c r="N45" s="1290"/>
      <c r="O45" s="1291"/>
      <c r="P45" s="1517"/>
      <c r="Q45" s="1517"/>
      <c r="R45" s="1517"/>
      <c r="S45" s="1517"/>
      <c r="T45" s="1511">
        <f t="shared" si="1"/>
        <v>0</v>
      </c>
      <c r="U45" s="1518"/>
      <c r="V45" s="1518"/>
      <c r="W45" s="1519"/>
      <c r="X45" s="1519"/>
      <c r="Y45" s="1519"/>
      <c r="Z45" s="1519"/>
      <c r="AA45" s="1519"/>
      <c r="AB45" s="1519"/>
      <c r="AC45" s="1514"/>
      <c r="AD45" s="1514"/>
      <c r="AE45" s="1514"/>
      <c r="AF45" s="1514"/>
      <c r="AG45" s="1514"/>
      <c r="AH45" s="1514"/>
      <c r="AI45" s="1514"/>
      <c r="AJ45" s="1519"/>
      <c r="AK45" s="1519"/>
      <c r="AL45" s="1519"/>
      <c r="AM45" s="1519"/>
      <c r="AN45" s="1519"/>
      <c r="AO45" s="1517"/>
      <c r="AP45" s="1517"/>
      <c r="AQ45" s="1517"/>
      <c r="AR45" s="1517"/>
      <c r="AS45" s="1511">
        <f t="shared" si="2"/>
        <v>0</v>
      </c>
      <c r="AT45" s="1518"/>
      <c r="AU45" s="1518"/>
      <c r="AV45" s="1519"/>
      <c r="AW45" s="1519"/>
      <c r="AX45" s="1519"/>
      <c r="AY45" s="1519"/>
      <c r="AZ45" s="1519"/>
      <c r="BA45" s="1519"/>
      <c r="BB45" s="1518"/>
      <c r="BC45" s="1291"/>
      <c r="BD45" s="1555" t="s">
        <v>901</v>
      </c>
    </row>
    <row r="46" spans="1:57" ht="46.5" outlineLevel="1">
      <c r="A46" s="1440">
        <v>16</v>
      </c>
      <c r="B46" s="1441" t="s">
        <v>1573</v>
      </c>
      <c r="C46" s="1440" t="s">
        <v>896</v>
      </c>
      <c r="D46" s="1440" t="s">
        <v>1574</v>
      </c>
      <c r="E46" s="1509">
        <v>44095</v>
      </c>
      <c r="F46" s="1509">
        <v>44263</v>
      </c>
      <c r="G46" s="1289">
        <f>SUM(G47:G49)</f>
        <v>10.520000000000001</v>
      </c>
      <c r="H46" s="1289">
        <f>SUM(H47:H49)</f>
        <v>10.520000000000001</v>
      </c>
      <c r="I46" s="568"/>
      <c r="J46" s="568"/>
      <c r="K46" s="1510">
        <f t="shared" si="0"/>
        <v>44263</v>
      </c>
      <c r="L46" s="1290"/>
      <c r="M46" s="1290"/>
      <c r="N46" s="1290"/>
      <c r="O46" s="1291"/>
      <c r="P46" s="1511"/>
      <c r="Q46" s="1511"/>
      <c r="R46" s="1511"/>
      <c r="S46" s="1511"/>
      <c r="T46" s="1511">
        <f t="shared" si="1"/>
        <v>0</v>
      </c>
      <c r="U46" s="1512"/>
      <c r="V46" s="1512"/>
      <c r="W46" s="1513"/>
      <c r="X46" s="1513"/>
      <c r="Y46" s="1513"/>
      <c r="Z46" s="1513"/>
      <c r="AA46" s="1513"/>
      <c r="AB46" s="1513"/>
      <c r="AC46" s="1514"/>
      <c r="AD46" s="1514"/>
      <c r="AE46" s="1514"/>
      <c r="AF46" s="1514"/>
      <c r="AG46" s="1514"/>
      <c r="AH46" s="1514"/>
      <c r="AI46" s="1514"/>
      <c r="AJ46" s="1513"/>
      <c r="AK46" s="1513"/>
      <c r="AL46" s="1513"/>
      <c r="AM46" s="1513"/>
      <c r="AN46" s="1513"/>
      <c r="AO46" s="1511"/>
      <c r="AP46" s="1511"/>
      <c r="AQ46" s="1511"/>
      <c r="AR46" s="1511"/>
      <c r="AS46" s="1511">
        <f t="shared" si="2"/>
        <v>0</v>
      </c>
      <c r="AT46" s="1512"/>
      <c r="AU46" s="1512"/>
      <c r="AV46" s="1513"/>
      <c r="AW46" s="1513"/>
      <c r="AX46" s="1513"/>
      <c r="AY46" s="1513"/>
      <c r="AZ46" s="1513"/>
      <c r="BA46" s="1513"/>
      <c r="BB46" s="1512"/>
      <c r="BC46" s="1291"/>
      <c r="BD46" s="166" t="s">
        <v>901</v>
      </c>
      <c r="BE46" s="1504"/>
    </row>
    <row r="47" spans="1:57" ht="165" customHeight="1" outlineLevel="1">
      <c r="A47" s="1545">
        <v>16.100000000000001</v>
      </c>
      <c r="B47" s="1556" t="s">
        <v>1575</v>
      </c>
      <c r="C47" s="1545" t="s">
        <v>904</v>
      </c>
      <c r="D47" s="1475" t="str">
        <f>D46</f>
        <v>MERC/CAPEX/2020-2021/WFO/SBR/49</v>
      </c>
      <c r="E47" s="1547">
        <f t="shared" ref="E47:E49" si="14">E46</f>
        <v>44095</v>
      </c>
      <c r="F47" s="1473">
        <f t="shared" si="3"/>
        <v>44263</v>
      </c>
      <c r="G47" s="1311">
        <v>3.84</v>
      </c>
      <c r="H47" s="1311">
        <v>3.84</v>
      </c>
      <c r="I47" s="161"/>
      <c r="J47" s="161"/>
      <c r="K47" s="1321">
        <f t="shared" si="0"/>
        <v>44263</v>
      </c>
      <c r="L47" s="1557">
        <v>44495</v>
      </c>
      <c r="M47" s="1557">
        <v>45177</v>
      </c>
      <c r="N47" s="1557"/>
      <c r="O47" s="1558" t="s">
        <v>1576</v>
      </c>
      <c r="P47" s="318"/>
      <c r="Q47" s="318"/>
      <c r="R47" s="1550">
        <v>0</v>
      </c>
      <c r="S47" s="1550">
        <v>0</v>
      </c>
      <c r="T47" s="1549">
        <f t="shared" si="1"/>
        <v>0</v>
      </c>
      <c r="U47" s="1550">
        <f>22399997.76/10^7</f>
        <v>2.2399997760000003</v>
      </c>
      <c r="V47" s="1550"/>
      <c r="W47" s="1559"/>
      <c r="X47" s="1559"/>
      <c r="Y47" s="1559"/>
      <c r="Z47" s="1559"/>
      <c r="AA47" s="1559"/>
      <c r="AB47" s="1559"/>
      <c r="AC47" s="1560"/>
      <c r="AD47" s="1560"/>
      <c r="AE47" s="1560"/>
      <c r="AF47" s="1560"/>
      <c r="AG47" s="1561">
        <v>1</v>
      </c>
      <c r="AH47" s="1560"/>
      <c r="AI47" s="1560"/>
      <c r="AJ47" s="1559"/>
      <c r="AK47" s="1559"/>
      <c r="AL47" s="1559"/>
      <c r="AM47" s="1559"/>
      <c r="AN47" s="1559"/>
      <c r="AO47" s="1550"/>
      <c r="AP47" s="1550"/>
      <c r="AQ47" s="1550">
        <v>0</v>
      </c>
      <c r="AR47" s="1550">
        <v>0</v>
      </c>
      <c r="AS47" s="1549">
        <f t="shared" si="2"/>
        <v>0</v>
      </c>
      <c r="AT47" s="1550">
        <v>2.2399997760000003</v>
      </c>
      <c r="AU47" s="1550">
        <v>0</v>
      </c>
      <c r="AV47" s="1559">
        <v>0</v>
      </c>
      <c r="AW47" s="1559"/>
      <c r="AX47" s="1559"/>
      <c r="AY47" s="1559"/>
      <c r="AZ47" s="1559"/>
      <c r="BA47" s="1559"/>
      <c r="BB47" s="318"/>
      <c r="BC47" s="1562" t="s">
        <v>1577</v>
      </c>
      <c r="BD47" s="166" t="s">
        <v>908</v>
      </c>
    </row>
    <row r="48" spans="1:57" ht="333.5" outlineLevel="1">
      <c r="A48" s="1450">
        <v>16.2</v>
      </c>
      <c r="B48" s="1452" t="s">
        <v>1578</v>
      </c>
      <c r="C48" s="1450" t="s">
        <v>904</v>
      </c>
      <c r="D48" s="1553" t="str">
        <f t="shared" ref="D48:D49" si="15">D47</f>
        <v>MERC/CAPEX/2020-2021/WFO/SBR/49</v>
      </c>
      <c r="E48" s="1554">
        <f t="shared" si="14"/>
        <v>44095</v>
      </c>
      <c r="F48" s="1516">
        <f t="shared" si="3"/>
        <v>44263</v>
      </c>
      <c r="G48" s="1312">
        <v>6.46</v>
      </c>
      <c r="H48" s="1312">
        <v>6.46</v>
      </c>
      <c r="I48" s="568"/>
      <c r="J48" s="568"/>
      <c r="K48" s="1290">
        <f t="shared" si="0"/>
        <v>44263</v>
      </c>
      <c r="L48" s="1293">
        <v>44393</v>
      </c>
      <c r="M48" s="1293">
        <v>45177</v>
      </c>
      <c r="N48" s="1293">
        <v>44641</v>
      </c>
      <c r="O48" s="1296" t="s">
        <v>1579</v>
      </c>
      <c r="P48" s="1517"/>
      <c r="Q48" s="1517"/>
      <c r="R48" s="1521">
        <v>0</v>
      </c>
      <c r="S48" s="1521">
        <f>76135873/10^7</f>
        <v>7.6135872999999998</v>
      </c>
      <c r="T48" s="1511">
        <f t="shared" si="1"/>
        <v>7.6135872999999998</v>
      </c>
      <c r="U48" s="1523"/>
      <c r="V48" s="1523"/>
      <c r="W48" s="1524"/>
      <c r="X48" s="1524"/>
      <c r="Y48" s="1524"/>
      <c r="Z48" s="1524"/>
      <c r="AA48" s="1524"/>
      <c r="AB48" s="1524"/>
      <c r="AC48" s="1525"/>
      <c r="AD48" s="1525"/>
      <c r="AE48" s="1525"/>
      <c r="AF48" s="1520">
        <v>1</v>
      </c>
      <c r="AG48" s="1525"/>
      <c r="AH48" s="1525"/>
      <c r="AI48" s="1525"/>
      <c r="AJ48" s="1524"/>
      <c r="AK48" s="1524"/>
      <c r="AL48" s="1524"/>
      <c r="AM48" s="1524"/>
      <c r="AN48" s="1524"/>
      <c r="AO48" s="1521"/>
      <c r="AP48" s="1521"/>
      <c r="AQ48" s="1521">
        <v>0</v>
      </c>
      <c r="AR48" s="1521">
        <f>76135873/10^7</f>
        <v>7.6135872999999998</v>
      </c>
      <c r="AS48" s="1511">
        <f t="shared" si="2"/>
        <v>7.6135872999999998</v>
      </c>
      <c r="AT48" s="1523"/>
      <c r="AU48" s="1523"/>
      <c r="AV48" s="1524"/>
      <c r="AW48" s="1524"/>
      <c r="AX48" s="1524"/>
      <c r="AY48" s="1524"/>
      <c r="AZ48" s="1524"/>
      <c r="BA48" s="1524"/>
      <c r="BB48" s="1518"/>
      <c r="BC48" s="1296" t="s">
        <v>1580</v>
      </c>
      <c r="BD48" s="570" t="s">
        <v>908</v>
      </c>
    </row>
    <row r="49" spans="1:57" ht="31" outlineLevel="1">
      <c r="A49" s="1450"/>
      <c r="B49" s="1452" t="s">
        <v>415</v>
      </c>
      <c r="C49" s="1450" t="s">
        <v>415</v>
      </c>
      <c r="D49" s="1553" t="str">
        <f t="shared" si="15"/>
        <v>MERC/CAPEX/2020-2021/WFO/SBR/49</v>
      </c>
      <c r="E49" s="1554">
        <f t="shared" si="14"/>
        <v>44095</v>
      </c>
      <c r="F49" s="1516">
        <f t="shared" si="3"/>
        <v>44263</v>
      </c>
      <c r="G49" s="1312">
        <v>0.22</v>
      </c>
      <c r="H49" s="1312">
        <v>0.22</v>
      </c>
      <c r="I49" s="568"/>
      <c r="J49" s="568"/>
      <c r="K49" s="1290">
        <f t="shared" si="0"/>
        <v>44263</v>
      </c>
      <c r="L49" s="1290"/>
      <c r="M49" s="1290"/>
      <c r="N49" s="1290"/>
      <c r="O49" s="1291"/>
      <c r="P49" s="1517"/>
      <c r="Q49" s="1517"/>
      <c r="R49" s="1521"/>
      <c r="S49" s="1521"/>
      <c r="T49" s="1511">
        <f t="shared" si="1"/>
        <v>0</v>
      </c>
      <c r="U49" s="1523"/>
      <c r="V49" s="1523"/>
      <c r="W49" s="1524"/>
      <c r="X49" s="1524"/>
      <c r="Y49" s="1524"/>
      <c r="Z49" s="1524"/>
      <c r="AA49" s="1524"/>
      <c r="AB49" s="1524"/>
      <c r="AC49" s="1525"/>
      <c r="AD49" s="1525"/>
      <c r="AE49" s="1525"/>
      <c r="AF49" s="1525"/>
      <c r="AG49" s="1525"/>
      <c r="AH49" s="1525"/>
      <c r="AI49" s="1525"/>
      <c r="AJ49" s="1524"/>
      <c r="AK49" s="1524"/>
      <c r="AL49" s="1524"/>
      <c r="AM49" s="1524"/>
      <c r="AN49" s="1524"/>
      <c r="AO49" s="1517"/>
      <c r="AP49" s="1517"/>
      <c r="AQ49" s="1517"/>
      <c r="AR49" s="1517"/>
      <c r="AS49" s="1511">
        <f t="shared" si="2"/>
        <v>0</v>
      </c>
      <c r="AT49" s="1518"/>
      <c r="AU49" s="1518"/>
      <c r="AV49" s="1519"/>
      <c r="AW49" s="1524"/>
      <c r="AX49" s="1524"/>
      <c r="AY49" s="1524"/>
      <c r="AZ49" s="1524"/>
      <c r="BA49" s="1524"/>
      <c r="BB49" s="1518"/>
      <c r="BC49" s="1291"/>
      <c r="BD49" s="1522" t="s">
        <v>901</v>
      </c>
    </row>
    <row r="50" spans="1:57" ht="31" outlineLevel="1">
      <c r="A50" s="1440">
        <v>17</v>
      </c>
      <c r="B50" s="1441" t="s">
        <v>1581</v>
      </c>
      <c r="C50" s="1440" t="s">
        <v>896</v>
      </c>
      <c r="D50" s="1440" t="s">
        <v>1582</v>
      </c>
      <c r="E50" s="1509">
        <v>44162</v>
      </c>
      <c r="F50" s="1509">
        <v>44357</v>
      </c>
      <c r="G50" s="1289">
        <f>SUM(G51:G56)</f>
        <v>21.22</v>
      </c>
      <c r="H50" s="1289">
        <f>SUM(H51:H56)</f>
        <v>21.22</v>
      </c>
      <c r="I50" s="568"/>
      <c r="J50" s="568"/>
      <c r="K50" s="1510">
        <f t="shared" si="0"/>
        <v>44357</v>
      </c>
      <c r="L50" s="1290"/>
      <c r="M50" s="1290"/>
      <c r="N50" s="1290"/>
      <c r="O50" s="1291"/>
      <c r="P50" s="1511"/>
      <c r="Q50" s="1511"/>
      <c r="R50" s="1511"/>
      <c r="S50" s="1511"/>
      <c r="T50" s="1511">
        <f t="shared" si="1"/>
        <v>0</v>
      </c>
      <c r="U50" s="1512"/>
      <c r="V50" s="1512"/>
      <c r="W50" s="1513"/>
      <c r="X50" s="1513"/>
      <c r="Y50" s="1513"/>
      <c r="Z50" s="1513"/>
      <c r="AA50" s="1513"/>
      <c r="AB50" s="1513"/>
      <c r="AC50" s="1514"/>
      <c r="AD50" s="1514"/>
      <c r="AE50" s="1514"/>
      <c r="AF50" s="1514"/>
      <c r="AG50" s="1514"/>
      <c r="AH50" s="1514"/>
      <c r="AI50" s="1514"/>
      <c r="AJ50" s="1513"/>
      <c r="AK50" s="1513"/>
      <c r="AL50" s="1513"/>
      <c r="AM50" s="1513"/>
      <c r="AN50" s="1513"/>
      <c r="AO50" s="1511"/>
      <c r="AP50" s="1511"/>
      <c r="AQ50" s="1511"/>
      <c r="AR50" s="1511"/>
      <c r="AS50" s="1511">
        <f t="shared" si="2"/>
        <v>0</v>
      </c>
      <c r="AT50" s="1512"/>
      <c r="AU50" s="1512"/>
      <c r="AV50" s="1513"/>
      <c r="AW50" s="1513"/>
      <c r="AX50" s="1513"/>
      <c r="AY50" s="1513"/>
      <c r="AZ50" s="1513"/>
      <c r="BA50" s="1513"/>
      <c r="BB50" s="1512"/>
      <c r="BC50" s="1291"/>
      <c r="BD50" s="166" t="s">
        <v>901</v>
      </c>
      <c r="BE50" s="1504"/>
    </row>
    <row r="51" spans="1:57" ht="87" outlineLevel="1">
      <c r="A51" s="1545">
        <v>17.100000000000001</v>
      </c>
      <c r="B51" s="1556" t="s">
        <v>1583</v>
      </c>
      <c r="C51" s="1545" t="s">
        <v>904</v>
      </c>
      <c r="D51" s="1475" t="str">
        <f>D50</f>
        <v>MERC/CAPEX/2020-2021/WFH/SBR/09</v>
      </c>
      <c r="E51" s="1547">
        <f t="shared" ref="E51:E56" si="16">E50</f>
        <v>44162</v>
      </c>
      <c r="F51" s="1473">
        <f t="shared" si="3"/>
        <v>44357</v>
      </c>
      <c r="G51" s="1311">
        <v>4.67</v>
      </c>
      <c r="H51" s="1311">
        <v>4.67</v>
      </c>
      <c r="I51" s="161"/>
      <c r="J51" s="161"/>
      <c r="K51" s="1321">
        <f t="shared" si="0"/>
        <v>44357</v>
      </c>
      <c r="L51" s="1563" t="s">
        <v>1584</v>
      </c>
      <c r="M51" s="1557">
        <v>44722</v>
      </c>
      <c r="N51" s="1563"/>
      <c r="O51" s="1558" t="s">
        <v>1585</v>
      </c>
      <c r="P51" s="318"/>
      <c r="Q51" s="318"/>
      <c r="R51" s="318"/>
      <c r="S51" s="318">
        <v>0</v>
      </c>
      <c r="T51" s="1549">
        <f t="shared" si="1"/>
        <v>0</v>
      </c>
      <c r="U51" s="1550">
        <f>46492000/10^7</f>
        <v>4.6492000000000004</v>
      </c>
      <c r="V51" s="318"/>
      <c r="W51" s="318"/>
      <c r="X51" s="318"/>
      <c r="Y51" s="318"/>
      <c r="Z51" s="318"/>
      <c r="AA51" s="318"/>
      <c r="AB51" s="318"/>
      <c r="AC51" s="1560"/>
      <c r="AD51" s="1560"/>
      <c r="AE51" s="1560"/>
      <c r="AF51" s="1560"/>
      <c r="AG51" s="1561">
        <v>1</v>
      </c>
      <c r="AH51" s="1560"/>
      <c r="AI51" s="1560"/>
      <c r="AJ51" s="318"/>
      <c r="AK51" s="318"/>
      <c r="AL51" s="318"/>
      <c r="AM51" s="318"/>
      <c r="AN51" s="318"/>
      <c r="AO51" s="318"/>
      <c r="AP51" s="318"/>
      <c r="AQ51" s="318"/>
      <c r="AR51" s="1550">
        <v>0</v>
      </c>
      <c r="AS51" s="1549">
        <f t="shared" si="2"/>
        <v>0</v>
      </c>
      <c r="AT51" s="1550">
        <v>4.6492000000000004</v>
      </c>
      <c r="AU51" s="1550">
        <v>0</v>
      </c>
      <c r="AV51" s="1559">
        <v>0</v>
      </c>
      <c r="AW51" s="318"/>
      <c r="AX51" s="318"/>
      <c r="AY51" s="318"/>
      <c r="AZ51" s="318"/>
      <c r="BA51" s="318"/>
      <c r="BB51" s="318"/>
      <c r="BC51" s="1562" t="s">
        <v>1586</v>
      </c>
      <c r="BD51" s="166" t="s">
        <v>908</v>
      </c>
    </row>
    <row r="52" spans="1:57" ht="90" customHeight="1" outlineLevel="1">
      <c r="A52" s="1545">
        <v>17.2</v>
      </c>
      <c r="B52" s="1556" t="s">
        <v>1587</v>
      </c>
      <c r="C52" s="1545" t="s">
        <v>904</v>
      </c>
      <c r="D52" s="1475" t="str">
        <f t="shared" ref="D52:D56" si="17">D51</f>
        <v>MERC/CAPEX/2020-2021/WFH/SBR/09</v>
      </c>
      <c r="E52" s="1547">
        <f t="shared" si="16"/>
        <v>44162</v>
      </c>
      <c r="F52" s="1473">
        <f t="shared" si="3"/>
        <v>44357</v>
      </c>
      <c r="G52" s="1311">
        <v>3.53</v>
      </c>
      <c r="H52" s="1311">
        <v>3.53</v>
      </c>
      <c r="I52" s="161"/>
      <c r="J52" s="161"/>
      <c r="K52" s="1321">
        <f t="shared" si="0"/>
        <v>44357</v>
      </c>
      <c r="L52" s="1557">
        <v>45012</v>
      </c>
      <c r="M52" s="1557">
        <v>44722</v>
      </c>
      <c r="N52" s="1557">
        <v>45342</v>
      </c>
      <c r="O52" s="1558" t="s">
        <v>1588</v>
      </c>
      <c r="P52" s="318"/>
      <c r="Q52" s="318"/>
      <c r="R52" s="318"/>
      <c r="S52" s="318">
        <v>0</v>
      </c>
      <c r="T52" s="1549">
        <f t="shared" si="1"/>
        <v>0</v>
      </c>
      <c r="U52" s="318">
        <v>0</v>
      </c>
      <c r="V52" s="318">
        <f>39647536.26/10^7</f>
        <v>3.9647536259999998</v>
      </c>
      <c r="W52" s="318"/>
      <c r="X52" s="318"/>
      <c r="Y52" s="318"/>
      <c r="Z52" s="318"/>
      <c r="AA52" s="318"/>
      <c r="AB52" s="318"/>
      <c r="AC52" s="1560"/>
      <c r="AD52" s="1560"/>
      <c r="AE52" s="1560"/>
      <c r="AF52" s="1560"/>
      <c r="AG52" s="1560"/>
      <c r="AH52" s="1561">
        <v>1</v>
      </c>
      <c r="AI52" s="1560"/>
      <c r="AJ52" s="318"/>
      <c r="AK52" s="318"/>
      <c r="AL52" s="318"/>
      <c r="AM52" s="318"/>
      <c r="AN52" s="318"/>
      <c r="AO52" s="318"/>
      <c r="AP52" s="318"/>
      <c r="AQ52" s="318"/>
      <c r="AR52" s="1550">
        <v>0</v>
      </c>
      <c r="AS52" s="1549">
        <f t="shared" si="2"/>
        <v>0</v>
      </c>
      <c r="AT52" s="1550">
        <v>0</v>
      </c>
      <c r="AU52" s="1550">
        <v>3.9647536259999998</v>
      </c>
      <c r="AV52" s="1559">
        <v>0</v>
      </c>
      <c r="AW52" s="318"/>
      <c r="AX52" s="318"/>
      <c r="AY52" s="318"/>
      <c r="AZ52" s="318"/>
      <c r="BA52" s="318"/>
      <c r="BB52" s="318"/>
      <c r="BC52" s="1562" t="s">
        <v>1589</v>
      </c>
      <c r="BD52" s="166" t="s">
        <v>908</v>
      </c>
    </row>
    <row r="53" spans="1:57" ht="90" customHeight="1" outlineLevel="1">
      <c r="A53" s="1545">
        <v>17.3</v>
      </c>
      <c r="B53" s="1556" t="s">
        <v>1590</v>
      </c>
      <c r="C53" s="1545" t="s">
        <v>904</v>
      </c>
      <c r="D53" s="1475" t="str">
        <f t="shared" si="17"/>
        <v>MERC/CAPEX/2020-2021/WFH/SBR/09</v>
      </c>
      <c r="E53" s="1547">
        <f t="shared" si="16"/>
        <v>44162</v>
      </c>
      <c r="F53" s="1473">
        <f t="shared" si="3"/>
        <v>44357</v>
      </c>
      <c r="G53" s="1311">
        <v>0.84</v>
      </c>
      <c r="H53" s="1311">
        <v>0.84</v>
      </c>
      <c r="I53" s="161"/>
      <c r="J53" s="161"/>
      <c r="K53" s="1321">
        <f t="shared" si="0"/>
        <v>44357</v>
      </c>
      <c r="L53" s="1557"/>
      <c r="M53" s="1557">
        <v>44722</v>
      </c>
      <c r="N53" s="1557"/>
      <c r="O53" s="1564" t="s">
        <v>1591</v>
      </c>
      <c r="P53" s="318"/>
      <c r="Q53" s="318"/>
      <c r="R53" s="318"/>
      <c r="S53" s="318">
        <v>0</v>
      </c>
      <c r="T53" s="1549">
        <f t="shared" si="1"/>
        <v>0</v>
      </c>
      <c r="U53" s="318">
        <v>0</v>
      </c>
      <c r="V53" s="318">
        <v>0</v>
      </c>
      <c r="W53" s="1565">
        <v>0.84</v>
      </c>
      <c r="X53" s="1565"/>
      <c r="Y53" s="1565"/>
      <c r="Z53" s="1565"/>
      <c r="AA53" s="1565"/>
      <c r="AB53" s="1565"/>
      <c r="AC53" s="1560"/>
      <c r="AD53" s="1560"/>
      <c r="AE53" s="1560"/>
      <c r="AF53" s="1560"/>
      <c r="AG53" s="1560"/>
      <c r="AH53" s="1561">
        <v>0.5</v>
      </c>
      <c r="AI53" s="1561">
        <v>0.5</v>
      </c>
      <c r="AJ53" s="1565"/>
      <c r="AK53" s="1565"/>
      <c r="AL53" s="1565"/>
      <c r="AM53" s="1565"/>
      <c r="AN53" s="1565"/>
      <c r="AO53" s="318"/>
      <c r="AP53" s="318"/>
      <c r="AQ53" s="318"/>
      <c r="AR53" s="1550">
        <v>0</v>
      </c>
      <c r="AS53" s="1549">
        <f t="shared" si="2"/>
        <v>0</v>
      </c>
      <c r="AT53" s="1550">
        <v>0</v>
      </c>
      <c r="AU53" s="1550">
        <v>0</v>
      </c>
      <c r="AV53" s="1566">
        <v>0.84</v>
      </c>
      <c r="AW53" s="1565"/>
      <c r="AX53" s="1565"/>
      <c r="AY53" s="1565"/>
      <c r="AZ53" s="1565"/>
      <c r="BA53" s="1565"/>
      <c r="BB53" s="318"/>
      <c r="BC53" s="1562" t="s">
        <v>1821</v>
      </c>
      <c r="BD53" s="1555" t="s">
        <v>905</v>
      </c>
    </row>
    <row r="54" spans="1:57" ht="409.5" customHeight="1" outlineLevel="1">
      <c r="A54" s="1545">
        <v>17.399999999999999</v>
      </c>
      <c r="B54" s="1556" t="s">
        <v>1592</v>
      </c>
      <c r="C54" s="1545" t="s">
        <v>904</v>
      </c>
      <c r="D54" s="1475" t="str">
        <f t="shared" si="17"/>
        <v>MERC/CAPEX/2020-2021/WFH/SBR/09</v>
      </c>
      <c r="E54" s="1547">
        <f t="shared" si="16"/>
        <v>44162</v>
      </c>
      <c r="F54" s="1473">
        <f t="shared" si="3"/>
        <v>44357</v>
      </c>
      <c r="G54" s="1311">
        <v>2.95</v>
      </c>
      <c r="H54" s="1311">
        <v>2.95</v>
      </c>
      <c r="I54" s="161"/>
      <c r="J54" s="161"/>
      <c r="K54" s="1321">
        <f t="shared" si="0"/>
        <v>44357</v>
      </c>
      <c r="L54" s="1557">
        <v>44277</v>
      </c>
      <c r="M54" s="1557">
        <v>44722</v>
      </c>
      <c r="N54" s="1557">
        <v>44685</v>
      </c>
      <c r="O54" s="1558" t="s">
        <v>1593</v>
      </c>
      <c r="P54" s="318"/>
      <c r="Q54" s="318"/>
      <c r="R54" s="318"/>
      <c r="S54" s="318">
        <v>0</v>
      </c>
      <c r="T54" s="1549">
        <f t="shared" si="1"/>
        <v>0</v>
      </c>
      <c r="U54" s="1550">
        <f>29470500/10^7</f>
        <v>2.9470499999999999</v>
      </c>
      <c r="V54" s="318"/>
      <c r="W54" s="318"/>
      <c r="X54" s="318"/>
      <c r="Y54" s="318"/>
      <c r="Z54" s="318"/>
      <c r="AA54" s="318"/>
      <c r="AB54" s="318"/>
      <c r="AC54" s="1560"/>
      <c r="AD54" s="1560"/>
      <c r="AE54" s="1560"/>
      <c r="AF54" s="1560"/>
      <c r="AG54" s="1561">
        <v>1</v>
      </c>
      <c r="AH54" s="1560"/>
      <c r="AI54" s="1560"/>
      <c r="AJ54" s="318"/>
      <c r="AK54" s="318"/>
      <c r="AL54" s="318"/>
      <c r="AM54" s="318"/>
      <c r="AN54" s="318"/>
      <c r="AO54" s="318"/>
      <c r="AP54" s="318"/>
      <c r="AQ54" s="318"/>
      <c r="AR54" s="1550">
        <v>0</v>
      </c>
      <c r="AS54" s="1549">
        <f t="shared" si="2"/>
        <v>0</v>
      </c>
      <c r="AT54" s="1550">
        <v>2.9470499999999999</v>
      </c>
      <c r="AU54" s="1550">
        <v>0</v>
      </c>
      <c r="AV54" s="1559"/>
      <c r="AW54" s="318"/>
      <c r="AX54" s="318"/>
      <c r="AY54" s="318"/>
      <c r="AZ54" s="318"/>
      <c r="BA54" s="318"/>
      <c r="BB54" s="318"/>
      <c r="BC54" s="1562" t="s">
        <v>1594</v>
      </c>
      <c r="BD54" s="1555" t="s">
        <v>908</v>
      </c>
    </row>
    <row r="55" spans="1:57" ht="90" customHeight="1" outlineLevel="1">
      <c r="A55" s="1545">
        <v>17.5</v>
      </c>
      <c r="B55" s="1556" t="s">
        <v>1595</v>
      </c>
      <c r="C55" s="1545" t="s">
        <v>904</v>
      </c>
      <c r="D55" s="1475" t="str">
        <f t="shared" si="17"/>
        <v>MERC/CAPEX/2020-2021/WFH/SBR/09</v>
      </c>
      <c r="E55" s="1547">
        <f t="shared" si="16"/>
        <v>44162</v>
      </c>
      <c r="F55" s="1473">
        <f t="shared" si="3"/>
        <v>44357</v>
      </c>
      <c r="G55" s="1311">
        <v>7.57</v>
      </c>
      <c r="H55" s="1311">
        <v>7.57</v>
      </c>
      <c r="I55" s="161"/>
      <c r="J55" s="161"/>
      <c r="K55" s="1321">
        <f t="shared" si="0"/>
        <v>44357</v>
      </c>
      <c r="L55" s="1557"/>
      <c r="M55" s="1557">
        <v>44722</v>
      </c>
      <c r="N55" s="1557"/>
      <c r="O55" s="1564" t="s">
        <v>1596</v>
      </c>
      <c r="P55" s="318"/>
      <c r="Q55" s="318"/>
      <c r="R55" s="318"/>
      <c r="S55" s="318">
        <v>0</v>
      </c>
      <c r="T55" s="1549">
        <f t="shared" si="1"/>
        <v>0</v>
      </c>
      <c r="U55" s="318">
        <v>0</v>
      </c>
      <c r="V55" s="318">
        <v>0</v>
      </c>
      <c r="W55" s="318">
        <v>7.57</v>
      </c>
      <c r="X55" s="318"/>
      <c r="Y55" s="318"/>
      <c r="Z55" s="318"/>
      <c r="AA55" s="318"/>
      <c r="AB55" s="318"/>
      <c r="AC55" s="1560"/>
      <c r="AD55" s="1560"/>
      <c r="AE55" s="1560"/>
      <c r="AF55" s="1560"/>
      <c r="AG55" s="1560"/>
      <c r="AH55" s="1561"/>
      <c r="AI55" s="1560">
        <v>1</v>
      </c>
      <c r="AJ55" s="318"/>
      <c r="AK55" s="318"/>
      <c r="AL55" s="318"/>
      <c r="AM55" s="318"/>
      <c r="AN55" s="318"/>
      <c r="AO55" s="318"/>
      <c r="AP55" s="318"/>
      <c r="AQ55" s="318"/>
      <c r="AR55" s="1550">
        <v>0</v>
      </c>
      <c r="AS55" s="1549">
        <f t="shared" si="2"/>
        <v>0</v>
      </c>
      <c r="AT55" s="1550">
        <v>0</v>
      </c>
      <c r="AU55" s="1550">
        <v>0</v>
      </c>
      <c r="AV55" s="1559">
        <v>0</v>
      </c>
      <c r="AW55" s="318"/>
      <c r="AX55" s="318"/>
      <c r="AY55" s="318"/>
      <c r="AZ55" s="318"/>
      <c r="BA55" s="318"/>
      <c r="BB55" s="318"/>
      <c r="BC55" s="1562" t="s">
        <v>1597</v>
      </c>
      <c r="BD55" s="1555" t="s">
        <v>905</v>
      </c>
    </row>
    <row r="56" spans="1:57" ht="31" outlineLevel="1">
      <c r="A56" s="1545"/>
      <c r="B56" s="1567" t="s">
        <v>415</v>
      </c>
      <c r="C56" s="1545" t="s">
        <v>415</v>
      </c>
      <c r="D56" s="1475" t="str">
        <f t="shared" si="17"/>
        <v>MERC/CAPEX/2020-2021/WFH/SBR/09</v>
      </c>
      <c r="E56" s="1547">
        <f t="shared" si="16"/>
        <v>44162</v>
      </c>
      <c r="F56" s="1473">
        <f t="shared" si="3"/>
        <v>44357</v>
      </c>
      <c r="G56" s="1311">
        <v>1.66</v>
      </c>
      <c r="H56" s="1311">
        <v>1.66</v>
      </c>
      <c r="I56" s="161"/>
      <c r="J56" s="161"/>
      <c r="K56" s="1321">
        <f t="shared" si="0"/>
        <v>44357</v>
      </c>
      <c r="L56" s="1321"/>
      <c r="M56" s="1321"/>
      <c r="N56" s="1321"/>
      <c r="O56" s="943"/>
      <c r="P56" s="318"/>
      <c r="Q56" s="318"/>
      <c r="R56" s="318"/>
      <c r="S56" s="318"/>
      <c r="T56" s="1549">
        <f t="shared" si="1"/>
        <v>0</v>
      </c>
      <c r="U56" s="318"/>
      <c r="V56" s="318">
        <f>675241/10^7</f>
        <v>6.7524100000000004E-2</v>
      </c>
      <c r="W56" s="1565"/>
      <c r="X56" s="1565"/>
      <c r="Y56" s="1565"/>
      <c r="Z56" s="1565"/>
      <c r="AA56" s="1565"/>
      <c r="AB56" s="1565"/>
      <c r="AC56" s="1508"/>
      <c r="AD56" s="1508"/>
      <c r="AE56" s="1508"/>
      <c r="AF56" s="1508"/>
      <c r="AG56" s="1508"/>
      <c r="AH56" s="1508"/>
      <c r="AI56" s="1508"/>
      <c r="AJ56" s="1565"/>
      <c r="AK56" s="1565"/>
      <c r="AL56" s="1565"/>
      <c r="AM56" s="1565"/>
      <c r="AN56" s="1565"/>
      <c r="AO56" s="318"/>
      <c r="AP56" s="318"/>
      <c r="AQ56" s="318"/>
      <c r="AR56" s="318"/>
      <c r="AS56" s="1549">
        <f t="shared" si="2"/>
        <v>0</v>
      </c>
      <c r="AT56" s="318"/>
      <c r="AU56" s="318">
        <v>6.7524100000000004E-2</v>
      </c>
      <c r="AV56" s="1565"/>
      <c r="AW56" s="1565"/>
      <c r="AX56" s="1565"/>
      <c r="AY56" s="1565"/>
      <c r="AZ56" s="1565"/>
      <c r="BA56" s="1565"/>
      <c r="BB56" s="318"/>
      <c r="BC56" s="1568" t="s">
        <v>1598</v>
      </c>
      <c r="BD56" s="166" t="s">
        <v>901</v>
      </c>
    </row>
    <row r="57" spans="1:57" ht="62" outlineLevel="1">
      <c r="A57" s="1440" t="s">
        <v>923</v>
      </c>
      <c r="B57" s="1441" t="s">
        <v>924</v>
      </c>
      <c r="C57" s="1440" t="s">
        <v>896</v>
      </c>
      <c r="D57" s="1440" t="s">
        <v>925</v>
      </c>
      <c r="E57" s="1509">
        <v>42403</v>
      </c>
      <c r="F57" s="1509">
        <v>42585</v>
      </c>
      <c r="G57" s="1289">
        <f>SUM(G58)</f>
        <v>3.9772580142857143</v>
      </c>
      <c r="H57" s="1289">
        <f>SUM(H58)</f>
        <v>3.9772580142857143</v>
      </c>
      <c r="I57" s="568"/>
      <c r="J57" s="568"/>
      <c r="K57" s="1510">
        <f t="shared" si="0"/>
        <v>42585</v>
      </c>
      <c r="L57" s="1290"/>
      <c r="M57" s="1290"/>
      <c r="N57" s="1290"/>
      <c r="O57" s="1291"/>
      <c r="P57" s="1511"/>
      <c r="Q57" s="1511"/>
      <c r="R57" s="1511"/>
      <c r="S57" s="1511"/>
      <c r="T57" s="1511">
        <f t="shared" si="1"/>
        <v>0</v>
      </c>
      <c r="U57" s="1512"/>
      <c r="V57" s="1512"/>
      <c r="W57" s="1513"/>
      <c r="X57" s="1513"/>
      <c r="Y57" s="1513"/>
      <c r="Z57" s="1513"/>
      <c r="AA57" s="1513"/>
      <c r="AB57" s="1513"/>
      <c r="AC57" s="1514"/>
      <c r="AD57" s="1514"/>
      <c r="AE57" s="1514"/>
      <c r="AF57" s="1514"/>
      <c r="AG57" s="1514"/>
      <c r="AH57" s="1514"/>
      <c r="AI57" s="1514"/>
      <c r="AJ57" s="1513"/>
      <c r="AK57" s="1513"/>
      <c r="AL57" s="1513"/>
      <c r="AM57" s="1513"/>
      <c r="AN57" s="1513"/>
      <c r="AO57" s="1511"/>
      <c r="AP57" s="1511"/>
      <c r="AQ57" s="1511"/>
      <c r="AR57" s="1511"/>
      <c r="AS57" s="1511">
        <f t="shared" si="2"/>
        <v>0</v>
      </c>
      <c r="AT57" s="1512"/>
      <c r="AU57" s="1512"/>
      <c r="AV57" s="1513"/>
      <c r="AW57" s="1513"/>
      <c r="AX57" s="1513"/>
      <c r="AY57" s="1513"/>
      <c r="AZ57" s="1513"/>
      <c r="BA57" s="1513"/>
      <c r="BB57" s="1512"/>
      <c r="BC57" s="1291"/>
      <c r="BD57" s="570" t="s">
        <v>901</v>
      </c>
      <c r="BE57" s="1504"/>
    </row>
    <row r="58" spans="1:57" ht="58" outlineLevel="1">
      <c r="A58" s="1545">
        <v>1</v>
      </c>
      <c r="B58" s="1556" t="s">
        <v>1599</v>
      </c>
      <c r="C58" s="1545" t="s">
        <v>904</v>
      </c>
      <c r="D58" s="1475" t="str">
        <f>D57</f>
        <v>MERC/CAPEX/20162017/00423</v>
      </c>
      <c r="E58" s="1569">
        <f t="shared" ref="E58" si="18">E57</f>
        <v>42403</v>
      </c>
      <c r="F58" s="1473">
        <f t="shared" ref="F58:F66" si="19">IF(F57=0,"-",F57)</f>
        <v>42585</v>
      </c>
      <c r="G58" s="1311">
        <v>3.9772580142857143</v>
      </c>
      <c r="H58" s="1311">
        <v>3.9772580142857143</v>
      </c>
      <c r="I58" s="161"/>
      <c r="J58" s="161"/>
      <c r="K58" s="1321">
        <f t="shared" si="0"/>
        <v>42585</v>
      </c>
      <c r="L58" s="1557">
        <v>42903</v>
      </c>
      <c r="M58" s="1557">
        <v>43315</v>
      </c>
      <c r="N58" s="1557">
        <v>43621</v>
      </c>
      <c r="O58" s="1558" t="s">
        <v>1600</v>
      </c>
      <c r="P58" s="318">
        <v>0</v>
      </c>
      <c r="Q58" s="1550">
        <f>(28151999/10^7)/3*2</f>
        <v>1.8767999333333334</v>
      </c>
      <c r="R58" s="1550">
        <v>0</v>
      </c>
      <c r="S58" s="1550">
        <v>0</v>
      </c>
      <c r="T58" s="1549">
        <f t="shared" si="1"/>
        <v>1.8767999333333334</v>
      </c>
      <c r="U58" s="1550">
        <v>7.0000000000000007E-2</v>
      </c>
      <c r="V58" s="1550">
        <v>0</v>
      </c>
      <c r="W58" s="1559">
        <v>0</v>
      </c>
      <c r="X58" s="1559"/>
      <c r="Y58" s="1559"/>
      <c r="Z58" s="1559"/>
      <c r="AA58" s="1559"/>
      <c r="AB58" s="1559"/>
      <c r="AC58" s="1560"/>
      <c r="AD58" s="1561">
        <v>1</v>
      </c>
      <c r="AE58" s="1560"/>
      <c r="AF58" s="1560"/>
      <c r="AG58" s="1560"/>
      <c r="AH58" s="1560"/>
      <c r="AI58" s="1560"/>
      <c r="AJ58" s="1559"/>
      <c r="AK58" s="1559"/>
      <c r="AL58" s="1559"/>
      <c r="AM58" s="1559"/>
      <c r="AN58" s="1559"/>
      <c r="AO58" s="1550">
        <v>0</v>
      </c>
      <c r="AP58" s="1550">
        <f>(28151999/10^7)*2/3</f>
        <v>1.8767999333333334</v>
      </c>
      <c r="AQ58" s="1550">
        <v>0</v>
      </c>
      <c r="AR58" s="1550">
        <v>0</v>
      </c>
      <c r="AS58" s="1549">
        <f t="shared" si="2"/>
        <v>1.8767999333333334</v>
      </c>
      <c r="AT58" s="1550">
        <v>6.8999981000000002E-2</v>
      </c>
      <c r="AU58" s="1550"/>
      <c r="AV58" s="1559"/>
      <c r="AW58" s="1559"/>
      <c r="AX58" s="1559"/>
      <c r="AY58" s="1559"/>
      <c r="AZ58" s="1559"/>
      <c r="BA58" s="1559"/>
      <c r="BB58" s="1570"/>
      <c r="BC58" s="1562" t="s">
        <v>1601</v>
      </c>
      <c r="BD58" s="1555" t="s">
        <v>908</v>
      </c>
    </row>
    <row r="59" spans="1:57" ht="31" outlineLevel="1">
      <c r="A59" s="1440" t="s">
        <v>926</v>
      </c>
      <c r="B59" s="1441" t="s">
        <v>927</v>
      </c>
      <c r="C59" s="1440" t="s">
        <v>896</v>
      </c>
      <c r="D59" s="1440" t="s">
        <v>928</v>
      </c>
      <c r="E59" s="1509">
        <v>42608</v>
      </c>
      <c r="F59" s="1509">
        <v>42643</v>
      </c>
      <c r="G59" s="1289">
        <f>SUM(G60)</f>
        <v>4.0552000000000001</v>
      </c>
      <c r="H59" s="1289">
        <f>SUM(H60)</f>
        <v>4.0552000000000001</v>
      </c>
      <c r="I59" s="568"/>
      <c r="J59" s="568"/>
      <c r="K59" s="1510">
        <f t="shared" si="0"/>
        <v>42643</v>
      </c>
      <c r="L59" s="1290"/>
      <c r="M59" s="1290"/>
      <c r="N59" s="1290"/>
      <c r="O59" s="1291"/>
      <c r="P59" s="1511"/>
      <c r="Q59" s="1511"/>
      <c r="R59" s="1511"/>
      <c r="S59" s="1511"/>
      <c r="T59" s="1511">
        <f t="shared" si="1"/>
        <v>0</v>
      </c>
      <c r="U59" s="1512"/>
      <c r="V59" s="1512"/>
      <c r="W59" s="1513"/>
      <c r="X59" s="1513"/>
      <c r="Y59" s="1513"/>
      <c r="Z59" s="1513"/>
      <c r="AA59" s="1513"/>
      <c r="AB59" s="1513"/>
      <c r="AC59" s="1514"/>
      <c r="AD59" s="1514"/>
      <c r="AE59" s="1514"/>
      <c r="AF59" s="1514"/>
      <c r="AG59" s="1514"/>
      <c r="AH59" s="1514"/>
      <c r="AI59" s="1514"/>
      <c r="AJ59" s="1513"/>
      <c r="AK59" s="1513"/>
      <c r="AL59" s="1513"/>
      <c r="AM59" s="1513"/>
      <c r="AN59" s="1513"/>
      <c r="AO59" s="1511"/>
      <c r="AP59" s="1511"/>
      <c r="AQ59" s="1511"/>
      <c r="AR59" s="1511"/>
      <c r="AS59" s="1511">
        <f t="shared" si="2"/>
        <v>0</v>
      </c>
      <c r="AT59" s="1512"/>
      <c r="AU59" s="1512"/>
      <c r="AV59" s="1513"/>
      <c r="AW59" s="1513"/>
      <c r="AX59" s="1513"/>
      <c r="AY59" s="1513"/>
      <c r="AZ59" s="1513"/>
      <c r="BA59" s="1513"/>
      <c r="BB59" s="1512"/>
      <c r="BC59" s="1291"/>
      <c r="BD59" s="166" t="s">
        <v>901</v>
      </c>
      <c r="BE59" s="1504"/>
    </row>
    <row r="60" spans="1:57" ht="43.5" outlineLevel="1">
      <c r="A60" s="1450">
        <v>1</v>
      </c>
      <c r="B60" s="1452" t="s">
        <v>1602</v>
      </c>
      <c r="C60" s="1450" t="s">
        <v>904</v>
      </c>
      <c r="D60" s="1553" t="str">
        <f>D59</f>
        <v>MERC/CAPEX/20162017/00774</v>
      </c>
      <c r="E60" s="1571">
        <f>E59</f>
        <v>42608</v>
      </c>
      <c r="F60" s="1516">
        <f t="shared" si="19"/>
        <v>42643</v>
      </c>
      <c r="G60" s="1312">
        <v>4.0552000000000001</v>
      </c>
      <c r="H60" s="1312">
        <v>4.0552000000000001</v>
      </c>
      <c r="I60" s="568"/>
      <c r="J60" s="568"/>
      <c r="K60" s="1290">
        <f t="shared" si="0"/>
        <v>42643</v>
      </c>
      <c r="L60" s="1290"/>
      <c r="M60" s="1290"/>
      <c r="N60" s="1290"/>
      <c r="O60" s="1291"/>
      <c r="P60" s="1517">
        <v>0</v>
      </c>
      <c r="Q60" s="1517"/>
      <c r="R60" s="1517"/>
      <c r="S60" s="1517"/>
      <c r="T60" s="1511">
        <f t="shared" si="1"/>
        <v>0</v>
      </c>
      <c r="U60" s="1518"/>
      <c r="V60" s="1518"/>
      <c r="W60" s="1519"/>
      <c r="X60" s="1519"/>
      <c r="Y60" s="1519"/>
      <c r="Z60" s="1519"/>
      <c r="AA60" s="1519"/>
      <c r="AB60" s="1519"/>
      <c r="AC60" s="1514"/>
      <c r="AD60" s="1514"/>
      <c r="AE60" s="1514"/>
      <c r="AF60" s="1514"/>
      <c r="AG60" s="1514"/>
      <c r="AH60" s="1514"/>
      <c r="AI60" s="1514"/>
      <c r="AJ60" s="1519"/>
      <c r="AK60" s="1519"/>
      <c r="AL60" s="1519"/>
      <c r="AM60" s="1519"/>
      <c r="AN60" s="1519"/>
      <c r="AO60" s="1517">
        <v>0</v>
      </c>
      <c r="AP60" s="1517"/>
      <c r="AQ60" s="1517"/>
      <c r="AR60" s="1517"/>
      <c r="AS60" s="1511">
        <f t="shared" si="2"/>
        <v>0</v>
      </c>
      <c r="AT60" s="1518"/>
      <c r="AU60" s="1518"/>
      <c r="AV60" s="1519"/>
      <c r="AW60" s="1519"/>
      <c r="AX60" s="1519"/>
      <c r="AY60" s="1519"/>
      <c r="AZ60" s="1519"/>
      <c r="BA60" s="1519"/>
      <c r="BB60" s="1518"/>
      <c r="BC60" s="1296" t="s">
        <v>1603</v>
      </c>
      <c r="BD60" s="166" t="s">
        <v>910</v>
      </c>
    </row>
    <row r="61" spans="1:57" ht="31" outlineLevel="1">
      <c r="A61" s="1440" t="s">
        <v>1604</v>
      </c>
      <c r="B61" s="1441" t="s">
        <v>1605</v>
      </c>
      <c r="C61" s="1440" t="s">
        <v>896</v>
      </c>
      <c r="D61" s="1440" t="s">
        <v>1606</v>
      </c>
      <c r="E61" s="1509">
        <v>42844</v>
      </c>
      <c r="F61" s="1509">
        <v>43052</v>
      </c>
      <c r="G61" s="1289">
        <f>SUM(G62:G64)</f>
        <v>3.95</v>
      </c>
      <c r="H61" s="1289">
        <f>SUM(H62:H64)</f>
        <v>3.95</v>
      </c>
      <c r="I61" s="568"/>
      <c r="J61" s="568"/>
      <c r="K61" s="1510">
        <f t="shared" si="0"/>
        <v>43052</v>
      </c>
      <c r="L61" s="1290"/>
      <c r="M61" s="1290"/>
      <c r="N61" s="1290"/>
      <c r="O61" s="1291"/>
      <c r="P61" s="1511"/>
      <c r="Q61" s="1511"/>
      <c r="R61" s="1511"/>
      <c r="S61" s="1511"/>
      <c r="T61" s="1511">
        <f t="shared" si="1"/>
        <v>0</v>
      </c>
      <c r="U61" s="1512"/>
      <c r="V61" s="1512"/>
      <c r="W61" s="1513"/>
      <c r="X61" s="1513"/>
      <c r="Y61" s="1513"/>
      <c r="Z61" s="1513"/>
      <c r="AA61" s="1513"/>
      <c r="AB61" s="1513"/>
      <c r="AC61" s="1514"/>
      <c r="AD61" s="1514"/>
      <c r="AE61" s="1514"/>
      <c r="AF61" s="1514"/>
      <c r="AG61" s="1514"/>
      <c r="AH61" s="1514"/>
      <c r="AI61" s="1514"/>
      <c r="AJ61" s="1513"/>
      <c r="AK61" s="1513"/>
      <c r="AL61" s="1513"/>
      <c r="AM61" s="1513"/>
      <c r="AN61" s="1513"/>
      <c r="AO61" s="1511"/>
      <c r="AP61" s="1511"/>
      <c r="AQ61" s="1511"/>
      <c r="AR61" s="1511"/>
      <c r="AS61" s="1511">
        <f t="shared" si="2"/>
        <v>0</v>
      </c>
      <c r="AT61" s="1512"/>
      <c r="AU61" s="1512"/>
      <c r="AV61" s="1513"/>
      <c r="AW61" s="1513"/>
      <c r="AX61" s="1513"/>
      <c r="AY61" s="1513"/>
      <c r="AZ61" s="1513"/>
      <c r="BA61" s="1513"/>
      <c r="BB61" s="1512"/>
      <c r="BC61" s="1291"/>
      <c r="BD61" s="166" t="s">
        <v>901</v>
      </c>
      <c r="BE61" s="1504"/>
    </row>
    <row r="62" spans="1:57" ht="58" outlineLevel="1">
      <c r="A62" s="1450">
        <v>1</v>
      </c>
      <c r="B62" s="1452" t="s">
        <v>1607</v>
      </c>
      <c r="C62" s="1450" t="s">
        <v>904</v>
      </c>
      <c r="D62" s="1572" t="str">
        <f>D61</f>
        <v>MERC/CAPEX/20172018/4653</v>
      </c>
      <c r="E62" s="1571">
        <f>E61</f>
        <v>42844</v>
      </c>
      <c r="F62" s="1516">
        <f t="shared" si="19"/>
        <v>43052</v>
      </c>
      <c r="G62" s="1312">
        <f>1*1.45</f>
        <v>1.45</v>
      </c>
      <c r="H62" s="1312">
        <f>1*1.45</f>
        <v>1.45</v>
      </c>
      <c r="I62" s="568"/>
      <c r="J62" s="568"/>
      <c r="K62" s="1290">
        <f t="shared" si="0"/>
        <v>43052</v>
      </c>
      <c r="L62" s="1293">
        <v>43481</v>
      </c>
      <c r="M62" s="1293">
        <v>43782</v>
      </c>
      <c r="N62" s="1293">
        <v>44442</v>
      </c>
      <c r="O62" s="1313" t="s">
        <v>1608</v>
      </c>
      <c r="P62" s="1517">
        <v>0</v>
      </c>
      <c r="Q62" s="1521">
        <v>0</v>
      </c>
      <c r="R62" s="1521">
        <v>0</v>
      </c>
      <c r="S62" s="1521">
        <f>17765000/10^7</f>
        <v>1.7765</v>
      </c>
      <c r="T62" s="1511">
        <f t="shared" si="1"/>
        <v>1.7765</v>
      </c>
      <c r="U62" s="1523"/>
      <c r="V62" s="1523"/>
      <c r="W62" s="1524"/>
      <c r="X62" s="1524"/>
      <c r="Y62" s="1524"/>
      <c r="Z62" s="1524"/>
      <c r="AA62" s="1524"/>
      <c r="AB62" s="1524"/>
      <c r="AC62" s="1525"/>
      <c r="AD62" s="1525"/>
      <c r="AE62" s="1525"/>
      <c r="AF62" s="1520">
        <v>1</v>
      </c>
      <c r="AG62" s="1525"/>
      <c r="AH62" s="1525"/>
      <c r="AI62" s="1525"/>
      <c r="AJ62" s="1524"/>
      <c r="AK62" s="1524"/>
      <c r="AL62" s="1524"/>
      <c r="AM62" s="1524"/>
      <c r="AN62" s="1524"/>
      <c r="AO62" s="1521">
        <v>0</v>
      </c>
      <c r="AP62" s="1521">
        <v>0</v>
      </c>
      <c r="AQ62" s="1521">
        <v>0</v>
      </c>
      <c r="AR62" s="1521">
        <f>17765000/10^7</f>
        <v>1.7765</v>
      </c>
      <c r="AS62" s="1511">
        <f t="shared" si="2"/>
        <v>1.7765</v>
      </c>
      <c r="AT62" s="1523"/>
      <c r="AU62" s="1523"/>
      <c r="AV62" s="1524"/>
      <c r="AW62" s="1524"/>
      <c r="AX62" s="1524"/>
      <c r="AY62" s="1524"/>
      <c r="AZ62" s="1524"/>
      <c r="BA62" s="1524"/>
      <c r="BB62" s="1541"/>
      <c r="BC62" s="1298" t="s">
        <v>1609</v>
      </c>
      <c r="BD62" s="1522" t="s">
        <v>908</v>
      </c>
    </row>
    <row r="63" spans="1:57" ht="87" outlineLevel="1">
      <c r="A63" s="1545">
        <v>2</v>
      </c>
      <c r="B63" s="1556" t="s">
        <v>1610</v>
      </c>
      <c r="C63" s="1545" t="s">
        <v>904</v>
      </c>
      <c r="D63" s="1475" t="str">
        <f t="shared" ref="D63:E64" si="20">D62</f>
        <v>MERC/CAPEX/20172018/4653</v>
      </c>
      <c r="E63" s="1547">
        <f t="shared" si="20"/>
        <v>42844</v>
      </c>
      <c r="F63" s="1473">
        <f t="shared" si="19"/>
        <v>43052</v>
      </c>
      <c r="G63" s="1311">
        <f>2*1.25</f>
        <v>2.5</v>
      </c>
      <c r="H63" s="1311">
        <f>2*1.25</f>
        <v>2.5</v>
      </c>
      <c r="I63" s="161"/>
      <c r="J63" s="161"/>
      <c r="K63" s="1321">
        <f t="shared" si="0"/>
        <v>43052</v>
      </c>
      <c r="L63" s="1557">
        <v>44610</v>
      </c>
      <c r="M63" s="1557">
        <v>43782</v>
      </c>
      <c r="N63" s="1557">
        <v>44984</v>
      </c>
      <c r="O63" s="1563" t="s">
        <v>1608</v>
      </c>
      <c r="P63" s="318">
        <v>0</v>
      </c>
      <c r="Q63" s="318">
        <v>0</v>
      </c>
      <c r="R63" s="318">
        <v>0</v>
      </c>
      <c r="S63" s="318">
        <v>0</v>
      </c>
      <c r="T63" s="1549">
        <f t="shared" si="1"/>
        <v>0</v>
      </c>
      <c r="U63" s="318">
        <f>21846524.01/10^7</f>
        <v>2.1846524010000001</v>
      </c>
      <c r="V63" s="318"/>
      <c r="W63" s="318"/>
      <c r="X63" s="318"/>
      <c r="Y63" s="318"/>
      <c r="Z63" s="318"/>
      <c r="AA63" s="318"/>
      <c r="AB63" s="318"/>
      <c r="AC63" s="1560"/>
      <c r="AD63" s="1560"/>
      <c r="AE63" s="1560"/>
      <c r="AF63" s="1560"/>
      <c r="AG63" s="1561">
        <v>1</v>
      </c>
      <c r="AH63" s="1561"/>
      <c r="AI63" s="1561"/>
      <c r="AJ63" s="318"/>
      <c r="AK63" s="318"/>
      <c r="AL63" s="318"/>
      <c r="AM63" s="318"/>
      <c r="AN63" s="318"/>
      <c r="AO63" s="318">
        <v>0</v>
      </c>
      <c r="AP63" s="318">
        <v>0</v>
      </c>
      <c r="AQ63" s="318">
        <v>0</v>
      </c>
      <c r="AR63" s="1550">
        <v>0</v>
      </c>
      <c r="AS63" s="1549">
        <f t="shared" si="2"/>
        <v>0</v>
      </c>
      <c r="AT63" s="1550">
        <v>2.1846524010000001</v>
      </c>
      <c r="AU63" s="1550"/>
      <c r="AV63" s="1559"/>
      <c r="AW63" s="318"/>
      <c r="AX63" s="318"/>
      <c r="AY63" s="318"/>
      <c r="AZ63" s="318"/>
      <c r="BA63" s="318"/>
      <c r="BB63" s="318"/>
      <c r="BC63" s="1573" t="s">
        <v>1611</v>
      </c>
      <c r="BD63" s="1555" t="s">
        <v>908</v>
      </c>
    </row>
    <row r="64" spans="1:57" ht="15.5" outlineLevel="1">
      <c r="A64" s="1450"/>
      <c r="B64" s="1452" t="s">
        <v>415</v>
      </c>
      <c r="C64" s="1450" t="s">
        <v>415</v>
      </c>
      <c r="D64" s="1572" t="str">
        <f t="shared" si="20"/>
        <v>MERC/CAPEX/20172018/4653</v>
      </c>
      <c r="E64" s="1571">
        <f t="shared" si="20"/>
        <v>42844</v>
      </c>
      <c r="F64" s="1516">
        <f t="shared" si="19"/>
        <v>43052</v>
      </c>
      <c r="G64" s="1312"/>
      <c r="H64" s="1312"/>
      <c r="I64" s="568"/>
      <c r="J64" s="568"/>
      <c r="K64" s="1290">
        <f t="shared" si="0"/>
        <v>43052</v>
      </c>
      <c r="L64" s="1290"/>
      <c r="M64" s="1290"/>
      <c r="N64" s="1290"/>
      <c r="O64" s="1291"/>
      <c r="P64" s="1517"/>
      <c r="Q64" s="1517"/>
      <c r="R64" s="1517"/>
      <c r="S64" s="1517"/>
      <c r="T64" s="1511">
        <f t="shared" si="1"/>
        <v>0</v>
      </c>
      <c r="U64" s="1543"/>
      <c r="V64" s="1543"/>
      <c r="W64" s="1574"/>
      <c r="X64" s="1574"/>
      <c r="Y64" s="1574"/>
      <c r="Z64" s="1574"/>
      <c r="AA64" s="1574"/>
      <c r="AB64" s="1574"/>
      <c r="AC64" s="1514"/>
      <c r="AD64" s="1514"/>
      <c r="AE64" s="1514"/>
      <c r="AF64" s="1514"/>
      <c r="AG64" s="1514"/>
      <c r="AH64" s="1514"/>
      <c r="AI64" s="1514"/>
      <c r="AJ64" s="1574"/>
      <c r="AK64" s="1574"/>
      <c r="AL64" s="1574"/>
      <c r="AM64" s="1574"/>
      <c r="AN64" s="1574"/>
      <c r="AO64" s="1517"/>
      <c r="AP64" s="1517"/>
      <c r="AQ64" s="1517"/>
      <c r="AR64" s="1517"/>
      <c r="AS64" s="1511">
        <f t="shared" si="2"/>
        <v>0</v>
      </c>
      <c r="AT64" s="1543"/>
      <c r="AU64" s="1543"/>
      <c r="AV64" s="1574"/>
      <c r="AW64" s="1574"/>
      <c r="AX64" s="1574"/>
      <c r="AY64" s="1574"/>
      <c r="AZ64" s="1574"/>
      <c r="BA64" s="1574"/>
      <c r="BB64" s="1518"/>
      <c r="BC64" s="1291"/>
      <c r="BD64" s="1555" t="s">
        <v>901</v>
      </c>
    </row>
    <row r="65" spans="1:57" ht="31" outlineLevel="1">
      <c r="A65" s="1440" t="s">
        <v>1612</v>
      </c>
      <c r="B65" s="1441" t="s">
        <v>1613</v>
      </c>
      <c r="C65" s="1440" t="s">
        <v>896</v>
      </c>
      <c r="D65" s="1440" t="s">
        <v>1614</v>
      </c>
      <c r="E65" s="1509">
        <v>43112</v>
      </c>
      <c r="F65" s="1509">
        <v>43137</v>
      </c>
      <c r="G65" s="1289">
        <f>SUM(G66)</f>
        <v>10.065399999999999</v>
      </c>
      <c r="H65" s="1289">
        <f>SUM(H66)</f>
        <v>10.065399999999999</v>
      </c>
      <c r="I65" s="568"/>
      <c r="J65" s="568"/>
      <c r="K65" s="1510">
        <f t="shared" si="0"/>
        <v>43137</v>
      </c>
      <c r="L65" s="1290"/>
      <c r="M65" s="1290"/>
      <c r="N65" s="1290"/>
      <c r="O65" s="1291"/>
      <c r="P65" s="1511"/>
      <c r="Q65" s="1511"/>
      <c r="R65" s="1511"/>
      <c r="S65" s="1511"/>
      <c r="T65" s="1511">
        <f t="shared" si="1"/>
        <v>0</v>
      </c>
      <c r="U65" s="1512"/>
      <c r="V65" s="1512"/>
      <c r="W65" s="1513"/>
      <c r="X65" s="1513"/>
      <c r="Y65" s="1513"/>
      <c r="Z65" s="1513"/>
      <c r="AA65" s="1513"/>
      <c r="AB65" s="1513"/>
      <c r="AC65" s="1514"/>
      <c r="AD65" s="1514"/>
      <c r="AE65" s="1514"/>
      <c r="AF65" s="1514"/>
      <c r="AG65" s="1514"/>
      <c r="AH65" s="1514"/>
      <c r="AI65" s="1514"/>
      <c r="AJ65" s="1513"/>
      <c r="AK65" s="1513"/>
      <c r="AL65" s="1513"/>
      <c r="AM65" s="1513"/>
      <c r="AN65" s="1513"/>
      <c r="AO65" s="1511"/>
      <c r="AP65" s="1511"/>
      <c r="AQ65" s="1511"/>
      <c r="AR65" s="1511"/>
      <c r="AS65" s="1511">
        <f t="shared" si="2"/>
        <v>0</v>
      </c>
      <c r="AT65" s="1512"/>
      <c r="AU65" s="1512"/>
      <c r="AV65" s="1513"/>
      <c r="AW65" s="1513"/>
      <c r="AX65" s="1513"/>
      <c r="AY65" s="1513"/>
      <c r="AZ65" s="1513"/>
      <c r="BA65" s="1513"/>
      <c r="BB65" s="1512"/>
      <c r="BC65" s="1291"/>
      <c r="BD65" s="570" t="s">
        <v>901</v>
      </c>
      <c r="BE65" s="1504"/>
    </row>
    <row r="66" spans="1:57" ht="72.5" outlineLevel="1">
      <c r="A66" s="1545">
        <v>1</v>
      </c>
      <c r="B66" s="1556" t="s">
        <v>1602</v>
      </c>
      <c r="C66" s="1545" t="s">
        <v>904</v>
      </c>
      <c r="D66" s="1478" t="str">
        <f t="shared" ref="D66:E66" si="21">D65</f>
        <v>MERC/CAPEX/20172018/0177</v>
      </c>
      <c r="E66" s="1569">
        <f t="shared" si="21"/>
        <v>43112</v>
      </c>
      <c r="F66" s="1473">
        <f t="shared" si="19"/>
        <v>43137</v>
      </c>
      <c r="G66" s="1311">
        <v>10.065399999999999</v>
      </c>
      <c r="H66" s="1311">
        <v>10.065399999999999</v>
      </c>
      <c r="I66" s="161"/>
      <c r="J66" s="161"/>
      <c r="K66" s="1321">
        <f t="shared" si="0"/>
        <v>43137</v>
      </c>
      <c r="L66" s="1557">
        <v>43349</v>
      </c>
      <c r="M66" s="1557">
        <v>43683</v>
      </c>
      <c r="N66" s="1557">
        <v>44392</v>
      </c>
      <c r="O66" s="1558" t="s">
        <v>1615</v>
      </c>
      <c r="P66" s="1550">
        <v>3.15</v>
      </c>
      <c r="Q66" s="1550">
        <f>51515510.96/10^7</f>
        <v>5.1515510960000004</v>
      </c>
      <c r="R66" s="1550"/>
      <c r="S66" s="1550"/>
      <c r="T66" s="1549">
        <f t="shared" si="1"/>
        <v>8.3015510960000007</v>
      </c>
      <c r="U66" s="318">
        <f>4938945.72/10^7</f>
        <v>0.49389457199999998</v>
      </c>
      <c r="V66" s="318">
        <f>3899915.06/10^7</f>
        <v>0.38999150599999999</v>
      </c>
      <c r="W66" s="1559"/>
      <c r="X66" s="1559"/>
      <c r="Y66" s="1559"/>
      <c r="Z66" s="1559"/>
      <c r="AA66" s="1559"/>
      <c r="AB66" s="1559"/>
      <c r="AC66" s="1560"/>
      <c r="AD66" s="1560"/>
      <c r="AE66" s="1560"/>
      <c r="AF66" s="1561">
        <v>1</v>
      </c>
      <c r="AG66" s="1560"/>
      <c r="AH66" s="1560"/>
      <c r="AI66" s="1560"/>
      <c r="AJ66" s="1559"/>
      <c r="AK66" s="1559"/>
      <c r="AL66" s="1559"/>
      <c r="AM66" s="1559"/>
      <c r="AN66" s="1559"/>
      <c r="AO66" s="1550">
        <v>0</v>
      </c>
      <c r="AP66" s="1550">
        <v>0</v>
      </c>
      <c r="AQ66" s="1550">
        <v>0</v>
      </c>
      <c r="AR66" s="1550">
        <f>82997896.58/10^7</f>
        <v>8.2997896579999999</v>
      </c>
      <c r="AS66" s="1549">
        <f t="shared" si="2"/>
        <v>8.2997896579999999</v>
      </c>
      <c r="AT66" s="1550">
        <v>0.49389457199999998</v>
      </c>
      <c r="AU66" s="1550">
        <v>0.38999150599999999</v>
      </c>
      <c r="AV66" s="1559"/>
      <c r="AW66" s="1559"/>
      <c r="AX66" s="1559"/>
      <c r="AY66" s="1559"/>
      <c r="AZ66" s="1559"/>
      <c r="BA66" s="1559"/>
      <c r="BB66" s="1570"/>
      <c r="BC66" s="1573" t="s">
        <v>1616</v>
      </c>
      <c r="BD66" s="1555" t="s">
        <v>908</v>
      </c>
    </row>
    <row r="67" spans="1:57" ht="77.5" outlineLevel="1">
      <c r="A67" s="1440">
        <v>18</v>
      </c>
      <c r="B67" s="1441" t="s">
        <v>1617</v>
      </c>
      <c r="C67" s="1440" t="s">
        <v>896</v>
      </c>
      <c r="D67" s="1440" t="s">
        <v>1618</v>
      </c>
      <c r="E67" s="1509">
        <v>44250</v>
      </c>
      <c r="F67" s="1509">
        <v>44461</v>
      </c>
      <c r="G67" s="1289">
        <f>SUM(G68:G71)</f>
        <v>14.96</v>
      </c>
      <c r="H67" s="1289">
        <f>SUM(H68:H71)</f>
        <v>14.96</v>
      </c>
      <c r="I67" s="568"/>
      <c r="J67" s="568"/>
      <c r="K67" s="1510">
        <f t="shared" si="0"/>
        <v>44461</v>
      </c>
      <c r="L67" s="1290"/>
      <c r="M67" s="1290"/>
      <c r="N67" s="1290"/>
      <c r="O67" s="1291"/>
      <c r="P67" s="1511"/>
      <c r="Q67" s="1511"/>
      <c r="R67" s="1511"/>
      <c r="S67" s="1511"/>
      <c r="T67" s="1511">
        <f t="shared" si="1"/>
        <v>0</v>
      </c>
      <c r="U67" s="1512"/>
      <c r="V67" s="1512"/>
      <c r="W67" s="1513"/>
      <c r="X67" s="1513"/>
      <c r="Y67" s="1513"/>
      <c r="Z67" s="1513"/>
      <c r="AA67" s="1513"/>
      <c r="AB67" s="1513"/>
      <c r="AC67" s="1514"/>
      <c r="AD67" s="1514"/>
      <c r="AE67" s="1514"/>
      <c r="AF67" s="1514"/>
      <c r="AG67" s="1514"/>
      <c r="AH67" s="1514"/>
      <c r="AI67" s="1514"/>
      <c r="AJ67" s="1513"/>
      <c r="AK67" s="1513"/>
      <c r="AL67" s="1513"/>
      <c r="AM67" s="1513"/>
      <c r="AN67" s="1513"/>
      <c r="AO67" s="1511"/>
      <c r="AP67" s="1511"/>
      <c r="AQ67" s="1511"/>
      <c r="AR67" s="1511"/>
      <c r="AS67" s="1511">
        <f t="shared" si="2"/>
        <v>0</v>
      </c>
      <c r="AT67" s="1512"/>
      <c r="AU67" s="1512"/>
      <c r="AV67" s="1513"/>
      <c r="AW67" s="1513"/>
      <c r="AX67" s="1513"/>
      <c r="AY67" s="1513"/>
      <c r="AZ67" s="1513"/>
      <c r="BA67" s="1513"/>
      <c r="BB67" s="1512"/>
      <c r="BC67" s="1291"/>
      <c r="BD67" s="166" t="s">
        <v>901</v>
      </c>
      <c r="BE67" s="1504"/>
    </row>
    <row r="68" spans="1:57" ht="174" outlineLevel="1">
      <c r="A68" s="1314">
        <v>18.100000000000001</v>
      </c>
      <c r="B68" s="1447" t="s">
        <v>1619</v>
      </c>
      <c r="C68" s="1446" t="s">
        <v>904</v>
      </c>
      <c r="D68" s="1315" t="str">
        <f>D67</f>
        <v>MERC/CAPEX/2021-2022/ SBR/ 15</v>
      </c>
      <c r="E68" s="1316">
        <f t="shared" ref="E68:E71" si="22">E67</f>
        <v>44250</v>
      </c>
      <c r="F68" s="1516">
        <f t="shared" ref="F68:F71" si="23">IF(F67=0,"-",F67)</f>
        <v>44461</v>
      </c>
      <c r="G68" s="1317">
        <v>5.53</v>
      </c>
      <c r="H68" s="1317">
        <v>5.53</v>
      </c>
      <c r="I68" s="568"/>
      <c r="J68" s="568"/>
      <c r="K68" s="1290">
        <f t="shared" si="0"/>
        <v>44461</v>
      </c>
      <c r="L68" s="1293">
        <v>44461</v>
      </c>
      <c r="M68" s="1293">
        <v>44826</v>
      </c>
      <c r="N68" s="1293">
        <v>44603</v>
      </c>
      <c r="O68" s="1296" t="s">
        <v>1620</v>
      </c>
      <c r="P68" s="1517"/>
      <c r="Q68" s="1517"/>
      <c r="R68" s="1517"/>
      <c r="S68" s="1521">
        <f>84110400/10^7</f>
        <v>8.4110399999999998</v>
      </c>
      <c r="T68" s="1511">
        <f t="shared" si="1"/>
        <v>8.4110399999999998</v>
      </c>
      <c r="U68" s="1523"/>
      <c r="V68" s="1523"/>
      <c r="W68" s="1524"/>
      <c r="X68" s="1524"/>
      <c r="Y68" s="1524"/>
      <c r="Z68" s="1524"/>
      <c r="AA68" s="1524"/>
      <c r="AB68" s="1524"/>
      <c r="AC68" s="1525"/>
      <c r="AD68" s="1525"/>
      <c r="AE68" s="1525"/>
      <c r="AF68" s="1520">
        <v>1</v>
      </c>
      <c r="AG68" s="1525"/>
      <c r="AH68" s="1525"/>
      <c r="AI68" s="1525"/>
      <c r="AJ68" s="1524"/>
      <c r="AK68" s="1524"/>
      <c r="AL68" s="1524"/>
      <c r="AM68" s="1524"/>
      <c r="AN68" s="1524"/>
      <c r="AO68" s="1517"/>
      <c r="AP68" s="1517"/>
      <c r="AQ68" s="1517"/>
      <c r="AR68" s="1521">
        <f>84110400/10^7</f>
        <v>8.4110399999999998</v>
      </c>
      <c r="AS68" s="1511">
        <f t="shared" si="2"/>
        <v>8.4110399999999998</v>
      </c>
      <c r="AT68" s="1523"/>
      <c r="AU68" s="1523"/>
      <c r="AV68" s="1524"/>
      <c r="AW68" s="1524"/>
      <c r="AX68" s="1524"/>
      <c r="AY68" s="1524"/>
      <c r="AZ68" s="1524"/>
      <c r="BA68" s="1524"/>
      <c r="BB68" s="1318"/>
      <c r="BC68" s="1313" t="s">
        <v>1621</v>
      </c>
      <c r="BD68" s="1544" t="s">
        <v>908</v>
      </c>
    </row>
    <row r="69" spans="1:57" ht="159.5" outlineLevel="1">
      <c r="A69" s="1545">
        <v>18.2</v>
      </c>
      <c r="B69" s="1556" t="s">
        <v>1622</v>
      </c>
      <c r="C69" s="1545" t="s">
        <v>904</v>
      </c>
      <c r="D69" s="1475" t="str">
        <f t="shared" ref="D69:D71" si="24">D68</f>
        <v>MERC/CAPEX/2021-2022/ SBR/ 15</v>
      </c>
      <c r="E69" s="1547">
        <f t="shared" si="22"/>
        <v>44250</v>
      </c>
      <c r="F69" s="1473">
        <f t="shared" si="23"/>
        <v>44461</v>
      </c>
      <c r="G69" s="1311">
        <v>3.52</v>
      </c>
      <c r="H69" s="1311">
        <v>3.52</v>
      </c>
      <c r="I69" s="161"/>
      <c r="J69" s="161"/>
      <c r="K69" s="1321">
        <f t="shared" si="0"/>
        <v>44461</v>
      </c>
      <c r="L69" s="1557">
        <v>44462</v>
      </c>
      <c r="M69" s="1557">
        <v>44826</v>
      </c>
      <c r="N69" s="1557"/>
      <c r="O69" s="1558" t="s">
        <v>1623</v>
      </c>
      <c r="P69" s="318"/>
      <c r="Q69" s="318"/>
      <c r="R69" s="318"/>
      <c r="S69" s="318">
        <v>0</v>
      </c>
      <c r="T69" s="1549">
        <f t="shared" si="1"/>
        <v>0</v>
      </c>
      <c r="U69" s="318">
        <v>0</v>
      </c>
      <c r="V69" s="318">
        <v>0</v>
      </c>
      <c r="W69" s="1565">
        <v>3.52</v>
      </c>
      <c r="X69" s="1565"/>
      <c r="Y69" s="1565"/>
      <c r="Z69" s="1565"/>
      <c r="AA69" s="1565"/>
      <c r="AB69" s="1565"/>
      <c r="AC69" s="1560"/>
      <c r="AD69" s="1560"/>
      <c r="AE69" s="1560"/>
      <c r="AF69" s="1560"/>
      <c r="AG69" s="1560"/>
      <c r="AH69" s="1561"/>
      <c r="AI69" s="1561"/>
      <c r="AJ69" s="1565"/>
      <c r="AK69" s="1565"/>
      <c r="AL69" s="1565"/>
      <c r="AM69" s="1565"/>
      <c r="AN69" s="1565"/>
      <c r="AO69" s="318"/>
      <c r="AP69" s="318"/>
      <c r="AQ69" s="318"/>
      <c r="AR69" s="1550">
        <v>0</v>
      </c>
      <c r="AS69" s="1549">
        <f t="shared" si="2"/>
        <v>0</v>
      </c>
      <c r="AT69" s="1550">
        <v>0</v>
      </c>
      <c r="AU69" s="1550">
        <v>0</v>
      </c>
      <c r="AV69" s="1566">
        <v>2</v>
      </c>
      <c r="AW69" s="1565"/>
      <c r="AX69" s="1565"/>
      <c r="AY69" s="1565"/>
      <c r="AZ69" s="1565"/>
      <c r="BA69" s="1565"/>
      <c r="BB69" s="318"/>
      <c r="BC69" s="1573" t="s">
        <v>1822</v>
      </c>
      <c r="BD69" s="1555" t="s">
        <v>905</v>
      </c>
    </row>
    <row r="70" spans="1:57" ht="43.5" outlineLevel="1">
      <c r="A70" s="1545">
        <v>18.3</v>
      </c>
      <c r="B70" s="1556" t="s">
        <v>1624</v>
      </c>
      <c r="C70" s="1545" t="s">
        <v>904</v>
      </c>
      <c r="D70" s="1475" t="str">
        <f t="shared" si="24"/>
        <v>MERC/CAPEX/2021-2022/ SBR/ 15</v>
      </c>
      <c r="E70" s="1547">
        <f t="shared" si="22"/>
        <v>44250</v>
      </c>
      <c r="F70" s="1473">
        <f t="shared" si="23"/>
        <v>44461</v>
      </c>
      <c r="G70" s="1311">
        <v>5.39</v>
      </c>
      <c r="H70" s="1311">
        <v>5.39</v>
      </c>
      <c r="I70" s="161"/>
      <c r="J70" s="161"/>
      <c r="K70" s="1321">
        <f t="shared" si="0"/>
        <v>44461</v>
      </c>
      <c r="L70" s="1557">
        <v>45365</v>
      </c>
      <c r="M70" s="1557">
        <v>44826</v>
      </c>
      <c r="N70" s="1557">
        <v>45384</v>
      </c>
      <c r="O70" s="1558" t="s">
        <v>1625</v>
      </c>
      <c r="P70" s="318"/>
      <c r="Q70" s="318"/>
      <c r="R70" s="318"/>
      <c r="S70" s="318">
        <v>0</v>
      </c>
      <c r="T70" s="1549">
        <f t="shared" si="1"/>
        <v>0</v>
      </c>
      <c r="U70" s="318"/>
      <c r="V70" s="1550"/>
      <c r="W70" s="1565">
        <v>3.7043508740000002</v>
      </c>
      <c r="X70" s="1565"/>
      <c r="Y70" s="1565"/>
      <c r="Z70" s="1565"/>
      <c r="AA70" s="1565"/>
      <c r="AB70" s="1565"/>
      <c r="AC70" s="1560"/>
      <c r="AD70" s="1560"/>
      <c r="AE70" s="1560"/>
      <c r="AF70" s="1561"/>
      <c r="AG70" s="1560"/>
      <c r="AH70" s="1561">
        <v>1</v>
      </c>
      <c r="AI70" s="1561"/>
      <c r="AJ70" s="1565"/>
      <c r="AK70" s="1565"/>
      <c r="AL70" s="1565"/>
      <c r="AM70" s="1565"/>
      <c r="AN70" s="1565"/>
      <c r="AO70" s="318"/>
      <c r="AP70" s="318"/>
      <c r="AQ70" s="318"/>
      <c r="AR70" s="1550">
        <v>0</v>
      </c>
      <c r="AS70" s="1549">
        <f t="shared" si="2"/>
        <v>0</v>
      </c>
      <c r="AT70" s="1550">
        <v>0</v>
      </c>
      <c r="AU70" s="1550">
        <v>3.7043509000000001</v>
      </c>
      <c r="AV70" s="318">
        <v>0</v>
      </c>
      <c r="AW70" s="1565"/>
      <c r="AX70" s="1565"/>
      <c r="AY70" s="1565"/>
      <c r="AZ70" s="1565"/>
      <c r="BA70" s="1565"/>
      <c r="BB70" s="318"/>
      <c r="BC70" s="1562" t="s">
        <v>1626</v>
      </c>
      <c r="BD70" s="1575" t="s">
        <v>908</v>
      </c>
    </row>
    <row r="71" spans="1:57" ht="15.5" outlineLevel="1">
      <c r="A71" s="1314"/>
      <c r="B71" s="1452" t="s">
        <v>415</v>
      </c>
      <c r="C71" s="1450" t="s">
        <v>415</v>
      </c>
      <c r="D71" s="1315" t="str">
        <f t="shared" si="24"/>
        <v>MERC/CAPEX/2021-2022/ SBR/ 15</v>
      </c>
      <c r="E71" s="1316">
        <f t="shared" si="22"/>
        <v>44250</v>
      </c>
      <c r="F71" s="1516">
        <f t="shared" si="23"/>
        <v>44461</v>
      </c>
      <c r="G71" s="1317">
        <v>0.52</v>
      </c>
      <c r="H71" s="1317">
        <v>0.52</v>
      </c>
      <c r="I71" s="568"/>
      <c r="J71" s="568"/>
      <c r="K71" s="1290">
        <f t="shared" si="0"/>
        <v>44461</v>
      </c>
      <c r="L71" s="1290"/>
      <c r="M71" s="1290"/>
      <c r="N71" s="1290"/>
      <c r="O71" s="1291"/>
      <c r="P71" s="1517"/>
      <c r="Q71" s="1517"/>
      <c r="R71" s="1517"/>
      <c r="S71" s="1521"/>
      <c r="T71" s="1511">
        <f t="shared" si="1"/>
        <v>0</v>
      </c>
      <c r="U71" s="1523"/>
      <c r="V71" s="1523"/>
      <c r="W71" s="1524"/>
      <c r="X71" s="1524"/>
      <c r="Y71" s="1524"/>
      <c r="Z71" s="1524"/>
      <c r="AA71" s="1524"/>
      <c r="AB71" s="1524"/>
      <c r="AC71" s="1525"/>
      <c r="AD71" s="1525"/>
      <c r="AE71" s="1525"/>
      <c r="AF71" s="1525"/>
      <c r="AG71" s="1525"/>
      <c r="AH71" s="1525"/>
      <c r="AI71" s="1525"/>
      <c r="AJ71" s="1524"/>
      <c r="AK71" s="1524"/>
      <c r="AL71" s="1524"/>
      <c r="AM71" s="1524"/>
      <c r="AN71" s="1524"/>
      <c r="AO71" s="1517"/>
      <c r="AP71" s="1517"/>
      <c r="AQ71" s="1517"/>
      <c r="AR71" s="1517"/>
      <c r="AS71" s="1511">
        <f t="shared" si="2"/>
        <v>0</v>
      </c>
      <c r="AT71" s="1518"/>
      <c r="AU71" s="1518"/>
      <c r="AV71" s="1519"/>
      <c r="AW71" s="1524"/>
      <c r="AX71" s="1524"/>
      <c r="AY71" s="1524"/>
      <c r="AZ71" s="1524"/>
      <c r="BA71" s="1524"/>
      <c r="BB71" s="1518"/>
      <c r="BC71" s="1291"/>
      <c r="BD71" s="1522" t="s">
        <v>901</v>
      </c>
    </row>
    <row r="72" spans="1:57" ht="77.5" outlineLevel="1">
      <c r="A72" s="1440">
        <v>19</v>
      </c>
      <c r="B72" s="1441" t="s">
        <v>1627</v>
      </c>
      <c r="C72" s="1440" t="s">
        <v>896</v>
      </c>
      <c r="D72" s="1440" t="s">
        <v>1628</v>
      </c>
      <c r="E72" s="1509">
        <v>45230</v>
      </c>
      <c r="F72" s="1509">
        <v>45362</v>
      </c>
      <c r="G72" s="1289">
        <f>SUM(G73:G77)</f>
        <v>31.049999999999997</v>
      </c>
      <c r="H72" s="1289">
        <f>SUM(H73:H77)</f>
        <v>31.049999999999997</v>
      </c>
      <c r="I72" s="568"/>
      <c r="J72" s="568"/>
      <c r="K72" s="1510">
        <f t="shared" si="0"/>
        <v>45362</v>
      </c>
      <c r="L72" s="1290"/>
      <c r="M72" s="1290"/>
      <c r="N72" s="1290"/>
      <c r="O72" s="1291"/>
      <c r="P72" s="1511"/>
      <c r="Q72" s="1511"/>
      <c r="R72" s="1511"/>
      <c r="S72" s="1511"/>
      <c r="T72" s="1511">
        <f t="shared" si="1"/>
        <v>0</v>
      </c>
      <c r="U72" s="1512"/>
      <c r="V72" s="1512"/>
      <c r="W72" s="1513"/>
      <c r="X72" s="1513"/>
      <c r="Y72" s="1513"/>
      <c r="Z72" s="1513"/>
      <c r="AA72" s="1513"/>
      <c r="AB72" s="1513"/>
      <c r="AC72" s="1514"/>
      <c r="AD72" s="1514"/>
      <c r="AE72" s="1514"/>
      <c r="AF72" s="1514"/>
      <c r="AG72" s="1514"/>
      <c r="AH72" s="1514"/>
      <c r="AI72" s="1514"/>
      <c r="AJ72" s="1513"/>
      <c r="AK72" s="1513"/>
      <c r="AL72" s="1513"/>
      <c r="AM72" s="1513"/>
      <c r="AN72" s="1513"/>
      <c r="AO72" s="1511"/>
      <c r="AP72" s="1511"/>
      <c r="AQ72" s="1511"/>
      <c r="AR72" s="1511"/>
      <c r="AS72" s="1511">
        <f t="shared" si="2"/>
        <v>0</v>
      </c>
      <c r="AT72" s="1512"/>
      <c r="AU72" s="1512"/>
      <c r="AV72" s="1513"/>
      <c r="AW72" s="1513"/>
      <c r="AX72" s="1513"/>
      <c r="AY72" s="1513"/>
      <c r="AZ72" s="1513"/>
      <c r="BA72" s="1513"/>
      <c r="BB72" s="1512"/>
      <c r="BC72" s="1291"/>
      <c r="BD72" s="166" t="s">
        <v>901</v>
      </c>
      <c r="BE72" s="1504"/>
    </row>
    <row r="73" spans="1:57" ht="60" customHeight="1" outlineLevel="1">
      <c r="A73" s="1545">
        <v>19.100000000000001</v>
      </c>
      <c r="B73" s="1556" t="s">
        <v>1629</v>
      </c>
      <c r="C73" s="1545" t="s">
        <v>904</v>
      </c>
      <c r="D73" s="1475" t="str">
        <f>D72</f>
        <v>MERC/CAPEX/2023-2024/0178</v>
      </c>
      <c r="E73" s="1547">
        <f t="shared" ref="E73:E77" si="25">E72</f>
        <v>45230</v>
      </c>
      <c r="F73" s="1473">
        <f t="shared" ref="F73:F77" si="26">IF(F72=0,"-",F72)</f>
        <v>45362</v>
      </c>
      <c r="G73" s="1311">
        <v>8.69</v>
      </c>
      <c r="H73" s="1311">
        <v>8.69</v>
      </c>
      <c r="I73" s="161"/>
      <c r="J73" s="161"/>
      <c r="K73" s="1321">
        <f t="shared" si="0"/>
        <v>45362</v>
      </c>
      <c r="L73" s="1557"/>
      <c r="M73" s="1557"/>
      <c r="N73" s="1557"/>
      <c r="O73" s="1558" t="s">
        <v>1630</v>
      </c>
      <c r="P73" s="318"/>
      <c r="Q73" s="318"/>
      <c r="R73" s="318"/>
      <c r="S73" s="318"/>
      <c r="T73" s="1549">
        <f t="shared" si="1"/>
        <v>0</v>
      </c>
      <c r="U73" s="318"/>
      <c r="V73" s="318"/>
      <c r="W73" s="318">
        <v>0</v>
      </c>
      <c r="X73" s="318">
        <v>8.69</v>
      </c>
      <c r="Y73" s="318"/>
      <c r="Z73" s="318"/>
      <c r="AA73" s="318"/>
      <c r="AB73" s="318"/>
      <c r="AC73" s="1560"/>
      <c r="AD73" s="1560"/>
      <c r="AE73" s="1560"/>
      <c r="AF73" s="1560"/>
      <c r="AG73" s="318"/>
      <c r="AH73" s="318"/>
      <c r="AI73" s="1560"/>
      <c r="AJ73" s="318"/>
      <c r="AK73" s="318"/>
      <c r="AL73" s="318"/>
      <c r="AM73" s="318"/>
      <c r="AN73" s="318"/>
      <c r="AO73" s="318"/>
      <c r="AP73" s="318"/>
      <c r="AQ73" s="318"/>
      <c r="AR73" s="1550"/>
      <c r="AS73" s="1549">
        <f t="shared" si="2"/>
        <v>0</v>
      </c>
      <c r="AT73" s="318"/>
      <c r="AU73" s="318"/>
      <c r="AV73" s="318">
        <v>0</v>
      </c>
      <c r="AW73" s="318">
        <v>8.69</v>
      </c>
      <c r="AX73" s="318"/>
      <c r="AY73" s="318"/>
      <c r="AZ73" s="318"/>
      <c r="BA73" s="318"/>
      <c r="BB73" s="318"/>
      <c r="BC73" s="1562" t="s">
        <v>1823</v>
      </c>
      <c r="BD73" s="1555" t="s">
        <v>905</v>
      </c>
    </row>
    <row r="74" spans="1:57" ht="87" outlineLevel="1">
      <c r="A74" s="1545">
        <v>19.2</v>
      </c>
      <c r="B74" s="1556" t="s">
        <v>1631</v>
      </c>
      <c r="C74" s="1545" t="s">
        <v>904</v>
      </c>
      <c r="D74" s="1475" t="str">
        <f t="shared" ref="D74:D77" si="27">D73</f>
        <v>MERC/CAPEX/2023-2024/0178</v>
      </c>
      <c r="E74" s="1547">
        <f t="shared" si="25"/>
        <v>45230</v>
      </c>
      <c r="F74" s="1473">
        <f t="shared" si="26"/>
        <v>45362</v>
      </c>
      <c r="G74" s="1311">
        <v>1.35</v>
      </c>
      <c r="H74" s="1311">
        <v>1.35</v>
      </c>
      <c r="I74" s="161"/>
      <c r="J74" s="161"/>
      <c r="K74" s="1321">
        <f t="shared" si="0"/>
        <v>45362</v>
      </c>
      <c r="L74" s="1557"/>
      <c r="M74" s="1557"/>
      <c r="N74" s="1557"/>
      <c r="O74" s="1558" t="s">
        <v>1632</v>
      </c>
      <c r="P74" s="318"/>
      <c r="Q74" s="318"/>
      <c r="R74" s="318"/>
      <c r="S74" s="318"/>
      <c r="T74" s="1549">
        <f t="shared" si="1"/>
        <v>0</v>
      </c>
      <c r="U74" s="318"/>
      <c r="V74" s="318"/>
      <c r="W74" s="1565">
        <v>1.2948010000000001</v>
      </c>
      <c r="X74" s="1565"/>
      <c r="Y74" s="1565"/>
      <c r="Z74" s="1565"/>
      <c r="AA74" s="1565"/>
      <c r="AB74" s="1565"/>
      <c r="AC74" s="1560"/>
      <c r="AD74" s="1560"/>
      <c r="AE74" s="1560"/>
      <c r="AF74" s="1560"/>
      <c r="AG74" s="318"/>
      <c r="AH74" s="318"/>
      <c r="AI74" s="1560"/>
      <c r="AJ74" s="1565"/>
      <c r="AK74" s="1565"/>
      <c r="AL74" s="1565"/>
      <c r="AM74" s="1565"/>
      <c r="AN74" s="1565"/>
      <c r="AO74" s="318"/>
      <c r="AP74" s="318"/>
      <c r="AQ74" s="318"/>
      <c r="AR74" s="1550"/>
      <c r="AS74" s="1549">
        <f t="shared" si="2"/>
        <v>0</v>
      </c>
      <c r="AT74" s="318"/>
      <c r="AU74" s="318"/>
      <c r="AV74" s="1566">
        <v>1.3538010199999999</v>
      </c>
      <c r="AW74" s="1565"/>
      <c r="AX74" s="1565"/>
      <c r="AY74" s="1565"/>
      <c r="AZ74" s="1565"/>
      <c r="BA74" s="1565"/>
      <c r="BB74" s="318"/>
      <c r="BC74" s="1562" t="s">
        <v>1824</v>
      </c>
      <c r="BD74" s="1575" t="s">
        <v>908</v>
      </c>
    </row>
    <row r="75" spans="1:57" ht="60" customHeight="1" outlineLevel="1">
      <c r="A75" s="1545">
        <v>19.3</v>
      </c>
      <c r="B75" s="1556" t="s">
        <v>1633</v>
      </c>
      <c r="C75" s="1545" t="s">
        <v>904</v>
      </c>
      <c r="D75" s="1475" t="str">
        <f t="shared" si="27"/>
        <v>MERC/CAPEX/2023-2024/0178</v>
      </c>
      <c r="E75" s="1547">
        <f t="shared" si="25"/>
        <v>45230</v>
      </c>
      <c r="F75" s="1473">
        <f t="shared" si="26"/>
        <v>45362</v>
      </c>
      <c r="G75" s="1311">
        <v>2.33</v>
      </c>
      <c r="H75" s="1311">
        <v>2.33</v>
      </c>
      <c r="I75" s="161"/>
      <c r="J75" s="161"/>
      <c r="K75" s="1321">
        <f t="shared" ref="K75:K105" si="28">IF(F75=0,"-",F75)</f>
        <v>45362</v>
      </c>
      <c r="L75" s="1557"/>
      <c r="M75" s="1557"/>
      <c r="N75" s="1557"/>
      <c r="O75" s="1558" t="s">
        <v>1632</v>
      </c>
      <c r="P75" s="318"/>
      <c r="Q75" s="318"/>
      <c r="R75" s="318"/>
      <c r="S75" s="318"/>
      <c r="T75" s="1549">
        <f t="shared" ref="T75:T138" si="29">SUM(P75:S75)</f>
        <v>0</v>
      </c>
      <c r="U75" s="318"/>
      <c r="V75" s="318"/>
      <c r="W75" s="1565">
        <v>2.3093444879999998</v>
      </c>
      <c r="X75" s="1565"/>
      <c r="Y75" s="1565"/>
      <c r="Z75" s="1565"/>
      <c r="AA75" s="1565"/>
      <c r="AB75" s="1565"/>
      <c r="AC75" s="1560"/>
      <c r="AD75" s="1560"/>
      <c r="AE75" s="1560"/>
      <c r="AF75" s="1560"/>
      <c r="AG75" s="318"/>
      <c r="AH75" s="318"/>
      <c r="AI75" s="1560"/>
      <c r="AJ75" s="1565"/>
      <c r="AK75" s="1565"/>
      <c r="AL75" s="1565"/>
      <c r="AM75" s="1565"/>
      <c r="AN75" s="1565"/>
      <c r="AO75" s="318"/>
      <c r="AP75" s="318"/>
      <c r="AQ75" s="318"/>
      <c r="AR75" s="1550"/>
      <c r="AS75" s="1549">
        <f t="shared" ref="AS75:AS138" si="30">SUM(AO75:AR75)</f>
        <v>0</v>
      </c>
      <c r="AT75" s="318"/>
      <c r="AU75" s="318"/>
      <c r="AV75" s="1566">
        <v>2.3093444879999998</v>
      </c>
      <c r="AW75" s="1565"/>
      <c r="AX75" s="1565"/>
      <c r="AY75" s="1565"/>
      <c r="AZ75" s="1565"/>
      <c r="BA75" s="1565"/>
      <c r="BB75" s="318"/>
      <c r="BC75" s="1562" t="s">
        <v>1825</v>
      </c>
      <c r="BD75" s="1555" t="s">
        <v>905</v>
      </c>
    </row>
    <row r="76" spans="1:57" ht="159.5" outlineLevel="1">
      <c r="A76" s="1545">
        <v>19.399999999999999</v>
      </c>
      <c r="B76" s="1556" t="s">
        <v>1634</v>
      </c>
      <c r="C76" s="1545" t="s">
        <v>904</v>
      </c>
      <c r="D76" s="1475" t="str">
        <f t="shared" si="27"/>
        <v>MERC/CAPEX/2023-2024/0178</v>
      </c>
      <c r="E76" s="1547">
        <f t="shared" si="25"/>
        <v>45230</v>
      </c>
      <c r="F76" s="1473">
        <f t="shared" si="26"/>
        <v>45362</v>
      </c>
      <c r="G76" s="1311">
        <v>18.18</v>
      </c>
      <c r="H76" s="1311">
        <v>18.18</v>
      </c>
      <c r="I76" s="161"/>
      <c r="J76" s="161"/>
      <c r="K76" s="1321">
        <f t="shared" si="28"/>
        <v>45362</v>
      </c>
      <c r="L76" s="1557"/>
      <c r="M76" s="1557"/>
      <c r="N76" s="1557"/>
      <c r="O76" s="1558" t="s">
        <v>1635</v>
      </c>
      <c r="P76" s="318"/>
      <c r="Q76" s="318"/>
      <c r="R76" s="318"/>
      <c r="S76" s="318"/>
      <c r="T76" s="1549">
        <f t="shared" si="29"/>
        <v>0</v>
      </c>
      <c r="U76" s="318"/>
      <c r="V76" s="318"/>
      <c r="W76" s="1565">
        <v>16.16</v>
      </c>
      <c r="X76" s="1565"/>
      <c r="Y76" s="1565"/>
      <c r="Z76" s="1565"/>
      <c r="AA76" s="1565"/>
      <c r="AB76" s="1565"/>
      <c r="AC76" s="1560"/>
      <c r="AD76" s="1560"/>
      <c r="AE76" s="1560"/>
      <c r="AF76" s="1560"/>
      <c r="AG76" s="318"/>
      <c r="AH76" s="318"/>
      <c r="AI76" s="1560"/>
      <c r="AJ76" s="1565"/>
      <c r="AK76" s="1565"/>
      <c r="AL76" s="1565"/>
      <c r="AM76" s="1565"/>
      <c r="AN76" s="1565"/>
      <c r="AO76" s="318"/>
      <c r="AP76" s="318"/>
      <c r="AQ76" s="318"/>
      <c r="AR76" s="1550"/>
      <c r="AS76" s="1549">
        <f t="shared" si="30"/>
        <v>0</v>
      </c>
      <c r="AT76" s="318"/>
      <c r="AU76" s="318"/>
      <c r="AV76" s="1566">
        <v>16.16</v>
      </c>
      <c r="AW76" s="1565"/>
      <c r="AX76" s="1565"/>
      <c r="AY76" s="1565"/>
      <c r="AZ76" s="1565"/>
      <c r="BA76" s="1565"/>
      <c r="BB76" s="318"/>
      <c r="BC76" s="1573" t="s">
        <v>1826</v>
      </c>
      <c r="BD76" s="1575" t="s">
        <v>908</v>
      </c>
    </row>
    <row r="77" spans="1:57" ht="159.5" outlineLevel="1">
      <c r="A77" s="166"/>
      <c r="B77" s="1556" t="s">
        <v>415</v>
      </c>
      <c r="C77" s="1545" t="s">
        <v>415</v>
      </c>
      <c r="D77" s="1475" t="str">
        <f t="shared" si="27"/>
        <v>MERC/CAPEX/2023-2024/0178</v>
      </c>
      <c r="E77" s="1547">
        <f t="shared" si="25"/>
        <v>45230</v>
      </c>
      <c r="F77" s="1473">
        <f t="shared" si="26"/>
        <v>45362</v>
      </c>
      <c r="G77" s="161">
        <f>0.19+0.31</f>
        <v>0.5</v>
      </c>
      <c r="H77" s="161">
        <f>0.19+0.31</f>
        <v>0.5</v>
      </c>
      <c r="I77" s="161"/>
      <c r="J77" s="161"/>
      <c r="K77" s="1321">
        <f t="shared" si="28"/>
        <v>45362</v>
      </c>
      <c r="L77" s="1321"/>
      <c r="M77" s="1321"/>
      <c r="N77" s="1321"/>
      <c r="O77" s="943"/>
      <c r="P77" s="318"/>
      <c r="Q77" s="318"/>
      <c r="R77" s="318"/>
      <c r="S77" s="318"/>
      <c r="T77" s="1549">
        <f t="shared" si="29"/>
        <v>0</v>
      </c>
      <c r="U77" s="318"/>
      <c r="V77" s="1550"/>
      <c r="W77" s="318"/>
      <c r="X77" s="318">
        <v>0.5</v>
      </c>
      <c r="Y77" s="318"/>
      <c r="Z77" s="318"/>
      <c r="AA77" s="318"/>
      <c r="AB77" s="318"/>
      <c r="AC77" s="1508"/>
      <c r="AD77" s="1508"/>
      <c r="AE77" s="1508"/>
      <c r="AF77" s="1508"/>
      <c r="AG77" s="1508"/>
      <c r="AH77" s="1508"/>
      <c r="AI77" s="1508"/>
      <c r="AJ77" s="318"/>
      <c r="AK77" s="318"/>
      <c r="AL77" s="318"/>
      <c r="AM77" s="318"/>
      <c r="AN77" s="318"/>
      <c r="AO77" s="318"/>
      <c r="AP77" s="318"/>
      <c r="AQ77" s="318"/>
      <c r="AR77" s="318"/>
      <c r="AS77" s="1549">
        <f t="shared" si="30"/>
        <v>0</v>
      </c>
      <c r="AT77" s="318"/>
      <c r="AU77" s="318"/>
      <c r="AV77" s="318"/>
      <c r="AW77" s="318">
        <v>0.5</v>
      </c>
      <c r="AX77" s="318"/>
      <c r="AY77" s="318"/>
      <c r="AZ77" s="318"/>
      <c r="BA77" s="318"/>
      <c r="BB77" s="318"/>
      <c r="BC77" s="1573" t="s">
        <v>1826</v>
      </c>
      <c r="BD77" s="1555" t="s">
        <v>901</v>
      </c>
    </row>
    <row r="78" spans="1:57" ht="46.5" outlineLevel="1">
      <c r="A78" s="1442" t="s">
        <v>1636</v>
      </c>
      <c r="B78" s="1576" t="s">
        <v>1637</v>
      </c>
      <c r="C78" s="1442" t="s">
        <v>896</v>
      </c>
      <c r="D78" s="1442" t="s">
        <v>1638</v>
      </c>
      <c r="E78" s="1443">
        <v>43343</v>
      </c>
      <c r="F78" s="1443">
        <v>44604</v>
      </c>
      <c r="G78" s="1319">
        <f>SUM(G79:G80)</f>
        <v>113.91</v>
      </c>
      <c r="H78" s="1319">
        <f>SUM(H79:H80)</f>
        <v>57</v>
      </c>
      <c r="I78" s="161"/>
      <c r="J78" s="161"/>
      <c r="K78" s="1443">
        <f t="shared" si="28"/>
        <v>44604</v>
      </c>
      <c r="L78" s="1577"/>
      <c r="M78" s="1577"/>
      <c r="N78" s="1577"/>
      <c r="O78" s="943"/>
      <c r="P78" s="1549"/>
      <c r="Q78" s="1549"/>
      <c r="R78" s="1549"/>
      <c r="S78" s="1549"/>
      <c r="T78" s="1549">
        <f t="shared" si="29"/>
        <v>0</v>
      </c>
      <c r="U78" s="1549"/>
      <c r="V78" s="1549"/>
      <c r="W78" s="1578"/>
      <c r="X78" s="1578"/>
      <c r="Y78" s="1578"/>
      <c r="Z78" s="1578"/>
      <c r="AA78" s="1578"/>
      <c r="AB78" s="1578"/>
      <c r="AC78" s="1508"/>
      <c r="AD78" s="1508"/>
      <c r="AE78" s="1508"/>
      <c r="AF78" s="1508"/>
      <c r="AG78" s="1508"/>
      <c r="AH78" s="1508"/>
      <c r="AI78" s="1508"/>
      <c r="AJ78" s="1578"/>
      <c r="AK78" s="1578"/>
      <c r="AL78" s="1578"/>
      <c r="AM78" s="1578"/>
      <c r="AN78" s="1578"/>
      <c r="AO78" s="1549"/>
      <c r="AP78" s="1549"/>
      <c r="AQ78" s="1549"/>
      <c r="AR78" s="1549"/>
      <c r="AS78" s="1549">
        <f t="shared" si="30"/>
        <v>0</v>
      </c>
      <c r="AT78" s="1549"/>
      <c r="AU78" s="1549"/>
      <c r="AV78" s="1578"/>
      <c r="AW78" s="1578"/>
      <c r="AX78" s="1578"/>
      <c r="AY78" s="1578"/>
      <c r="AZ78" s="1578"/>
      <c r="BA78" s="1578"/>
      <c r="BB78" s="1549"/>
      <c r="BC78" s="161"/>
      <c r="BD78" s="166" t="s">
        <v>901</v>
      </c>
    </row>
    <row r="79" spans="1:57" ht="46.5" outlineLevel="1">
      <c r="A79" s="1579">
        <v>1</v>
      </c>
      <c r="B79" s="1455" t="s">
        <v>1637</v>
      </c>
      <c r="C79" s="1579" t="s">
        <v>904</v>
      </c>
      <c r="D79" s="1579" t="str">
        <f t="shared" ref="D79:F80" si="31">D78</f>
        <v>MERC/CAPEX/2021-2022/MSPGCL/063</v>
      </c>
      <c r="E79" s="1473">
        <f t="shared" si="31"/>
        <v>43343</v>
      </c>
      <c r="F79" s="1473">
        <f t="shared" si="31"/>
        <v>44604</v>
      </c>
      <c r="G79" s="1320">
        <v>108.48</v>
      </c>
      <c r="H79" s="1320">
        <f>G79/2</f>
        <v>54.24</v>
      </c>
      <c r="I79" s="9"/>
      <c r="J79" s="9"/>
      <c r="K79" s="1473">
        <f t="shared" si="28"/>
        <v>44604</v>
      </c>
      <c r="L79" s="1321"/>
      <c r="M79" s="1321"/>
      <c r="N79" s="1580"/>
      <c r="O79" s="1581"/>
      <c r="P79" s="442"/>
      <c r="Q79" s="442"/>
      <c r="R79" s="442"/>
      <c r="S79" s="442"/>
      <c r="T79" s="1549">
        <f t="shared" si="29"/>
        <v>0</v>
      </c>
      <c r="U79" s="442"/>
      <c r="V79" s="1088"/>
      <c r="W79" s="442"/>
      <c r="X79" s="442"/>
      <c r="Y79" s="442"/>
      <c r="Z79" s="442"/>
      <c r="AA79" s="442"/>
      <c r="AB79" s="442"/>
      <c r="AC79" s="1582"/>
      <c r="AD79" s="1582"/>
      <c r="AE79" s="1582"/>
      <c r="AF79" s="1582"/>
      <c r="AG79" s="1582"/>
      <c r="AH79" s="1582"/>
      <c r="AI79" s="1582"/>
      <c r="AJ79" s="442"/>
      <c r="AK79" s="442"/>
      <c r="AL79" s="442"/>
      <c r="AM79" s="442"/>
      <c r="AN79" s="442"/>
      <c r="AO79" s="442">
        <v>0</v>
      </c>
      <c r="AP79" s="442">
        <v>0</v>
      </c>
      <c r="AQ79" s="442">
        <v>0</v>
      </c>
      <c r="AR79" s="442">
        <v>0</v>
      </c>
      <c r="AS79" s="1549">
        <f t="shared" si="30"/>
        <v>0</v>
      </c>
      <c r="AT79" s="442"/>
      <c r="AU79" s="1088"/>
      <c r="AV79" s="442"/>
      <c r="AW79" s="442"/>
      <c r="AX79" s="442"/>
      <c r="AY79" s="442"/>
      <c r="AZ79" s="442"/>
      <c r="BA79" s="442"/>
      <c r="BB79" s="442"/>
      <c r="BC79" s="1583" t="s">
        <v>1639</v>
      </c>
      <c r="BD79" s="1555" t="s">
        <v>905</v>
      </c>
    </row>
    <row r="80" spans="1:57" ht="31" outlineLevel="1">
      <c r="A80" s="1579"/>
      <c r="B80" s="1455" t="s">
        <v>415</v>
      </c>
      <c r="C80" s="1579" t="s">
        <v>415</v>
      </c>
      <c r="D80" s="1579" t="str">
        <f t="shared" si="31"/>
        <v>MERC/CAPEX/2021-2022/MSPGCL/063</v>
      </c>
      <c r="E80" s="1473">
        <f t="shared" si="31"/>
        <v>43343</v>
      </c>
      <c r="F80" s="1473">
        <f t="shared" si="31"/>
        <v>44604</v>
      </c>
      <c r="G80" s="1320">
        <v>5.43</v>
      </c>
      <c r="H80" s="1320">
        <v>2.76</v>
      </c>
      <c r="I80" s="9"/>
      <c r="J80" s="9"/>
      <c r="K80" s="1473">
        <f t="shared" si="28"/>
        <v>44604</v>
      </c>
      <c r="L80" s="1321"/>
      <c r="M80" s="1321"/>
      <c r="N80" s="1580"/>
      <c r="O80" s="1581"/>
      <c r="P80" s="442"/>
      <c r="Q80" s="442"/>
      <c r="R80" s="442"/>
      <c r="S80" s="442"/>
      <c r="T80" s="1549">
        <f t="shared" si="29"/>
        <v>0</v>
      </c>
      <c r="U80" s="442"/>
      <c r="V80" s="1088"/>
      <c r="W80" s="442"/>
      <c r="X80" s="442"/>
      <c r="Y80" s="442"/>
      <c r="Z80" s="442"/>
      <c r="AA80" s="442"/>
      <c r="AB80" s="442"/>
      <c r="AC80" s="1582"/>
      <c r="AD80" s="1582"/>
      <c r="AE80" s="1582"/>
      <c r="AF80" s="1582"/>
      <c r="AG80" s="1582"/>
      <c r="AH80" s="1582"/>
      <c r="AI80" s="1582"/>
      <c r="AJ80" s="442"/>
      <c r="AK80" s="442"/>
      <c r="AL80" s="442"/>
      <c r="AM80" s="442"/>
      <c r="AN80" s="442"/>
      <c r="AO80" s="442">
        <v>0</v>
      </c>
      <c r="AP80" s="442">
        <v>0</v>
      </c>
      <c r="AQ80" s="442">
        <v>0</v>
      </c>
      <c r="AR80" s="442">
        <v>0</v>
      </c>
      <c r="AS80" s="1549">
        <f t="shared" si="30"/>
        <v>0</v>
      </c>
      <c r="AT80" s="442"/>
      <c r="AU80" s="1088"/>
      <c r="AV80" s="442"/>
      <c r="AW80" s="442"/>
      <c r="AX80" s="442"/>
      <c r="AY80" s="442"/>
      <c r="AZ80" s="442"/>
      <c r="BA80" s="442"/>
      <c r="BB80" s="442"/>
      <c r="BC80" s="1583"/>
      <c r="BD80" s="1555" t="s">
        <v>905</v>
      </c>
    </row>
    <row r="81" spans="1:56" ht="31" outlineLevel="1">
      <c r="A81" s="1442" t="s">
        <v>1640</v>
      </c>
      <c r="B81" s="1576" t="s">
        <v>1641</v>
      </c>
      <c r="C81" s="1442" t="s">
        <v>896</v>
      </c>
      <c r="D81" s="1442" t="s">
        <v>1642</v>
      </c>
      <c r="E81" s="1443">
        <v>45013</v>
      </c>
      <c r="F81" s="1443">
        <v>45232</v>
      </c>
      <c r="G81" s="1319">
        <f>SUM(G82:G83)</f>
        <v>69.308999999999997</v>
      </c>
      <c r="H81" s="1319">
        <f>SUM(H82:H83)</f>
        <v>69.308999999999997</v>
      </c>
      <c r="I81" s="161"/>
      <c r="J81" s="161"/>
      <c r="K81" s="1443">
        <f t="shared" si="28"/>
        <v>45232</v>
      </c>
      <c r="L81" s="1577"/>
      <c r="M81" s="1577"/>
      <c r="N81" s="1577"/>
      <c r="O81" s="943"/>
      <c r="P81" s="1549"/>
      <c r="Q81" s="1549"/>
      <c r="R81" s="1549"/>
      <c r="S81" s="1549"/>
      <c r="T81" s="1549">
        <f t="shared" si="29"/>
        <v>0</v>
      </c>
      <c r="U81" s="1549"/>
      <c r="V81" s="1549"/>
      <c r="W81" s="1578"/>
      <c r="X81" s="1578"/>
      <c r="Y81" s="1578"/>
      <c r="Z81" s="1578"/>
      <c r="AA81" s="1578"/>
      <c r="AB81" s="1578"/>
      <c r="AC81" s="1508"/>
      <c r="AD81" s="1508"/>
      <c r="AE81" s="1508"/>
      <c r="AF81" s="1508"/>
      <c r="AG81" s="1508"/>
      <c r="AH81" s="1508"/>
      <c r="AI81" s="1508"/>
      <c r="AJ81" s="1578"/>
      <c r="AK81" s="1578"/>
      <c r="AL81" s="1578"/>
      <c r="AM81" s="1578"/>
      <c r="AN81" s="1578"/>
      <c r="AO81" s="1549"/>
      <c r="AP81" s="1549"/>
      <c r="AQ81" s="1549"/>
      <c r="AR81" s="1549"/>
      <c r="AS81" s="1549">
        <f t="shared" si="30"/>
        <v>0</v>
      </c>
      <c r="AT81" s="1549"/>
      <c r="AU81" s="1549"/>
      <c r="AV81" s="1578"/>
      <c r="AW81" s="1578"/>
      <c r="AX81" s="1578"/>
      <c r="AY81" s="1578"/>
      <c r="AZ81" s="1578"/>
      <c r="BA81" s="1578"/>
      <c r="BB81" s="1549"/>
      <c r="BC81" s="161"/>
      <c r="BD81" s="166" t="s">
        <v>901</v>
      </c>
    </row>
    <row r="82" spans="1:56" ht="31" outlineLevel="1">
      <c r="A82" s="1579">
        <v>1</v>
      </c>
      <c r="B82" s="1455" t="s">
        <v>1641</v>
      </c>
      <c r="C82" s="1579" t="s">
        <v>904</v>
      </c>
      <c r="D82" s="1579" t="str">
        <f>D81</f>
        <v>MERC/CAPEX/MSPGCL/2023-24/0576</v>
      </c>
      <c r="E82" s="1473">
        <f t="shared" ref="E82:F83" si="32">E81</f>
        <v>45013</v>
      </c>
      <c r="F82" s="1473">
        <f t="shared" si="32"/>
        <v>45232</v>
      </c>
      <c r="G82" s="1320">
        <v>66.009</v>
      </c>
      <c r="H82" s="1320">
        <v>66.009</v>
      </c>
      <c r="I82" s="9"/>
      <c r="J82" s="9"/>
      <c r="K82" s="1473">
        <f t="shared" si="28"/>
        <v>45232</v>
      </c>
      <c r="L82" s="1321"/>
      <c r="M82" s="1321"/>
      <c r="N82" s="1580"/>
      <c r="O82" s="1581"/>
      <c r="P82" s="442"/>
      <c r="Q82" s="442"/>
      <c r="R82" s="442"/>
      <c r="S82" s="442"/>
      <c r="T82" s="1549">
        <f t="shared" si="29"/>
        <v>0</v>
      </c>
      <c r="U82" s="442"/>
      <c r="V82" s="1088"/>
      <c r="W82" s="442"/>
      <c r="X82" s="442"/>
      <c r="Y82" s="442"/>
      <c r="Z82" s="442"/>
      <c r="AA82" s="442"/>
      <c r="AB82" s="442"/>
      <c r="AC82" s="1582"/>
      <c r="AD82" s="1582"/>
      <c r="AE82" s="1582"/>
      <c r="AF82" s="1582"/>
      <c r="AG82" s="1582"/>
      <c r="AH82" s="1582"/>
      <c r="AI82" s="1582"/>
      <c r="AJ82" s="442"/>
      <c r="AK82" s="442"/>
      <c r="AL82" s="442"/>
      <c r="AM82" s="442"/>
      <c r="AN82" s="442"/>
      <c r="AO82" s="442"/>
      <c r="AP82" s="442"/>
      <c r="AQ82" s="442"/>
      <c r="AR82" s="442"/>
      <c r="AS82" s="1549">
        <f t="shared" si="30"/>
        <v>0</v>
      </c>
      <c r="AT82" s="442"/>
      <c r="AU82" s="1088"/>
      <c r="AV82" s="442"/>
      <c r="AW82" s="442"/>
      <c r="AX82" s="442"/>
      <c r="AY82" s="442"/>
      <c r="AZ82" s="442"/>
      <c r="BA82" s="442"/>
      <c r="BB82" s="442"/>
      <c r="BC82" s="1583" t="s">
        <v>1639</v>
      </c>
      <c r="BD82" s="1555" t="s">
        <v>905</v>
      </c>
    </row>
    <row r="83" spans="1:56" ht="31" outlineLevel="1">
      <c r="A83" s="1579"/>
      <c r="B83" s="1455" t="s">
        <v>415</v>
      </c>
      <c r="C83" s="1579" t="s">
        <v>415</v>
      </c>
      <c r="D83" s="1579" t="str">
        <f>D82</f>
        <v>MERC/CAPEX/MSPGCL/2023-24/0576</v>
      </c>
      <c r="E83" s="1473">
        <f t="shared" si="32"/>
        <v>45013</v>
      </c>
      <c r="F83" s="1473">
        <f t="shared" si="32"/>
        <v>45232</v>
      </c>
      <c r="G83" s="1320">
        <v>3.3</v>
      </c>
      <c r="H83" s="1320">
        <v>3.3</v>
      </c>
      <c r="I83" s="9"/>
      <c r="J83" s="9"/>
      <c r="K83" s="1473">
        <f t="shared" si="28"/>
        <v>45232</v>
      </c>
      <c r="L83" s="1321"/>
      <c r="M83" s="1321"/>
      <c r="N83" s="1580"/>
      <c r="O83" s="1581"/>
      <c r="P83" s="442"/>
      <c r="Q83" s="442"/>
      <c r="R83" s="442"/>
      <c r="S83" s="442"/>
      <c r="T83" s="1549">
        <f t="shared" si="29"/>
        <v>0</v>
      </c>
      <c r="U83" s="442"/>
      <c r="V83" s="1088"/>
      <c r="W83" s="442"/>
      <c r="X83" s="442"/>
      <c r="Y83" s="442"/>
      <c r="Z83" s="442"/>
      <c r="AA83" s="442"/>
      <c r="AB83" s="442"/>
      <c r="AC83" s="1582"/>
      <c r="AD83" s="1582"/>
      <c r="AE83" s="1582"/>
      <c r="AF83" s="1582"/>
      <c r="AG83" s="1582"/>
      <c r="AH83" s="1582"/>
      <c r="AI83" s="1582"/>
      <c r="AJ83" s="442"/>
      <c r="AK83" s="442"/>
      <c r="AL83" s="442"/>
      <c r="AM83" s="442"/>
      <c r="AN83" s="442"/>
      <c r="AO83" s="442"/>
      <c r="AP83" s="442"/>
      <c r="AQ83" s="442"/>
      <c r="AR83" s="442"/>
      <c r="AS83" s="1549">
        <f t="shared" si="30"/>
        <v>0</v>
      </c>
      <c r="AT83" s="442"/>
      <c r="AU83" s="1088"/>
      <c r="AV83" s="442"/>
      <c r="AW83" s="442"/>
      <c r="AX83" s="442"/>
      <c r="AY83" s="442"/>
      <c r="AZ83" s="442"/>
      <c r="BA83" s="442"/>
      <c r="BB83" s="442"/>
      <c r="BC83" s="1583"/>
      <c r="BD83" s="1555" t="s">
        <v>905</v>
      </c>
    </row>
    <row r="84" spans="1:56" ht="31" outlineLevel="1">
      <c r="A84" s="1442">
        <v>20</v>
      </c>
      <c r="B84" s="1576" t="s">
        <v>1643</v>
      </c>
      <c r="C84" s="1442" t="s">
        <v>896</v>
      </c>
      <c r="D84" s="1442" t="s">
        <v>1644</v>
      </c>
      <c r="E84" s="1443">
        <v>45394</v>
      </c>
      <c r="F84" s="1443">
        <v>45429</v>
      </c>
      <c r="G84" s="1320">
        <f>SUM(H85:H90)</f>
        <v>42.14</v>
      </c>
      <c r="H84" s="1320"/>
      <c r="I84" s="9"/>
      <c r="J84" s="9"/>
      <c r="K84" s="1473"/>
      <c r="L84" s="1321"/>
      <c r="M84" s="1321"/>
      <c r="N84" s="1580"/>
      <c r="O84" s="1581"/>
      <c r="P84" s="442"/>
      <c r="Q84" s="442"/>
      <c r="R84" s="442"/>
      <c r="S84" s="442"/>
      <c r="T84" s="1549">
        <f t="shared" si="29"/>
        <v>0</v>
      </c>
      <c r="U84" s="442"/>
      <c r="V84" s="1088"/>
      <c r="W84" s="442"/>
      <c r="X84" s="442"/>
      <c r="Y84" s="442"/>
      <c r="Z84" s="442"/>
      <c r="AA84" s="442"/>
      <c r="AB84" s="442"/>
      <c r="AC84" s="1582"/>
      <c r="AD84" s="1582"/>
      <c r="AE84" s="1582"/>
      <c r="AF84" s="1582"/>
      <c r="AG84" s="1582"/>
      <c r="AH84" s="1582"/>
      <c r="AI84" s="1582"/>
      <c r="AJ84" s="442"/>
      <c r="AK84" s="442"/>
      <c r="AL84" s="442"/>
      <c r="AM84" s="442"/>
      <c r="AN84" s="442"/>
      <c r="AO84" s="442"/>
      <c r="AP84" s="442"/>
      <c r="AQ84" s="442"/>
      <c r="AR84" s="442"/>
      <c r="AS84" s="1549">
        <f t="shared" si="30"/>
        <v>0</v>
      </c>
      <c r="AT84" s="442"/>
      <c r="AU84" s="1088"/>
      <c r="AV84" s="442"/>
      <c r="AW84" s="442"/>
      <c r="AX84" s="442"/>
      <c r="AY84" s="442"/>
      <c r="AZ84" s="442"/>
      <c r="BA84" s="442"/>
      <c r="BB84" s="442"/>
      <c r="BC84" s="1583"/>
      <c r="BD84" s="166"/>
    </row>
    <row r="85" spans="1:56" ht="99.5" outlineLevel="1">
      <c r="A85" s="1579">
        <v>20.100000000000001</v>
      </c>
      <c r="B85" s="1455" t="s">
        <v>1645</v>
      </c>
      <c r="C85" s="1579" t="s">
        <v>904</v>
      </c>
      <c r="D85" s="1579" t="str">
        <f>D84</f>
        <v>MERC/CAPEX/MSPGCL/2024-25/0309</v>
      </c>
      <c r="E85" s="1473">
        <f>E84</f>
        <v>45394</v>
      </c>
      <c r="F85" s="1473">
        <v>45429</v>
      </c>
      <c r="G85" s="1320">
        <v>14.27</v>
      </c>
      <c r="H85" s="1320">
        <v>14.27</v>
      </c>
      <c r="I85" s="9"/>
      <c r="J85" s="9"/>
      <c r="K85" s="1473">
        <f t="shared" ref="K85:K90" si="33">F85</f>
        <v>45429</v>
      </c>
      <c r="L85" s="1321"/>
      <c r="M85" s="1321"/>
      <c r="N85" s="1580"/>
      <c r="O85" s="1558" t="s">
        <v>1646</v>
      </c>
      <c r="P85" s="442"/>
      <c r="Q85" s="442"/>
      <c r="R85" s="442"/>
      <c r="S85" s="442"/>
      <c r="T85" s="1549">
        <f t="shared" si="29"/>
        <v>0</v>
      </c>
      <c r="U85" s="442"/>
      <c r="V85" s="1088"/>
      <c r="W85" s="1088">
        <v>0</v>
      </c>
      <c r="X85" s="1088"/>
      <c r="Y85" s="1088">
        <v>14.27</v>
      </c>
      <c r="Z85" s="1088"/>
      <c r="AA85" s="1088"/>
      <c r="AB85" s="1088"/>
      <c r="AC85" s="1582"/>
      <c r="AD85" s="1582"/>
      <c r="AE85" s="1582"/>
      <c r="AF85" s="1582"/>
      <c r="AG85" s="1582"/>
      <c r="AH85" s="1582"/>
      <c r="AI85" s="1582"/>
      <c r="AJ85" s="1088"/>
      <c r="AK85" s="1088"/>
      <c r="AL85" s="1088"/>
      <c r="AM85" s="1088"/>
      <c r="AN85" s="1088"/>
      <c r="AO85" s="442"/>
      <c r="AP85" s="442"/>
      <c r="AQ85" s="442"/>
      <c r="AR85" s="442"/>
      <c r="AS85" s="1549">
        <f t="shared" si="30"/>
        <v>0</v>
      </c>
      <c r="AT85" s="442"/>
      <c r="AU85" s="1088"/>
      <c r="AV85" s="1088">
        <v>0</v>
      </c>
      <c r="AW85" s="1088"/>
      <c r="AX85" s="1088">
        <v>14.27</v>
      </c>
      <c r="AY85" s="1088"/>
      <c r="AZ85" s="1088"/>
      <c r="BA85" s="1088"/>
      <c r="BB85" s="442"/>
      <c r="BC85" s="1584" t="s">
        <v>1827</v>
      </c>
      <c r="BD85" s="1555" t="s">
        <v>905</v>
      </c>
    </row>
    <row r="86" spans="1:56" ht="105" customHeight="1" outlineLevel="1">
      <c r="A86" s="1579">
        <v>20.2</v>
      </c>
      <c r="B86" s="1455" t="s">
        <v>1647</v>
      </c>
      <c r="C86" s="1579" t="s">
        <v>904</v>
      </c>
      <c r="D86" s="1579" t="str">
        <f t="shared" ref="D86:E90" si="34">D85</f>
        <v>MERC/CAPEX/MSPGCL/2024-25/0309</v>
      </c>
      <c r="E86" s="1473">
        <f t="shared" si="34"/>
        <v>45394</v>
      </c>
      <c r="F86" s="1473">
        <f>F85</f>
        <v>45429</v>
      </c>
      <c r="G86" s="1320">
        <v>8.18</v>
      </c>
      <c r="H86" s="1320">
        <v>8.18</v>
      </c>
      <c r="I86" s="9"/>
      <c r="J86" s="9"/>
      <c r="K86" s="1473">
        <f t="shared" si="33"/>
        <v>45429</v>
      </c>
      <c r="L86" s="1321"/>
      <c r="M86" s="1321"/>
      <c r="N86" s="1580"/>
      <c r="O86" s="1558" t="s">
        <v>1648</v>
      </c>
      <c r="P86" s="442"/>
      <c r="Q86" s="442"/>
      <c r="R86" s="442"/>
      <c r="S86" s="442"/>
      <c r="T86" s="1549">
        <f t="shared" si="29"/>
        <v>0</v>
      </c>
      <c r="U86" s="442"/>
      <c r="V86" s="1088"/>
      <c r="W86" s="1088">
        <v>0</v>
      </c>
      <c r="X86" s="1088"/>
      <c r="Y86" s="1088">
        <v>8.18</v>
      </c>
      <c r="Z86" s="1088"/>
      <c r="AA86" s="1088"/>
      <c r="AB86" s="1088"/>
      <c r="AC86" s="1582"/>
      <c r="AD86" s="1582"/>
      <c r="AE86" s="1582"/>
      <c r="AF86" s="1582"/>
      <c r="AG86" s="1582"/>
      <c r="AH86" s="1582"/>
      <c r="AI86" s="1582"/>
      <c r="AJ86" s="1088"/>
      <c r="AK86" s="1088"/>
      <c r="AL86" s="1088"/>
      <c r="AM86" s="1088"/>
      <c r="AN86" s="1088"/>
      <c r="AO86" s="442"/>
      <c r="AP86" s="442"/>
      <c r="AQ86" s="442"/>
      <c r="AR86" s="442"/>
      <c r="AS86" s="1549">
        <f t="shared" si="30"/>
        <v>0</v>
      </c>
      <c r="AT86" s="442"/>
      <c r="AU86" s="1088"/>
      <c r="AV86" s="1088">
        <v>0</v>
      </c>
      <c r="AW86" s="1088"/>
      <c r="AX86" s="1088">
        <v>8.18</v>
      </c>
      <c r="AY86" s="1088"/>
      <c r="AZ86" s="1088"/>
      <c r="BA86" s="1088"/>
      <c r="BB86" s="442"/>
      <c r="BC86" s="1584" t="s">
        <v>1828</v>
      </c>
      <c r="BD86" s="1555" t="s">
        <v>905</v>
      </c>
    </row>
    <row r="87" spans="1:56" ht="105" customHeight="1" outlineLevel="1">
      <c r="A87" s="1579">
        <v>20.3</v>
      </c>
      <c r="B87" s="1455" t="s">
        <v>1649</v>
      </c>
      <c r="C87" s="1579" t="s">
        <v>904</v>
      </c>
      <c r="D87" s="1579" t="str">
        <f t="shared" si="34"/>
        <v>MERC/CAPEX/MSPGCL/2024-25/0309</v>
      </c>
      <c r="E87" s="1473">
        <f t="shared" si="34"/>
        <v>45394</v>
      </c>
      <c r="F87" s="1473">
        <f>F85</f>
        <v>45429</v>
      </c>
      <c r="G87" s="1320">
        <v>1.88</v>
      </c>
      <c r="H87" s="1320">
        <v>1.88</v>
      </c>
      <c r="I87" s="9"/>
      <c r="J87" s="9"/>
      <c r="K87" s="1473">
        <f t="shared" si="33"/>
        <v>45429</v>
      </c>
      <c r="L87" s="1321"/>
      <c r="M87" s="1321"/>
      <c r="N87" s="1580"/>
      <c r="O87" s="1558" t="s">
        <v>1650</v>
      </c>
      <c r="P87" s="442"/>
      <c r="Q87" s="442"/>
      <c r="R87" s="442"/>
      <c r="S87" s="442"/>
      <c r="T87" s="1549">
        <f t="shared" si="29"/>
        <v>0</v>
      </c>
      <c r="U87" s="442"/>
      <c r="V87" s="1088"/>
      <c r="W87" s="1088">
        <v>0</v>
      </c>
      <c r="X87" s="1088"/>
      <c r="Y87" s="1088">
        <v>1.88</v>
      </c>
      <c r="Z87" s="1088"/>
      <c r="AA87" s="1088"/>
      <c r="AB87" s="1088"/>
      <c r="AC87" s="1582"/>
      <c r="AD87" s="1582"/>
      <c r="AE87" s="1582"/>
      <c r="AF87" s="1582"/>
      <c r="AG87" s="1582"/>
      <c r="AH87" s="1582"/>
      <c r="AI87" s="1582"/>
      <c r="AJ87" s="1088"/>
      <c r="AK87" s="1088"/>
      <c r="AL87" s="1088"/>
      <c r="AM87" s="1088"/>
      <c r="AN87" s="1088"/>
      <c r="AO87" s="442"/>
      <c r="AP87" s="442"/>
      <c r="AQ87" s="442"/>
      <c r="AR87" s="442"/>
      <c r="AS87" s="1549">
        <f t="shared" si="30"/>
        <v>0</v>
      </c>
      <c r="AT87" s="442"/>
      <c r="AU87" s="1088"/>
      <c r="AV87" s="1088">
        <v>0</v>
      </c>
      <c r="AW87" s="1088"/>
      <c r="AX87" s="1088">
        <v>1.88</v>
      </c>
      <c r="AY87" s="1088"/>
      <c r="AZ87" s="1088"/>
      <c r="BA87" s="1088"/>
      <c r="BB87" s="442"/>
      <c r="BC87" s="1584" t="s">
        <v>1829</v>
      </c>
      <c r="BD87" s="1555" t="s">
        <v>905</v>
      </c>
    </row>
    <row r="88" spans="1:56" ht="60" customHeight="1" outlineLevel="1">
      <c r="A88" s="1579">
        <v>20.399999999999999</v>
      </c>
      <c r="B88" s="1455" t="s">
        <v>1651</v>
      </c>
      <c r="C88" s="1579" t="s">
        <v>904</v>
      </c>
      <c r="D88" s="1579" t="str">
        <f t="shared" si="34"/>
        <v>MERC/CAPEX/MSPGCL/2024-25/0309</v>
      </c>
      <c r="E88" s="1473">
        <f t="shared" si="34"/>
        <v>45394</v>
      </c>
      <c r="F88" s="1473">
        <f>F85</f>
        <v>45429</v>
      </c>
      <c r="G88" s="1320">
        <v>4.21</v>
      </c>
      <c r="H88" s="1320">
        <v>4.21</v>
      </c>
      <c r="I88" s="9"/>
      <c r="J88" s="9"/>
      <c r="K88" s="1473">
        <f t="shared" si="33"/>
        <v>45429</v>
      </c>
      <c r="L88" s="1321"/>
      <c r="M88" s="1321"/>
      <c r="N88" s="1580"/>
      <c r="O88" s="1558" t="s">
        <v>1652</v>
      </c>
      <c r="P88" s="442"/>
      <c r="Q88" s="442"/>
      <c r="R88" s="442"/>
      <c r="S88" s="442"/>
      <c r="T88" s="1549">
        <f t="shared" si="29"/>
        <v>0</v>
      </c>
      <c r="U88" s="442"/>
      <c r="V88" s="1088"/>
      <c r="W88" s="1088">
        <v>0</v>
      </c>
      <c r="X88" s="1088"/>
      <c r="Y88" s="1088">
        <v>4.21</v>
      </c>
      <c r="Z88" s="1088"/>
      <c r="AA88" s="1088"/>
      <c r="AB88" s="1088"/>
      <c r="AC88" s="1582"/>
      <c r="AD88" s="1582"/>
      <c r="AE88" s="1582"/>
      <c r="AF88" s="1582"/>
      <c r="AG88" s="1582"/>
      <c r="AH88" s="1582"/>
      <c r="AI88" s="1582"/>
      <c r="AJ88" s="1088"/>
      <c r="AK88" s="1088"/>
      <c r="AL88" s="1088"/>
      <c r="AM88" s="1088"/>
      <c r="AN88" s="1088"/>
      <c r="AO88" s="442"/>
      <c r="AP88" s="442"/>
      <c r="AQ88" s="442"/>
      <c r="AR88" s="442"/>
      <c r="AS88" s="1549">
        <f t="shared" si="30"/>
        <v>0</v>
      </c>
      <c r="AT88" s="442"/>
      <c r="AU88" s="1088"/>
      <c r="AV88" s="1088">
        <v>0</v>
      </c>
      <c r="AW88" s="1088"/>
      <c r="AX88" s="1088">
        <v>4.21</v>
      </c>
      <c r="AY88" s="1088"/>
      <c r="AZ88" s="1088"/>
      <c r="BA88" s="1088"/>
      <c r="BB88" s="442"/>
      <c r="BC88" s="1584" t="s">
        <v>1830</v>
      </c>
      <c r="BD88" s="1555" t="s">
        <v>905</v>
      </c>
    </row>
    <row r="89" spans="1:56" ht="75" customHeight="1" outlineLevel="1">
      <c r="A89" s="1579">
        <v>20.5</v>
      </c>
      <c r="B89" s="1455" t="s">
        <v>1653</v>
      </c>
      <c r="C89" s="1579" t="s">
        <v>904</v>
      </c>
      <c r="D89" s="1579" t="str">
        <f t="shared" si="34"/>
        <v>MERC/CAPEX/MSPGCL/2024-25/0309</v>
      </c>
      <c r="E89" s="1473">
        <f t="shared" si="34"/>
        <v>45394</v>
      </c>
      <c r="F89" s="1473">
        <f>F85</f>
        <v>45429</v>
      </c>
      <c r="G89" s="1320">
        <v>6.25</v>
      </c>
      <c r="H89" s="1320">
        <v>6.25</v>
      </c>
      <c r="I89" s="9"/>
      <c r="J89" s="9"/>
      <c r="K89" s="1473">
        <f t="shared" si="33"/>
        <v>45429</v>
      </c>
      <c r="L89" s="1321"/>
      <c r="M89" s="1321"/>
      <c r="N89" s="1580"/>
      <c r="O89" s="1558" t="s">
        <v>1654</v>
      </c>
      <c r="P89" s="442"/>
      <c r="Q89" s="442"/>
      <c r="R89" s="442"/>
      <c r="S89" s="442"/>
      <c r="T89" s="1549">
        <f t="shared" si="29"/>
        <v>0</v>
      </c>
      <c r="U89" s="442"/>
      <c r="V89" s="1088"/>
      <c r="W89" s="1088">
        <v>0</v>
      </c>
      <c r="X89" s="1088"/>
      <c r="Y89" s="1088">
        <v>6.25</v>
      </c>
      <c r="Z89" s="1088"/>
      <c r="AA89" s="1088"/>
      <c r="AB89" s="1088"/>
      <c r="AC89" s="1582"/>
      <c r="AD89" s="1582"/>
      <c r="AE89" s="1582"/>
      <c r="AF89" s="1582"/>
      <c r="AG89" s="1582"/>
      <c r="AH89" s="1582"/>
      <c r="AI89" s="1582"/>
      <c r="AJ89" s="1088"/>
      <c r="AK89" s="1088"/>
      <c r="AL89" s="1088"/>
      <c r="AM89" s="1088"/>
      <c r="AN89" s="1088"/>
      <c r="AO89" s="442"/>
      <c r="AP89" s="442"/>
      <c r="AQ89" s="442"/>
      <c r="AR89" s="442"/>
      <c r="AS89" s="1549">
        <f t="shared" si="30"/>
        <v>0</v>
      </c>
      <c r="AT89" s="442"/>
      <c r="AU89" s="1088"/>
      <c r="AV89" s="1088">
        <v>0</v>
      </c>
      <c r="AW89" s="1088"/>
      <c r="AX89" s="1088">
        <v>6.25</v>
      </c>
      <c r="AY89" s="1088"/>
      <c r="AZ89" s="1088"/>
      <c r="BA89" s="1088"/>
      <c r="BB89" s="442"/>
      <c r="BC89" s="1584" t="s">
        <v>1831</v>
      </c>
      <c r="BD89" s="1555" t="s">
        <v>905</v>
      </c>
    </row>
    <row r="90" spans="1:56" ht="90" customHeight="1" outlineLevel="1">
      <c r="A90" s="1579">
        <v>20.6</v>
      </c>
      <c r="B90" s="1455" t="s">
        <v>1655</v>
      </c>
      <c r="C90" s="1579" t="s">
        <v>904</v>
      </c>
      <c r="D90" s="1579" t="str">
        <f t="shared" si="34"/>
        <v>MERC/CAPEX/MSPGCL/2024-25/0309</v>
      </c>
      <c r="E90" s="1473">
        <f t="shared" si="34"/>
        <v>45394</v>
      </c>
      <c r="F90" s="1473">
        <f>F85</f>
        <v>45429</v>
      </c>
      <c r="G90" s="1320">
        <v>7.35</v>
      </c>
      <c r="H90" s="1320">
        <v>7.35</v>
      </c>
      <c r="I90" s="9"/>
      <c r="J90" s="9"/>
      <c r="K90" s="1473">
        <f t="shared" si="33"/>
        <v>45429</v>
      </c>
      <c r="L90" s="1321"/>
      <c r="M90" s="1321"/>
      <c r="N90" s="1580"/>
      <c r="O90" s="1558" t="s">
        <v>1656</v>
      </c>
      <c r="P90" s="442"/>
      <c r="Q90" s="442"/>
      <c r="R90" s="442"/>
      <c r="S90" s="442"/>
      <c r="T90" s="1549">
        <f t="shared" si="29"/>
        <v>0</v>
      </c>
      <c r="U90" s="442"/>
      <c r="V90" s="1088"/>
      <c r="W90" s="1088">
        <v>0</v>
      </c>
      <c r="X90" s="1088"/>
      <c r="Y90" s="1088">
        <v>7.35</v>
      </c>
      <c r="Z90" s="1088"/>
      <c r="AA90" s="1088"/>
      <c r="AB90" s="1088"/>
      <c r="AC90" s="1582"/>
      <c r="AD90" s="1582"/>
      <c r="AE90" s="1582"/>
      <c r="AF90" s="1582"/>
      <c r="AG90" s="1582"/>
      <c r="AH90" s="1582"/>
      <c r="AI90" s="1582"/>
      <c r="AJ90" s="1088"/>
      <c r="AK90" s="1088"/>
      <c r="AL90" s="1088"/>
      <c r="AM90" s="1088"/>
      <c r="AN90" s="1088"/>
      <c r="AO90" s="442"/>
      <c r="AP90" s="442"/>
      <c r="AQ90" s="442"/>
      <c r="AR90" s="442"/>
      <c r="AS90" s="1549">
        <f t="shared" si="30"/>
        <v>0</v>
      </c>
      <c r="AT90" s="442"/>
      <c r="AU90" s="1088"/>
      <c r="AV90" s="1088">
        <v>0</v>
      </c>
      <c r="AW90" s="1088"/>
      <c r="AX90" s="1088">
        <v>7.35</v>
      </c>
      <c r="AY90" s="1088"/>
      <c r="AZ90" s="1088"/>
      <c r="BA90" s="1088"/>
      <c r="BB90" s="442"/>
      <c r="BC90" s="1584" t="s">
        <v>1832</v>
      </c>
      <c r="BD90" s="1555" t="s">
        <v>905</v>
      </c>
    </row>
    <row r="91" spans="1:56" ht="15.5" outlineLevel="1">
      <c r="A91" s="1579"/>
      <c r="B91" s="1455" t="s">
        <v>415</v>
      </c>
      <c r="C91" s="1579"/>
      <c r="D91" s="1579"/>
      <c r="E91" s="1473"/>
      <c r="F91" s="1473"/>
      <c r="G91" s="1320"/>
      <c r="H91" s="1320"/>
      <c r="I91" s="9"/>
      <c r="J91" s="9"/>
      <c r="K91" s="1473"/>
      <c r="L91" s="1321"/>
      <c r="M91" s="1321"/>
      <c r="N91" s="1580"/>
      <c r="O91" s="1558"/>
      <c r="P91" s="442"/>
      <c r="Q91" s="442"/>
      <c r="R91" s="442"/>
      <c r="S91" s="442"/>
      <c r="T91" s="1549">
        <f t="shared" si="29"/>
        <v>0</v>
      </c>
      <c r="U91" s="442"/>
      <c r="V91" s="1088"/>
      <c r="W91" s="1088"/>
      <c r="X91" s="1088"/>
      <c r="Y91" s="1088">
        <v>0.42</v>
      </c>
      <c r="Z91" s="1088"/>
      <c r="AA91" s="1088"/>
      <c r="AB91" s="1088"/>
      <c r="AC91" s="1582"/>
      <c r="AD91" s="1582"/>
      <c r="AE91" s="1582"/>
      <c r="AF91" s="1582"/>
      <c r="AG91" s="1582"/>
      <c r="AH91" s="1582"/>
      <c r="AI91" s="1582"/>
      <c r="AJ91" s="1088"/>
      <c r="AK91" s="1088"/>
      <c r="AL91" s="1088"/>
      <c r="AM91" s="1088"/>
      <c r="AN91" s="1088"/>
      <c r="AO91" s="442"/>
      <c r="AP91" s="442"/>
      <c r="AQ91" s="442"/>
      <c r="AR91" s="442"/>
      <c r="AS91" s="1549">
        <f t="shared" si="30"/>
        <v>0</v>
      </c>
      <c r="AT91" s="442"/>
      <c r="AU91" s="1088"/>
      <c r="AV91" s="1088"/>
      <c r="AW91" s="1088"/>
      <c r="AX91" s="442">
        <v>0.42</v>
      </c>
      <c r="AY91" s="1088"/>
      <c r="AZ91" s="1088"/>
      <c r="BA91" s="1088"/>
      <c r="BB91" s="442"/>
      <c r="BC91" s="1584"/>
      <c r="BD91" s="166"/>
    </row>
    <row r="92" spans="1:56" ht="31" outlineLevel="1">
      <c r="A92" s="1442">
        <v>21</v>
      </c>
      <c r="B92" s="1576" t="s">
        <v>1657</v>
      </c>
      <c r="C92" s="1442" t="s">
        <v>896</v>
      </c>
      <c r="D92" s="1442" t="s">
        <v>1658</v>
      </c>
      <c r="E92" s="1473"/>
      <c r="F92" s="1473"/>
      <c r="G92" s="1320">
        <f>SUM(H93:H101)</f>
        <v>57.290000000000006</v>
      </c>
      <c r="H92" s="1320"/>
      <c r="I92" s="9"/>
      <c r="J92" s="9"/>
      <c r="K92" s="1473"/>
      <c r="L92" s="1321"/>
      <c r="M92" s="1321"/>
      <c r="N92" s="1580"/>
      <c r="O92" s="1581"/>
      <c r="P92" s="442"/>
      <c r="Q92" s="442"/>
      <c r="R92" s="442"/>
      <c r="S92" s="442"/>
      <c r="T92" s="1549">
        <f t="shared" si="29"/>
        <v>0</v>
      </c>
      <c r="U92" s="442"/>
      <c r="V92" s="1088"/>
      <c r="W92" s="442"/>
      <c r="X92" s="442"/>
      <c r="Y92" s="442"/>
      <c r="Z92" s="442"/>
      <c r="AA92" s="442"/>
      <c r="AB92" s="442"/>
      <c r="AC92" s="1582"/>
      <c r="AD92" s="1582"/>
      <c r="AE92" s="1582"/>
      <c r="AF92" s="1582"/>
      <c r="AG92" s="1582"/>
      <c r="AH92" s="1582"/>
      <c r="AI92" s="1582"/>
      <c r="AJ92" s="442"/>
      <c r="AK92" s="442"/>
      <c r="AL92" s="442"/>
      <c r="AM92" s="442"/>
      <c r="AN92" s="442"/>
      <c r="AO92" s="442"/>
      <c r="AP92" s="442"/>
      <c r="AQ92" s="442"/>
      <c r="AR92" s="442"/>
      <c r="AS92" s="1549">
        <f t="shared" si="30"/>
        <v>0</v>
      </c>
      <c r="AT92" s="442"/>
      <c r="AU92" s="1088"/>
      <c r="AV92" s="1088"/>
      <c r="AW92" s="442"/>
      <c r="AX92" s="96"/>
      <c r="AY92" s="442"/>
      <c r="AZ92" s="442"/>
      <c r="BA92" s="442"/>
      <c r="BB92" s="442"/>
      <c r="BC92" s="1584"/>
      <c r="BD92" s="166"/>
    </row>
    <row r="93" spans="1:56" ht="90" customHeight="1" outlineLevel="1">
      <c r="A93" s="1579">
        <v>21.1</v>
      </c>
      <c r="B93" s="1455" t="s">
        <v>1659</v>
      </c>
      <c r="C93" s="1579" t="s">
        <v>904</v>
      </c>
      <c r="D93" s="1579" t="s">
        <v>1658</v>
      </c>
      <c r="E93" s="1473"/>
      <c r="F93" s="1473">
        <f>F90</f>
        <v>45429</v>
      </c>
      <c r="G93" s="1320">
        <v>11.35</v>
      </c>
      <c r="H93" s="1320">
        <v>11.35</v>
      </c>
      <c r="I93" s="9"/>
      <c r="J93" s="9"/>
      <c r="K93" s="1473">
        <f>K90</f>
        <v>45429</v>
      </c>
      <c r="L93" s="1321"/>
      <c r="M93" s="1321"/>
      <c r="N93" s="1580"/>
      <c r="O93" s="1558" t="s">
        <v>1660</v>
      </c>
      <c r="P93" s="442"/>
      <c r="Q93" s="442"/>
      <c r="R93" s="442"/>
      <c r="S93" s="442"/>
      <c r="T93" s="1549">
        <f t="shared" si="29"/>
        <v>0</v>
      </c>
      <c r="U93" s="442"/>
      <c r="V93" s="1088"/>
      <c r="W93" s="318">
        <v>0</v>
      </c>
      <c r="X93" s="318"/>
      <c r="Y93" s="1565">
        <v>11.35</v>
      </c>
      <c r="Z93" s="318"/>
      <c r="AA93" s="318"/>
      <c r="AB93" s="318"/>
      <c r="AC93" s="1582"/>
      <c r="AD93" s="1582"/>
      <c r="AE93" s="1582"/>
      <c r="AF93" s="1582"/>
      <c r="AG93" s="1582"/>
      <c r="AH93" s="1582"/>
      <c r="AI93" s="1582"/>
      <c r="AJ93" s="318"/>
      <c r="AK93" s="318"/>
      <c r="AL93" s="318"/>
      <c r="AM93" s="318"/>
      <c r="AN93" s="318"/>
      <c r="AO93" s="442"/>
      <c r="AP93" s="442"/>
      <c r="AQ93" s="442"/>
      <c r="AR93" s="442"/>
      <c r="AS93" s="1549">
        <f t="shared" si="30"/>
        <v>0</v>
      </c>
      <c r="AT93" s="442"/>
      <c r="AU93" s="1088"/>
      <c r="AV93" s="1088">
        <v>0</v>
      </c>
      <c r="AW93" s="318"/>
      <c r="AX93" s="1565">
        <v>11.35</v>
      </c>
      <c r="AY93" s="318"/>
      <c r="AZ93" s="318"/>
      <c r="BA93" s="318"/>
      <c r="BB93" s="442"/>
      <c r="BC93" s="1584" t="s">
        <v>1833</v>
      </c>
      <c r="BD93" s="1555" t="s">
        <v>905</v>
      </c>
    </row>
    <row r="94" spans="1:56" ht="90" customHeight="1" outlineLevel="1">
      <c r="A94" s="1579">
        <v>21.2</v>
      </c>
      <c r="B94" s="1455" t="s">
        <v>1662</v>
      </c>
      <c r="C94" s="1579" t="s">
        <v>904</v>
      </c>
      <c r="D94" s="1579" t="str">
        <f t="shared" ref="D94:D101" si="35">D93</f>
        <v>MERC/CAPEX/MSPGCL/2024-25/0310</v>
      </c>
      <c r="E94" s="1473"/>
      <c r="F94" s="1473">
        <f t="shared" ref="F94:F101" si="36">F93</f>
        <v>45429</v>
      </c>
      <c r="G94" s="1320">
        <v>5.73</v>
      </c>
      <c r="H94" s="1320">
        <v>5.73</v>
      </c>
      <c r="I94" s="9"/>
      <c r="J94" s="9"/>
      <c r="K94" s="1473">
        <f t="shared" ref="K94:K101" si="37">K93</f>
        <v>45429</v>
      </c>
      <c r="L94" s="1321"/>
      <c r="M94" s="1321"/>
      <c r="N94" s="1580"/>
      <c r="O94" s="1558" t="s">
        <v>1663</v>
      </c>
      <c r="P94" s="442"/>
      <c r="Q94" s="442"/>
      <c r="R94" s="442"/>
      <c r="S94" s="442"/>
      <c r="T94" s="1549">
        <f t="shared" si="29"/>
        <v>0</v>
      </c>
      <c r="U94" s="442"/>
      <c r="V94" s="1088"/>
      <c r="W94" s="318">
        <v>0</v>
      </c>
      <c r="X94" s="318"/>
      <c r="Y94" s="1565">
        <v>5.73</v>
      </c>
      <c r="Z94" s="318"/>
      <c r="AA94" s="318"/>
      <c r="AB94" s="318"/>
      <c r="AC94" s="1582"/>
      <c r="AD94" s="1582"/>
      <c r="AE94" s="1582"/>
      <c r="AF94" s="1582"/>
      <c r="AG94" s="1582"/>
      <c r="AH94" s="1582"/>
      <c r="AI94" s="1582"/>
      <c r="AJ94" s="318"/>
      <c r="AK94" s="318"/>
      <c r="AL94" s="318"/>
      <c r="AM94" s="318"/>
      <c r="AN94" s="318"/>
      <c r="AO94" s="442"/>
      <c r="AP94" s="442"/>
      <c r="AQ94" s="442"/>
      <c r="AR94" s="442"/>
      <c r="AS94" s="1549">
        <f t="shared" si="30"/>
        <v>0</v>
      </c>
      <c r="AT94" s="442"/>
      <c r="AU94" s="1088"/>
      <c r="AV94" s="1088">
        <v>0</v>
      </c>
      <c r="AW94" s="318"/>
      <c r="AX94" s="1565">
        <v>5.73</v>
      </c>
      <c r="AY94" s="318"/>
      <c r="AZ94" s="318"/>
      <c r="BA94" s="318"/>
      <c r="BB94" s="442"/>
      <c r="BC94" s="1584" t="s">
        <v>1834</v>
      </c>
      <c r="BD94" s="1555" t="s">
        <v>905</v>
      </c>
    </row>
    <row r="95" spans="1:56" ht="75" customHeight="1" outlineLevel="1">
      <c r="A95" s="1579">
        <v>21.3</v>
      </c>
      <c r="B95" s="1455" t="s">
        <v>1664</v>
      </c>
      <c r="C95" s="1579" t="s">
        <v>904</v>
      </c>
      <c r="D95" s="1579" t="str">
        <f t="shared" si="35"/>
        <v>MERC/CAPEX/MSPGCL/2024-25/0310</v>
      </c>
      <c r="E95" s="1473"/>
      <c r="F95" s="1473">
        <f t="shared" si="36"/>
        <v>45429</v>
      </c>
      <c r="G95" s="1320">
        <v>1.77</v>
      </c>
      <c r="H95" s="1320">
        <v>1.77</v>
      </c>
      <c r="I95" s="9"/>
      <c r="J95" s="9"/>
      <c r="K95" s="1473">
        <f t="shared" si="37"/>
        <v>45429</v>
      </c>
      <c r="L95" s="1321"/>
      <c r="M95" s="1321"/>
      <c r="N95" s="1580"/>
      <c r="O95" s="1558" t="s">
        <v>1665</v>
      </c>
      <c r="P95" s="442"/>
      <c r="Q95" s="442"/>
      <c r="R95" s="442"/>
      <c r="S95" s="442"/>
      <c r="T95" s="1549">
        <f t="shared" si="29"/>
        <v>0</v>
      </c>
      <c r="U95" s="442"/>
      <c r="V95" s="1088"/>
      <c r="W95" s="1566">
        <v>1.75</v>
      </c>
      <c r="X95" s="1566"/>
      <c r="Y95" s="1565">
        <v>1.77</v>
      </c>
      <c r="Z95" s="1566"/>
      <c r="AA95" s="1566"/>
      <c r="AB95" s="1566"/>
      <c r="AC95" s="1582"/>
      <c r="AD95" s="1582"/>
      <c r="AE95" s="1582"/>
      <c r="AF95" s="1582"/>
      <c r="AG95" s="1582"/>
      <c r="AH95" s="1582"/>
      <c r="AI95" s="1582"/>
      <c r="AJ95" s="1566"/>
      <c r="AK95" s="1566"/>
      <c r="AL95" s="1566"/>
      <c r="AM95" s="1566"/>
      <c r="AN95" s="1566"/>
      <c r="AO95" s="442"/>
      <c r="AP95" s="442"/>
      <c r="AQ95" s="442"/>
      <c r="AR95" s="442"/>
      <c r="AS95" s="1549">
        <f t="shared" si="30"/>
        <v>0</v>
      </c>
      <c r="AT95" s="442"/>
      <c r="AU95" s="1088"/>
      <c r="AV95" s="1585">
        <v>1.75</v>
      </c>
      <c r="AW95" s="1566"/>
      <c r="AX95" s="1565">
        <v>1.77</v>
      </c>
      <c r="AY95" s="1566"/>
      <c r="AZ95" s="1566"/>
      <c r="BA95" s="1566"/>
      <c r="BB95" s="442"/>
      <c r="BC95" s="1584" t="s">
        <v>1835</v>
      </c>
      <c r="BD95" s="1555" t="s">
        <v>905</v>
      </c>
    </row>
    <row r="96" spans="1:56" ht="90" customHeight="1" outlineLevel="1">
      <c r="A96" s="1579">
        <v>21.4</v>
      </c>
      <c r="B96" s="1455" t="s">
        <v>1666</v>
      </c>
      <c r="C96" s="1579" t="s">
        <v>904</v>
      </c>
      <c r="D96" s="1579" t="str">
        <f t="shared" si="35"/>
        <v>MERC/CAPEX/MSPGCL/2024-25/0310</v>
      </c>
      <c r="E96" s="1473"/>
      <c r="F96" s="1473">
        <f t="shared" si="36"/>
        <v>45429</v>
      </c>
      <c r="G96" s="1320">
        <v>9.01</v>
      </c>
      <c r="H96" s="1320">
        <v>9.01</v>
      </c>
      <c r="I96" s="9"/>
      <c r="J96" s="9"/>
      <c r="K96" s="1473">
        <f t="shared" si="37"/>
        <v>45429</v>
      </c>
      <c r="L96" s="1321"/>
      <c r="M96" s="1321"/>
      <c r="N96" s="1580"/>
      <c r="O96" s="1558" t="s">
        <v>1667</v>
      </c>
      <c r="P96" s="442"/>
      <c r="Q96" s="442"/>
      <c r="R96" s="442"/>
      <c r="S96" s="442"/>
      <c r="T96" s="1549">
        <f t="shared" si="29"/>
        <v>0</v>
      </c>
      <c r="U96" s="442"/>
      <c r="V96" s="1088"/>
      <c r="W96" s="318">
        <v>0</v>
      </c>
      <c r="X96" s="318"/>
      <c r="Y96" s="1565">
        <v>3.85</v>
      </c>
      <c r="Z96" s="318"/>
      <c r="AA96" s="318"/>
      <c r="AB96" s="318"/>
      <c r="AC96" s="1582"/>
      <c r="AD96" s="1582"/>
      <c r="AE96" s="1582"/>
      <c r="AF96" s="1582"/>
      <c r="AG96" s="1582"/>
      <c r="AH96" s="1582"/>
      <c r="AI96" s="1582"/>
      <c r="AJ96" s="318"/>
      <c r="AK96" s="318"/>
      <c r="AL96" s="318"/>
      <c r="AM96" s="318"/>
      <c r="AN96" s="318"/>
      <c r="AO96" s="442"/>
      <c r="AP96" s="442"/>
      <c r="AQ96" s="442"/>
      <c r="AR96" s="442"/>
      <c r="AS96" s="1549">
        <f t="shared" si="30"/>
        <v>0</v>
      </c>
      <c r="AT96" s="442"/>
      <c r="AU96" s="1088"/>
      <c r="AV96" s="1088">
        <v>0</v>
      </c>
      <c r="AW96" s="318"/>
      <c r="AX96" s="1565">
        <v>3.85</v>
      </c>
      <c r="AY96" s="318"/>
      <c r="AZ96" s="318"/>
      <c r="BA96" s="318"/>
      <c r="BB96" s="442"/>
      <c r="BC96" s="1584" t="s">
        <v>1836</v>
      </c>
      <c r="BD96" s="1555" t="s">
        <v>905</v>
      </c>
    </row>
    <row r="97" spans="1:56" ht="60" customHeight="1" outlineLevel="1">
      <c r="A97" s="1579">
        <v>21.5</v>
      </c>
      <c r="B97" s="1455" t="s">
        <v>1668</v>
      </c>
      <c r="C97" s="1579" t="s">
        <v>904</v>
      </c>
      <c r="D97" s="1579" t="str">
        <f t="shared" si="35"/>
        <v>MERC/CAPEX/MSPGCL/2024-25/0310</v>
      </c>
      <c r="E97" s="1473"/>
      <c r="F97" s="1473">
        <f t="shared" si="36"/>
        <v>45429</v>
      </c>
      <c r="G97" s="1320">
        <v>3.85</v>
      </c>
      <c r="H97" s="1320">
        <v>3.85</v>
      </c>
      <c r="I97" s="9"/>
      <c r="J97" s="9"/>
      <c r="K97" s="1473">
        <f t="shared" si="37"/>
        <v>45429</v>
      </c>
      <c r="L97" s="1321"/>
      <c r="M97" s="1321"/>
      <c r="N97" s="1580"/>
      <c r="O97" s="1558" t="s">
        <v>1669</v>
      </c>
      <c r="P97" s="442"/>
      <c r="Q97" s="442"/>
      <c r="R97" s="442"/>
      <c r="S97" s="442"/>
      <c r="T97" s="1549">
        <f t="shared" si="29"/>
        <v>0</v>
      </c>
      <c r="U97" s="442"/>
      <c r="V97" s="1088"/>
      <c r="W97" s="318">
        <v>0</v>
      </c>
      <c r="X97" s="318"/>
      <c r="Y97" s="1565">
        <v>8.6199999999999992</v>
      </c>
      <c r="Z97" s="318"/>
      <c r="AA97" s="318"/>
      <c r="AB97" s="318"/>
      <c r="AC97" s="1582"/>
      <c r="AD97" s="1582"/>
      <c r="AE97" s="1582"/>
      <c r="AF97" s="1582"/>
      <c r="AG97" s="1582"/>
      <c r="AH97" s="1582"/>
      <c r="AI97" s="1582"/>
      <c r="AJ97" s="318"/>
      <c r="AK97" s="318"/>
      <c r="AL97" s="318"/>
      <c r="AM97" s="318"/>
      <c r="AN97" s="318"/>
      <c r="AO97" s="442"/>
      <c r="AP97" s="442"/>
      <c r="AQ97" s="442"/>
      <c r="AR97" s="442"/>
      <c r="AS97" s="1549">
        <f t="shared" si="30"/>
        <v>0</v>
      </c>
      <c r="AT97" s="442"/>
      <c r="AU97" s="1088"/>
      <c r="AV97" s="1088">
        <v>0</v>
      </c>
      <c r="AW97" s="318"/>
      <c r="AX97" s="1565">
        <v>8.6199999999999992</v>
      </c>
      <c r="AY97" s="318"/>
      <c r="AZ97" s="318"/>
      <c r="BA97" s="318"/>
      <c r="BB97" s="442"/>
      <c r="BC97" s="1584" t="s">
        <v>1837</v>
      </c>
      <c r="BD97" s="1555" t="s">
        <v>905</v>
      </c>
    </row>
    <row r="98" spans="1:56" ht="135" customHeight="1" outlineLevel="1">
      <c r="A98" s="1579">
        <v>21.6</v>
      </c>
      <c r="B98" s="1455" t="s">
        <v>1670</v>
      </c>
      <c r="C98" s="1579" t="s">
        <v>904</v>
      </c>
      <c r="D98" s="1579" t="str">
        <f t="shared" si="35"/>
        <v>MERC/CAPEX/MSPGCL/2024-25/0310</v>
      </c>
      <c r="E98" s="1473"/>
      <c r="F98" s="1473">
        <f t="shared" si="36"/>
        <v>45429</v>
      </c>
      <c r="G98" s="1320">
        <v>8.6199999999999992</v>
      </c>
      <c r="H98" s="1320">
        <v>8.6199999999999992</v>
      </c>
      <c r="I98" s="9"/>
      <c r="J98" s="9"/>
      <c r="K98" s="1473">
        <f t="shared" si="37"/>
        <v>45429</v>
      </c>
      <c r="L98" s="1321"/>
      <c r="M98" s="1321"/>
      <c r="N98" s="1580"/>
      <c r="O98" s="1558" t="s">
        <v>1838</v>
      </c>
      <c r="P98" s="442"/>
      <c r="Q98" s="442"/>
      <c r="R98" s="442"/>
      <c r="S98" s="442"/>
      <c r="T98" s="1549">
        <f t="shared" si="29"/>
        <v>0</v>
      </c>
      <c r="U98" s="442"/>
      <c r="V98" s="1088"/>
      <c r="W98" s="318">
        <v>0</v>
      </c>
      <c r="X98" s="318"/>
      <c r="Y98" s="1565">
        <v>8.06</v>
      </c>
      <c r="Z98" s="318"/>
      <c r="AA98" s="318"/>
      <c r="AB98" s="318"/>
      <c r="AC98" s="1582"/>
      <c r="AD98" s="1582"/>
      <c r="AE98" s="1582"/>
      <c r="AF98" s="1582"/>
      <c r="AG98" s="1582"/>
      <c r="AH98" s="1582"/>
      <c r="AI98" s="1582"/>
      <c r="AJ98" s="318"/>
      <c r="AK98" s="318"/>
      <c r="AL98" s="318"/>
      <c r="AM98" s="318"/>
      <c r="AN98" s="318"/>
      <c r="AO98" s="442"/>
      <c r="AP98" s="442"/>
      <c r="AQ98" s="442"/>
      <c r="AR98" s="442"/>
      <c r="AS98" s="1549">
        <f t="shared" si="30"/>
        <v>0</v>
      </c>
      <c r="AT98" s="442"/>
      <c r="AU98" s="1088"/>
      <c r="AV98" s="1088">
        <v>0</v>
      </c>
      <c r="AW98" s="318"/>
      <c r="AX98" s="1565">
        <v>8.06</v>
      </c>
      <c r="AY98" s="318"/>
      <c r="AZ98" s="318"/>
      <c r="BA98" s="318"/>
      <c r="BB98" s="442"/>
      <c r="BC98" s="1584" t="s">
        <v>1661</v>
      </c>
      <c r="BD98" s="166"/>
    </row>
    <row r="99" spans="1:56" ht="60" customHeight="1" outlineLevel="1">
      <c r="A99" s="1579">
        <v>21.7</v>
      </c>
      <c r="B99" s="1455" t="s">
        <v>1671</v>
      </c>
      <c r="C99" s="1579" t="s">
        <v>904</v>
      </c>
      <c r="D99" s="1579" t="str">
        <f t="shared" si="35"/>
        <v>MERC/CAPEX/MSPGCL/2024-25/0310</v>
      </c>
      <c r="E99" s="1473"/>
      <c r="F99" s="1473">
        <f t="shared" si="36"/>
        <v>45429</v>
      </c>
      <c r="G99" s="1320">
        <v>8.06</v>
      </c>
      <c r="H99" s="1320">
        <v>8.06</v>
      </c>
      <c r="I99" s="9"/>
      <c r="J99" s="9"/>
      <c r="K99" s="1473">
        <f t="shared" si="37"/>
        <v>45429</v>
      </c>
      <c r="L99" s="1321"/>
      <c r="M99" s="1321"/>
      <c r="N99" s="1580"/>
      <c r="O99" s="1558" t="s">
        <v>1672</v>
      </c>
      <c r="P99" s="442"/>
      <c r="Q99" s="442"/>
      <c r="R99" s="442"/>
      <c r="S99" s="442"/>
      <c r="T99" s="1549">
        <f t="shared" si="29"/>
        <v>0</v>
      </c>
      <c r="U99" s="442"/>
      <c r="V99" s="1088"/>
      <c r="W99" s="318">
        <v>0</v>
      </c>
      <c r="X99" s="318"/>
      <c r="Y99" s="1565">
        <v>4.9800000000000004</v>
      </c>
      <c r="Z99" s="318"/>
      <c r="AA99" s="318"/>
      <c r="AB99" s="318"/>
      <c r="AC99" s="1582"/>
      <c r="AD99" s="1582"/>
      <c r="AE99" s="1582"/>
      <c r="AF99" s="1582"/>
      <c r="AG99" s="1582"/>
      <c r="AH99" s="1582"/>
      <c r="AI99" s="1582"/>
      <c r="AJ99" s="318"/>
      <c r="AK99" s="318"/>
      <c r="AL99" s="318"/>
      <c r="AM99" s="318"/>
      <c r="AN99" s="318"/>
      <c r="AO99" s="442"/>
      <c r="AP99" s="442"/>
      <c r="AQ99" s="442"/>
      <c r="AR99" s="442"/>
      <c r="AS99" s="1549">
        <f t="shared" si="30"/>
        <v>0</v>
      </c>
      <c r="AT99" s="442"/>
      <c r="AU99" s="1088"/>
      <c r="AV99" s="1088">
        <v>0</v>
      </c>
      <c r="AW99" s="318"/>
      <c r="AX99" s="1565">
        <v>4.9800000000000004</v>
      </c>
      <c r="AY99" s="318"/>
      <c r="AZ99" s="318"/>
      <c r="BA99" s="318"/>
      <c r="BB99" s="442"/>
      <c r="BC99" s="1584" t="s">
        <v>1839</v>
      </c>
      <c r="BD99" s="1555" t="s">
        <v>905</v>
      </c>
    </row>
    <row r="100" spans="1:56" ht="62" outlineLevel="1">
      <c r="A100" s="1579">
        <v>21.8</v>
      </c>
      <c r="B100" s="1455" t="s">
        <v>1673</v>
      </c>
      <c r="C100" s="1579" t="s">
        <v>904</v>
      </c>
      <c r="D100" s="1579" t="str">
        <f t="shared" si="35"/>
        <v>MERC/CAPEX/MSPGCL/2024-25/0310</v>
      </c>
      <c r="E100" s="1473"/>
      <c r="F100" s="1473">
        <f t="shared" si="36"/>
        <v>45429</v>
      </c>
      <c r="G100" s="1320">
        <v>4.9800000000000004</v>
      </c>
      <c r="H100" s="1320">
        <v>4.9800000000000004</v>
      </c>
      <c r="I100" s="9"/>
      <c r="J100" s="9"/>
      <c r="K100" s="1473">
        <f t="shared" si="37"/>
        <v>45429</v>
      </c>
      <c r="L100" s="1321"/>
      <c r="M100" s="1321"/>
      <c r="N100" s="1580"/>
      <c r="O100" s="1558" t="s">
        <v>1674</v>
      </c>
      <c r="P100" s="442"/>
      <c r="Q100" s="442"/>
      <c r="R100" s="442"/>
      <c r="S100" s="442"/>
      <c r="T100" s="1549">
        <f t="shared" si="29"/>
        <v>0</v>
      </c>
      <c r="U100" s="442"/>
      <c r="V100" s="1088"/>
      <c r="W100" s="318">
        <v>0</v>
      </c>
      <c r="X100" s="318"/>
      <c r="Y100" s="1565">
        <v>3.92</v>
      </c>
      <c r="Z100" s="318"/>
      <c r="AA100" s="318"/>
      <c r="AB100" s="318"/>
      <c r="AC100" s="1582"/>
      <c r="AD100" s="1582"/>
      <c r="AE100" s="1582"/>
      <c r="AF100" s="1582"/>
      <c r="AG100" s="1582"/>
      <c r="AH100" s="1582"/>
      <c r="AI100" s="1582"/>
      <c r="AJ100" s="318"/>
      <c r="AK100" s="318"/>
      <c r="AL100" s="318"/>
      <c r="AM100" s="318"/>
      <c r="AN100" s="318"/>
      <c r="AO100" s="442"/>
      <c r="AP100" s="442"/>
      <c r="AQ100" s="442"/>
      <c r="AR100" s="442"/>
      <c r="AS100" s="1549">
        <f t="shared" si="30"/>
        <v>0</v>
      </c>
      <c r="AT100" s="442"/>
      <c r="AU100" s="1088"/>
      <c r="AV100" s="1088">
        <v>0</v>
      </c>
      <c r="AW100" s="318"/>
      <c r="AX100" s="1565">
        <v>3.92</v>
      </c>
      <c r="AY100" s="318"/>
      <c r="AZ100" s="318"/>
      <c r="BA100" s="318"/>
      <c r="BB100" s="442"/>
      <c r="BC100" s="1584" t="s">
        <v>1836</v>
      </c>
      <c r="BD100" s="1555" t="s">
        <v>905</v>
      </c>
    </row>
    <row r="101" spans="1:56" ht="62" outlineLevel="1">
      <c r="A101" s="1455">
        <v>21.9</v>
      </c>
      <c r="B101" s="1455" t="s">
        <v>1675</v>
      </c>
      <c r="C101" s="1455" t="s">
        <v>904</v>
      </c>
      <c r="D101" s="1579" t="str">
        <f t="shared" si="35"/>
        <v>MERC/CAPEX/MSPGCL/2024-25/0310</v>
      </c>
      <c r="E101" s="1473"/>
      <c r="F101" s="1473">
        <f t="shared" si="36"/>
        <v>45429</v>
      </c>
      <c r="G101" s="1320">
        <v>3.92</v>
      </c>
      <c r="H101" s="1320">
        <v>3.92</v>
      </c>
      <c r="I101" s="9"/>
      <c r="J101" s="9"/>
      <c r="K101" s="1473">
        <f t="shared" si="37"/>
        <v>45429</v>
      </c>
      <c r="L101" s="1321"/>
      <c r="M101" s="1321"/>
      <c r="N101" s="1580"/>
      <c r="O101" s="1558" t="s">
        <v>1676</v>
      </c>
      <c r="P101" s="442"/>
      <c r="Q101" s="442"/>
      <c r="R101" s="442"/>
      <c r="S101" s="442"/>
      <c r="T101" s="1549">
        <f t="shared" si="29"/>
        <v>0</v>
      </c>
      <c r="U101" s="442"/>
      <c r="V101" s="1088"/>
      <c r="W101" s="318">
        <v>0</v>
      </c>
      <c r="X101" s="318"/>
      <c r="Y101" s="1565">
        <v>9.01</v>
      </c>
      <c r="Z101" s="318"/>
      <c r="AA101" s="318"/>
      <c r="AB101" s="318"/>
      <c r="AC101" s="1582"/>
      <c r="AD101" s="1582"/>
      <c r="AE101" s="1582"/>
      <c r="AF101" s="1582"/>
      <c r="AG101" s="1582"/>
      <c r="AH101" s="1582"/>
      <c r="AI101" s="1582"/>
      <c r="AJ101" s="318"/>
      <c r="AK101" s="318"/>
      <c r="AL101" s="318"/>
      <c r="AM101" s="318"/>
      <c r="AN101" s="318"/>
      <c r="AO101" s="442"/>
      <c r="AP101" s="442"/>
      <c r="AQ101" s="442"/>
      <c r="AR101" s="442"/>
      <c r="AS101" s="1549">
        <f t="shared" si="30"/>
        <v>0</v>
      </c>
      <c r="AT101" s="442"/>
      <c r="AU101" s="1088"/>
      <c r="AV101" s="1088">
        <v>0</v>
      </c>
      <c r="AW101" s="318"/>
      <c r="AX101" s="1565">
        <v>9.01</v>
      </c>
      <c r="AY101" s="318"/>
      <c r="AZ101" s="318"/>
      <c r="BA101" s="318"/>
      <c r="BB101" s="442"/>
      <c r="BC101" s="1584" t="s">
        <v>1840</v>
      </c>
      <c r="BD101" s="1555" t="s">
        <v>905</v>
      </c>
    </row>
    <row r="102" spans="1:56" ht="15.5" outlineLevel="1">
      <c r="A102" s="1455"/>
      <c r="B102" s="1455" t="s">
        <v>415</v>
      </c>
      <c r="C102" s="1455"/>
      <c r="D102" s="161"/>
      <c r="E102" s="1321"/>
      <c r="F102" s="1321"/>
      <c r="G102" s="161"/>
      <c r="H102" s="161"/>
      <c r="I102" s="161"/>
      <c r="J102" s="161"/>
      <c r="K102" s="1321"/>
      <c r="L102" s="1321"/>
      <c r="M102" s="1321"/>
      <c r="N102" s="1321"/>
      <c r="O102" s="943"/>
      <c r="P102" s="318"/>
      <c r="Q102" s="318"/>
      <c r="R102" s="318"/>
      <c r="S102" s="318"/>
      <c r="T102" s="1549">
        <f t="shared" si="29"/>
        <v>0</v>
      </c>
      <c r="U102" s="318"/>
      <c r="V102" s="318"/>
      <c r="W102" s="318"/>
      <c r="X102" s="318"/>
      <c r="Y102" s="318">
        <v>0.53</v>
      </c>
      <c r="Z102" s="318"/>
      <c r="AA102" s="318"/>
      <c r="AB102" s="318"/>
      <c r="AC102" s="1508"/>
      <c r="AD102" s="1508"/>
      <c r="AE102" s="1508"/>
      <c r="AF102" s="1508"/>
      <c r="AG102" s="1508"/>
      <c r="AH102" s="1508"/>
      <c r="AI102" s="1508"/>
      <c r="AJ102" s="318"/>
      <c r="AK102" s="318"/>
      <c r="AL102" s="318"/>
      <c r="AM102" s="318"/>
      <c r="AN102" s="318"/>
      <c r="AO102" s="318"/>
      <c r="AP102" s="318"/>
      <c r="AQ102" s="318"/>
      <c r="AR102" s="318"/>
      <c r="AS102" s="1549">
        <f t="shared" si="30"/>
        <v>0</v>
      </c>
      <c r="AT102" s="318"/>
      <c r="AU102" s="318"/>
      <c r="AV102" s="318"/>
      <c r="AW102" s="318"/>
      <c r="AX102" s="96">
        <v>0.53</v>
      </c>
      <c r="AY102" s="318"/>
      <c r="AZ102" s="318"/>
      <c r="BA102" s="318"/>
      <c r="BB102" s="318"/>
      <c r="BC102" s="943"/>
      <c r="BD102" s="1555"/>
    </row>
    <row r="103" spans="1:56" ht="15.5" outlineLevel="1">
      <c r="A103" s="1456"/>
      <c r="B103" s="1456" t="s">
        <v>1677</v>
      </c>
      <c r="C103" s="1456"/>
      <c r="D103" s="1586"/>
      <c r="E103" s="1547"/>
      <c r="F103" s="1321"/>
      <c r="G103" s="1587"/>
      <c r="H103" s="561"/>
      <c r="I103" s="568"/>
      <c r="J103" s="568"/>
      <c r="K103" s="1321"/>
      <c r="L103" s="1290"/>
      <c r="M103" s="1290"/>
      <c r="N103" s="1290"/>
      <c r="O103" s="1588"/>
      <c r="P103" s="318"/>
      <c r="Q103" s="318"/>
      <c r="R103" s="318"/>
      <c r="S103" s="318"/>
      <c r="T103" s="1511">
        <f t="shared" si="29"/>
        <v>0</v>
      </c>
      <c r="U103" s="318"/>
      <c r="V103" s="318"/>
      <c r="W103" s="318"/>
      <c r="X103" s="318"/>
      <c r="Y103" s="318"/>
      <c r="Z103" s="318"/>
      <c r="AA103" s="318"/>
      <c r="AB103" s="318"/>
      <c r="AC103" s="1508"/>
      <c r="AD103" s="1508"/>
      <c r="AE103" s="1508"/>
      <c r="AF103" s="1508"/>
      <c r="AG103" s="1508"/>
      <c r="AH103" s="1508"/>
      <c r="AI103" s="1508"/>
      <c r="AJ103" s="318"/>
      <c r="AK103" s="318"/>
      <c r="AL103" s="318"/>
      <c r="AM103" s="318"/>
      <c r="AN103" s="318"/>
      <c r="AO103" s="318"/>
      <c r="AP103" s="318"/>
      <c r="AQ103" s="318"/>
      <c r="AR103" s="318"/>
      <c r="AS103" s="1511">
        <f t="shared" si="30"/>
        <v>0</v>
      </c>
      <c r="AT103" s="318"/>
      <c r="AU103" s="318"/>
      <c r="AV103" s="318"/>
      <c r="AW103" s="318"/>
      <c r="AX103" s="96"/>
      <c r="AY103" s="318"/>
      <c r="AZ103" s="318"/>
      <c r="BA103" s="318"/>
      <c r="BB103" s="318"/>
      <c r="BC103" s="943"/>
      <c r="BD103" s="1555"/>
    </row>
    <row r="104" spans="1:56" ht="15.5" outlineLevel="1">
      <c r="A104" s="1455"/>
      <c r="B104" s="1455" t="s">
        <v>1678</v>
      </c>
      <c r="C104" s="1455"/>
      <c r="D104" s="1586"/>
      <c r="E104" s="1547"/>
      <c r="F104" s="1321"/>
      <c r="G104" s="1587"/>
      <c r="H104" s="561"/>
      <c r="I104" s="568"/>
      <c r="J104" s="568"/>
      <c r="K104" s="1321"/>
      <c r="L104" s="1290"/>
      <c r="M104" s="1290"/>
      <c r="N104" s="1290"/>
      <c r="O104" s="1588"/>
      <c r="P104" s="318"/>
      <c r="Q104" s="318">
        <v>0.30071745999999999</v>
      </c>
      <c r="R104" s="318"/>
      <c r="S104" s="318"/>
      <c r="T104" s="1511">
        <f t="shared" si="29"/>
        <v>0.30071745999999999</v>
      </c>
      <c r="U104" s="318"/>
      <c r="V104" s="318"/>
      <c r="W104" s="318"/>
      <c r="X104" s="318"/>
      <c r="Y104" s="318"/>
      <c r="Z104" s="318"/>
      <c r="AA104" s="318"/>
      <c r="AB104" s="318"/>
      <c r="AC104" s="1508"/>
      <c r="AD104" s="1508"/>
      <c r="AE104" s="1508"/>
      <c r="AF104" s="1508"/>
      <c r="AG104" s="1508"/>
      <c r="AH104" s="1508"/>
      <c r="AI104" s="1508"/>
      <c r="AJ104" s="318"/>
      <c r="AK104" s="318"/>
      <c r="AL104" s="318"/>
      <c r="AM104" s="318"/>
      <c r="AN104" s="318"/>
      <c r="AO104" s="318"/>
      <c r="AP104" s="318">
        <v>0.30071745999999999</v>
      </c>
      <c r="AQ104" s="318"/>
      <c r="AR104" s="318"/>
      <c r="AS104" s="1511">
        <f t="shared" si="30"/>
        <v>0.30071745999999999</v>
      </c>
      <c r="AT104" s="318"/>
      <c r="AU104" s="318"/>
      <c r="AV104" s="318"/>
      <c r="AW104" s="318"/>
      <c r="AX104" s="318"/>
      <c r="AY104" s="318"/>
      <c r="AZ104" s="318"/>
      <c r="BA104" s="318"/>
      <c r="BB104" s="318"/>
      <c r="BC104" s="943"/>
      <c r="BD104" s="1555"/>
    </row>
    <row r="105" spans="1:56" ht="15.5">
      <c r="A105" s="1455"/>
      <c r="B105" s="1455" t="s">
        <v>1126</v>
      </c>
      <c r="C105" s="1455"/>
      <c r="D105" s="161"/>
      <c r="E105" s="1321"/>
      <c r="F105" s="1321"/>
      <c r="G105" s="161"/>
      <c r="H105" s="161"/>
      <c r="I105" s="568"/>
      <c r="J105" s="568"/>
      <c r="K105" s="1321" t="str">
        <f t="shared" si="28"/>
        <v>-</v>
      </c>
      <c r="L105" s="1321"/>
      <c r="M105" s="1321"/>
      <c r="N105" s="1321"/>
      <c r="O105" s="943"/>
      <c r="P105" s="318"/>
      <c r="Q105" s="318"/>
      <c r="R105" s="318"/>
      <c r="S105" s="318">
        <v>1.0282827000000001</v>
      </c>
      <c r="T105" s="1511">
        <f t="shared" si="29"/>
        <v>1.0282827000000001</v>
      </c>
      <c r="U105" s="318"/>
      <c r="V105" s="318"/>
      <c r="W105" s="318"/>
      <c r="X105" s="318"/>
      <c r="Y105" s="318"/>
      <c r="Z105" s="318"/>
      <c r="AA105" s="318"/>
      <c r="AB105" s="318"/>
      <c r="AC105" s="1508"/>
      <c r="AD105" s="1508"/>
      <c r="AE105" s="1508"/>
      <c r="AF105" s="1508"/>
      <c r="AG105" s="1508"/>
      <c r="AH105" s="1508"/>
      <c r="AI105" s="1508"/>
      <c r="AJ105" s="318"/>
      <c r="AK105" s="318"/>
      <c r="AL105" s="318"/>
      <c r="AM105" s="318"/>
      <c r="AN105" s="318"/>
      <c r="AO105" s="318"/>
      <c r="AP105" s="318"/>
      <c r="AQ105" s="318"/>
      <c r="AR105" s="318">
        <v>1.0282827000000001</v>
      </c>
      <c r="AS105" s="1511">
        <f t="shared" si="30"/>
        <v>1.0282827000000001</v>
      </c>
      <c r="AT105" s="318"/>
      <c r="AU105" s="318"/>
      <c r="AV105" s="318"/>
      <c r="AW105" s="318"/>
      <c r="AX105" s="318"/>
      <c r="AY105" s="318"/>
      <c r="AZ105" s="318"/>
      <c r="BA105" s="318"/>
      <c r="BB105" s="305"/>
      <c r="BC105" s="943"/>
      <c r="BD105" s="1555"/>
    </row>
    <row r="106" spans="1:56" s="1325" customFormat="1" ht="30.25" customHeight="1" outlineLevel="1">
      <c r="A106" s="1456"/>
      <c r="B106" s="1456" t="s">
        <v>1679</v>
      </c>
      <c r="C106" s="1456"/>
      <c r="D106" s="1322"/>
      <c r="E106" s="1323"/>
      <c r="F106" s="1323"/>
      <c r="G106" s="1322"/>
      <c r="H106" s="1322"/>
      <c r="I106" s="1322"/>
      <c r="J106" s="1322"/>
      <c r="K106" s="1323"/>
      <c r="L106" s="1323"/>
      <c r="M106" s="1323"/>
      <c r="N106" s="1323"/>
      <c r="O106" s="1322"/>
      <c r="P106" s="1322"/>
      <c r="Q106" s="1322"/>
      <c r="R106" s="1322"/>
      <c r="S106" s="1322"/>
      <c r="T106" s="1511">
        <f t="shared" si="29"/>
        <v>0</v>
      </c>
      <c r="U106" s="1322"/>
      <c r="V106" s="1322"/>
      <c r="W106" s="1322"/>
      <c r="X106" s="1589"/>
      <c r="Y106" s="1589"/>
      <c r="Z106" s="1589"/>
      <c r="AA106" s="1589"/>
      <c r="AB106" s="1589"/>
      <c r="AC106" s="1589"/>
      <c r="AD106" s="1589"/>
      <c r="AE106" s="1589"/>
      <c r="AF106" s="1589"/>
      <c r="AG106" s="1589"/>
      <c r="AH106" s="1589"/>
      <c r="AI106" s="1590"/>
      <c r="AJ106" s="1590"/>
      <c r="AK106" s="1590"/>
      <c r="AL106" s="1590"/>
      <c r="AM106" s="1590"/>
      <c r="AN106" s="1590"/>
      <c r="AO106" s="1589"/>
      <c r="AP106" s="1589"/>
      <c r="AQ106" s="1589"/>
      <c r="AR106" s="1589"/>
      <c r="AS106" s="1511">
        <f t="shared" si="30"/>
        <v>0</v>
      </c>
      <c r="AT106" s="1589"/>
      <c r="AU106" s="1589"/>
      <c r="AV106" s="1589"/>
      <c r="AW106" s="1589"/>
      <c r="AX106" s="1589"/>
      <c r="AY106" s="1589"/>
      <c r="AZ106" s="1589"/>
      <c r="BA106" s="1589"/>
      <c r="BB106" s="1589"/>
      <c r="BC106" s="1322"/>
      <c r="BD106" s="1324"/>
    </row>
    <row r="107" spans="1:56" s="1330" customFormat="1" ht="30.25" customHeight="1" outlineLevel="1">
      <c r="A107" s="1457"/>
      <c r="B107" s="1457" t="s">
        <v>1680</v>
      </c>
      <c r="C107" s="1457"/>
      <c r="D107" s="1326"/>
      <c r="E107" s="1327"/>
      <c r="F107" s="1327"/>
      <c r="G107" s="1326"/>
      <c r="H107" s="1326"/>
      <c r="I107" s="1326"/>
      <c r="J107" s="1326"/>
      <c r="K107" s="1327"/>
      <c r="L107" s="1327"/>
      <c r="M107" s="1327"/>
      <c r="N107" s="1327"/>
      <c r="O107" s="1328"/>
      <c r="P107" s="1326"/>
      <c r="Q107" s="1326"/>
      <c r="R107" s="1326"/>
      <c r="S107" s="1326"/>
      <c r="T107" s="1511">
        <f t="shared" si="29"/>
        <v>0</v>
      </c>
      <c r="U107" s="1326"/>
      <c r="V107" s="1326"/>
      <c r="W107" s="1326"/>
      <c r="X107" s="1591"/>
      <c r="Y107" s="1591"/>
      <c r="Z107" s="1591"/>
      <c r="AA107" s="1591"/>
      <c r="AB107" s="1591"/>
      <c r="AC107" s="1591"/>
      <c r="AD107" s="1591"/>
      <c r="AE107" s="1591"/>
      <c r="AF107" s="1591"/>
      <c r="AG107" s="1591"/>
      <c r="AH107" s="1591"/>
      <c r="AI107" s="1592"/>
      <c r="AJ107" s="1592"/>
      <c r="AK107" s="1592"/>
      <c r="AL107" s="1592"/>
      <c r="AM107" s="1592"/>
      <c r="AN107" s="1592"/>
      <c r="AO107" s="1591"/>
      <c r="AP107" s="1591"/>
      <c r="AQ107" s="1591"/>
      <c r="AR107" s="1591"/>
      <c r="AS107" s="1511">
        <f t="shared" si="30"/>
        <v>0</v>
      </c>
      <c r="AT107" s="1591"/>
      <c r="AU107" s="1591"/>
      <c r="AV107" s="1591"/>
      <c r="AW107" s="1591"/>
      <c r="AX107" s="1591"/>
      <c r="AY107" s="1591"/>
      <c r="AZ107" s="1591"/>
      <c r="BA107" s="1591"/>
      <c r="BB107" s="1591"/>
      <c r="BC107" s="1328"/>
      <c r="BD107" s="1329"/>
    </row>
    <row r="108" spans="1:56" s="1338" customFormat="1" ht="30.25" customHeight="1" outlineLevel="1">
      <c r="A108" s="1458">
        <v>1</v>
      </c>
      <c r="B108" s="1459" t="s">
        <v>1681</v>
      </c>
      <c r="C108" s="1458" t="s">
        <v>896</v>
      </c>
      <c r="D108" s="1331"/>
      <c r="E108" s="1332"/>
      <c r="F108" s="1332"/>
      <c r="G108" s="1333">
        <f>SUM(G109:G111)</f>
        <v>31.75</v>
      </c>
      <c r="H108" s="1334"/>
      <c r="I108" s="1335"/>
      <c r="J108" s="1335"/>
      <c r="K108" s="1336"/>
      <c r="L108" s="1336"/>
      <c r="M108" s="1336"/>
      <c r="N108" s="1336"/>
      <c r="O108" s="1337"/>
      <c r="P108" s="1335"/>
      <c r="Q108" s="1335"/>
      <c r="R108" s="1335"/>
      <c r="S108" s="1335"/>
      <c r="T108" s="1511">
        <f t="shared" si="29"/>
        <v>0</v>
      </c>
      <c r="U108" s="1335"/>
      <c r="V108" s="1335"/>
      <c r="W108" s="1335"/>
      <c r="X108" s="1333">
        <f t="shared" ref="X108:BA108" si="38">SUM(X109:X111)</f>
        <v>31.75</v>
      </c>
      <c r="Y108" s="1333">
        <f t="shared" si="38"/>
        <v>0</v>
      </c>
      <c r="Z108" s="1333">
        <f t="shared" si="38"/>
        <v>0</v>
      </c>
      <c r="AA108" s="1333">
        <f t="shared" si="38"/>
        <v>0</v>
      </c>
      <c r="AB108" s="1333">
        <f t="shared" si="38"/>
        <v>0</v>
      </c>
      <c r="AC108" s="1333"/>
      <c r="AD108" s="1333"/>
      <c r="AE108" s="1333"/>
      <c r="AF108" s="1333"/>
      <c r="AG108" s="1333"/>
      <c r="AH108" s="1333"/>
      <c r="AI108" s="1333"/>
      <c r="AJ108" s="1333">
        <f t="shared" si="38"/>
        <v>0</v>
      </c>
      <c r="AK108" s="1333">
        <f t="shared" si="38"/>
        <v>0</v>
      </c>
      <c r="AL108" s="1333">
        <f t="shared" si="38"/>
        <v>0</v>
      </c>
      <c r="AM108" s="1333">
        <f t="shared" si="38"/>
        <v>0</v>
      </c>
      <c r="AN108" s="1333">
        <f t="shared" si="38"/>
        <v>0</v>
      </c>
      <c r="AO108" s="1333">
        <f t="shared" si="38"/>
        <v>0</v>
      </c>
      <c r="AP108" s="1333"/>
      <c r="AQ108" s="1333"/>
      <c r="AR108" s="1333"/>
      <c r="AS108" s="1511">
        <f t="shared" si="30"/>
        <v>0</v>
      </c>
      <c r="AT108" s="1333"/>
      <c r="AU108" s="1333"/>
      <c r="AV108" s="1333"/>
      <c r="AW108" s="1333"/>
      <c r="AX108" s="1333">
        <f t="shared" si="38"/>
        <v>0</v>
      </c>
      <c r="AY108" s="1333">
        <f t="shared" si="38"/>
        <v>0</v>
      </c>
      <c r="AZ108" s="1333">
        <f t="shared" si="38"/>
        <v>0</v>
      </c>
      <c r="BA108" s="1333">
        <f t="shared" si="38"/>
        <v>0</v>
      </c>
      <c r="BB108" s="1559"/>
      <c r="BD108" s="1334"/>
    </row>
    <row r="109" spans="1:56" s="1338" customFormat="1" ht="30.25" customHeight="1" outlineLevel="1">
      <c r="A109" s="1455">
        <v>1.1000000000000001</v>
      </c>
      <c r="B109" s="1455" t="s">
        <v>1682</v>
      </c>
      <c r="C109" s="1455" t="s">
        <v>904</v>
      </c>
      <c r="D109" s="1331"/>
      <c r="E109" s="1332"/>
      <c r="F109" s="1332"/>
      <c r="G109" s="1339">
        <v>15.05</v>
      </c>
      <c r="H109" s="1334"/>
      <c r="I109" s="1335"/>
      <c r="J109" s="1335"/>
      <c r="K109" s="1336"/>
      <c r="L109" s="1336"/>
      <c r="M109" s="1336"/>
      <c r="N109" s="1336"/>
      <c r="O109" s="1337" t="s">
        <v>1841</v>
      </c>
      <c r="P109" s="1335"/>
      <c r="Q109" s="1335"/>
      <c r="R109" s="1335"/>
      <c r="S109" s="1335"/>
      <c r="T109" s="1511">
        <f t="shared" si="29"/>
        <v>0</v>
      </c>
      <c r="U109" s="1335"/>
      <c r="V109" s="1335"/>
      <c r="W109" s="1335"/>
      <c r="X109" s="1559">
        <f>G109</f>
        <v>15.05</v>
      </c>
      <c r="Y109" s="1559"/>
      <c r="Z109" s="1559"/>
      <c r="AA109" s="1559"/>
      <c r="AB109" s="1559"/>
      <c r="AC109" s="1559"/>
      <c r="AD109" s="1559"/>
      <c r="AE109" s="1559"/>
      <c r="AF109" s="1559"/>
      <c r="AG109" s="1559"/>
      <c r="AH109" s="1559"/>
      <c r="AI109" s="1593">
        <v>1</v>
      </c>
      <c r="AJ109" s="1594"/>
      <c r="AK109" s="1594"/>
      <c r="AL109" s="1594"/>
      <c r="AM109" s="1594"/>
      <c r="AN109" s="1594"/>
      <c r="AO109" s="1559"/>
      <c r="AP109" s="1559"/>
      <c r="AQ109" s="1559"/>
      <c r="AR109" s="1559"/>
      <c r="AS109" s="1511">
        <f t="shared" si="30"/>
        <v>0</v>
      </c>
      <c r="AT109" s="1559"/>
      <c r="AU109" s="1559"/>
      <c r="AV109" s="1559"/>
      <c r="AW109" s="1559">
        <f>X109</f>
        <v>15.05</v>
      </c>
      <c r="AX109" s="1559"/>
      <c r="AY109" s="1559"/>
      <c r="AZ109" s="1559"/>
      <c r="BA109" s="1559"/>
      <c r="BB109" s="1559"/>
      <c r="BC109" s="1337" t="s">
        <v>1842</v>
      </c>
      <c r="BD109" s="1334"/>
    </row>
    <row r="110" spans="1:56" s="1338" customFormat="1" ht="30.25" customHeight="1" outlineLevel="1">
      <c r="A110" s="1455">
        <v>1.2</v>
      </c>
      <c r="B110" s="1455" t="s">
        <v>1683</v>
      </c>
      <c r="C110" s="1455" t="s">
        <v>904</v>
      </c>
      <c r="D110" s="1331"/>
      <c r="E110" s="1332"/>
      <c r="F110" s="1332"/>
      <c r="G110" s="1339">
        <v>7.45</v>
      </c>
      <c r="H110" s="1334"/>
      <c r="I110" s="1335"/>
      <c r="J110" s="1335"/>
      <c r="K110" s="1336"/>
      <c r="L110" s="1336"/>
      <c r="M110" s="1336"/>
      <c r="N110" s="1336"/>
      <c r="O110" s="1337" t="s">
        <v>1843</v>
      </c>
      <c r="P110" s="1335"/>
      <c r="Q110" s="1335"/>
      <c r="R110" s="1335"/>
      <c r="S110" s="1335"/>
      <c r="T110" s="1511">
        <f t="shared" si="29"/>
        <v>0</v>
      </c>
      <c r="U110" s="1335"/>
      <c r="V110" s="1335"/>
      <c r="W110" s="1335"/>
      <c r="X110" s="1559">
        <f>G110</f>
        <v>7.45</v>
      </c>
      <c r="Y110" s="1559"/>
      <c r="Z110" s="1559"/>
      <c r="AA110" s="1559"/>
      <c r="AB110" s="1559"/>
      <c r="AC110" s="1559"/>
      <c r="AD110" s="1559"/>
      <c r="AE110" s="1559"/>
      <c r="AF110" s="1559"/>
      <c r="AG110" s="1559"/>
      <c r="AH110" s="1559"/>
      <c r="AI110" s="1593">
        <v>1</v>
      </c>
      <c r="AJ110" s="1594"/>
      <c r="AK110" s="1594"/>
      <c r="AL110" s="1594"/>
      <c r="AM110" s="1594"/>
      <c r="AN110" s="1594"/>
      <c r="AO110" s="1559"/>
      <c r="AP110" s="1559"/>
      <c r="AQ110" s="1559"/>
      <c r="AR110" s="1559"/>
      <c r="AS110" s="1511">
        <f t="shared" si="30"/>
        <v>0</v>
      </c>
      <c r="AT110" s="1559"/>
      <c r="AU110" s="1559"/>
      <c r="AV110" s="1559"/>
      <c r="AW110" s="1559">
        <f>X110</f>
        <v>7.45</v>
      </c>
      <c r="AX110" s="1559"/>
      <c r="AY110" s="1559"/>
      <c r="AZ110" s="1559"/>
      <c r="BA110" s="1559"/>
      <c r="BB110" s="1559"/>
      <c r="BC110" s="1337" t="s">
        <v>1842</v>
      </c>
      <c r="BD110" s="1334"/>
    </row>
    <row r="111" spans="1:56" s="1338" customFormat="1" ht="30.25" customHeight="1" outlineLevel="1">
      <c r="A111" s="1455">
        <v>1.3</v>
      </c>
      <c r="B111" s="1455" t="s">
        <v>1684</v>
      </c>
      <c r="C111" s="1455" t="s">
        <v>904</v>
      </c>
      <c r="D111" s="1331"/>
      <c r="E111" s="1332"/>
      <c r="F111" s="1332"/>
      <c r="G111" s="1339">
        <v>9.25</v>
      </c>
      <c r="H111" s="1334"/>
      <c r="I111" s="1335"/>
      <c r="J111" s="1335"/>
      <c r="K111" s="1336"/>
      <c r="L111" s="1336"/>
      <c r="M111" s="1336"/>
      <c r="N111" s="1336"/>
      <c r="O111" s="1337" t="s">
        <v>1844</v>
      </c>
      <c r="P111" s="1335"/>
      <c r="Q111" s="1335"/>
      <c r="R111" s="1335"/>
      <c r="S111" s="1335"/>
      <c r="T111" s="1511">
        <f t="shared" si="29"/>
        <v>0</v>
      </c>
      <c r="U111" s="1335"/>
      <c r="V111" s="1335"/>
      <c r="W111" s="1335"/>
      <c r="X111" s="1559">
        <f>G111</f>
        <v>9.25</v>
      </c>
      <c r="Y111" s="1559"/>
      <c r="Z111" s="1559"/>
      <c r="AA111" s="1559"/>
      <c r="AB111" s="1559"/>
      <c r="AC111" s="1559"/>
      <c r="AD111" s="1559"/>
      <c r="AE111" s="1559"/>
      <c r="AF111" s="1559"/>
      <c r="AG111" s="1559"/>
      <c r="AH111" s="1559"/>
      <c r="AI111" s="1593">
        <v>1</v>
      </c>
      <c r="AJ111" s="1594"/>
      <c r="AK111" s="1594"/>
      <c r="AL111" s="1594"/>
      <c r="AM111" s="1594"/>
      <c r="AN111" s="1594"/>
      <c r="AO111" s="1559"/>
      <c r="AP111" s="1559"/>
      <c r="AQ111" s="1559"/>
      <c r="AR111" s="1559"/>
      <c r="AS111" s="1511">
        <f t="shared" si="30"/>
        <v>0</v>
      </c>
      <c r="AT111" s="1559"/>
      <c r="AU111" s="1559"/>
      <c r="AV111" s="1559"/>
      <c r="AW111" s="1559">
        <f>X111</f>
        <v>9.25</v>
      </c>
      <c r="AX111" s="1559"/>
      <c r="AY111" s="1559"/>
      <c r="AZ111" s="1559"/>
      <c r="BA111" s="1559"/>
      <c r="BB111" s="1559"/>
      <c r="BC111" s="1337" t="s">
        <v>1842</v>
      </c>
      <c r="BD111" s="1334"/>
    </row>
    <row r="112" spans="1:56" s="1338" customFormat="1" ht="30.25" customHeight="1" outlineLevel="1">
      <c r="A112" s="1458">
        <v>2</v>
      </c>
      <c r="B112" s="1459" t="s">
        <v>1685</v>
      </c>
      <c r="C112" s="1458" t="s">
        <v>896</v>
      </c>
      <c r="D112" s="1331"/>
      <c r="E112" s="1332"/>
      <c r="F112" s="1332"/>
      <c r="G112" s="1333">
        <f>SUM(G113:G116)</f>
        <v>83.63000000000001</v>
      </c>
      <c r="H112" s="1334"/>
      <c r="I112" s="1335"/>
      <c r="J112" s="1335"/>
      <c r="K112" s="1336"/>
      <c r="L112" s="1336"/>
      <c r="M112" s="1336"/>
      <c r="N112" s="1336"/>
      <c r="O112" s="1337"/>
      <c r="P112" s="1335"/>
      <c r="Q112" s="1335"/>
      <c r="R112" s="1335"/>
      <c r="S112" s="1335"/>
      <c r="T112" s="1511">
        <f t="shared" si="29"/>
        <v>0</v>
      </c>
      <c r="U112" s="1335"/>
      <c r="V112" s="1335"/>
      <c r="W112" s="1335"/>
      <c r="X112" s="1333">
        <f t="shared" ref="X112:BA112" si="39">SUM(X113:X116)</f>
        <v>83.63000000000001</v>
      </c>
      <c r="Y112" s="1333">
        <f t="shared" si="39"/>
        <v>0</v>
      </c>
      <c r="Z112" s="1333">
        <f t="shared" si="39"/>
        <v>0</v>
      </c>
      <c r="AA112" s="1333">
        <f t="shared" si="39"/>
        <v>0</v>
      </c>
      <c r="AB112" s="1333">
        <f t="shared" si="39"/>
        <v>0</v>
      </c>
      <c r="AC112" s="1333"/>
      <c r="AD112" s="1333"/>
      <c r="AE112" s="1333"/>
      <c r="AF112" s="1333"/>
      <c r="AG112" s="1333"/>
      <c r="AH112" s="1333"/>
      <c r="AI112" s="1333"/>
      <c r="AJ112" s="1333">
        <f t="shared" si="39"/>
        <v>0</v>
      </c>
      <c r="AK112" s="1333">
        <f t="shared" si="39"/>
        <v>0</v>
      </c>
      <c r="AL112" s="1333">
        <f t="shared" si="39"/>
        <v>0</v>
      </c>
      <c r="AM112" s="1333">
        <f t="shared" si="39"/>
        <v>0</v>
      </c>
      <c r="AN112" s="1333">
        <f t="shared" si="39"/>
        <v>0</v>
      </c>
      <c r="AO112" s="1333">
        <f t="shared" si="39"/>
        <v>0</v>
      </c>
      <c r="AP112" s="1333"/>
      <c r="AQ112" s="1333"/>
      <c r="AR112" s="1333"/>
      <c r="AS112" s="1511">
        <f t="shared" si="30"/>
        <v>0</v>
      </c>
      <c r="AT112" s="1333"/>
      <c r="AU112" s="1333"/>
      <c r="AV112" s="1333"/>
      <c r="AW112" s="1333"/>
      <c r="AX112" s="1333">
        <f t="shared" si="39"/>
        <v>0</v>
      </c>
      <c r="AY112" s="1333">
        <f t="shared" si="39"/>
        <v>0</v>
      </c>
      <c r="AZ112" s="1333">
        <f t="shared" si="39"/>
        <v>0</v>
      </c>
      <c r="BA112" s="1333">
        <f t="shared" si="39"/>
        <v>0</v>
      </c>
      <c r="BB112" s="1559"/>
      <c r="BC112" s="1337"/>
      <c r="BD112" s="1334"/>
    </row>
    <row r="113" spans="1:56" s="1338" customFormat="1" ht="30.25" customHeight="1" outlineLevel="1">
      <c r="A113" s="1455">
        <v>2.1</v>
      </c>
      <c r="B113" s="1455" t="s">
        <v>1686</v>
      </c>
      <c r="C113" s="1455" t="s">
        <v>904</v>
      </c>
      <c r="D113" s="1331"/>
      <c r="E113" s="1332"/>
      <c r="F113" s="1332"/>
      <c r="G113" s="1339">
        <v>19.11</v>
      </c>
      <c r="H113" s="1334"/>
      <c r="I113" s="1335"/>
      <c r="J113" s="1335"/>
      <c r="K113" s="1336"/>
      <c r="L113" s="1336"/>
      <c r="M113" s="1336"/>
      <c r="N113" s="1336"/>
      <c r="O113" s="1337" t="s">
        <v>1845</v>
      </c>
      <c r="P113" s="1335"/>
      <c r="Q113" s="1335"/>
      <c r="R113" s="1335"/>
      <c r="S113" s="1335"/>
      <c r="T113" s="1511">
        <f t="shared" si="29"/>
        <v>0</v>
      </c>
      <c r="U113" s="1335"/>
      <c r="V113" s="1335"/>
      <c r="W113" s="1335"/>
      <c r="X113" s="1559">
        <f>G113</f>
        <v>19.11</v>
      </c>
      <c r="Y113" s="1559"/>
      <c r="Z113" s="1559"/>
      <c r="AA113" s="1559"/>
      <c r="AB113" s="1559"/>
      <c r="AC113" s="1559"/>
      <c r="AD113" s="1559"/>
      <c r="AE113" s="1559"/>
      <c r="AF113" s="1559"/>
      <c r="AG113" s="1559"/>
      <c r="AH113" s="1559"/>
      <c r="AI113" s="1593">
        <v>1</v>
      </c>
      <c r="AJ113" s="1594"/>
      <c r="AK113" s="1594"/>
      <c r="AL113" s="1594"/>
      <c r="AM113" s="1594"/>
      <c r="AN113" s="1594"/>
      <c r="AO113" s="1559"/>
      <c r="AP113" s="1559"/>
      <c r="AQ113" s="1559"/>
      <c r="AR113" s="1559"/>
      <c r="AS113" s="1511">
        <f t="shared" si="30"/>
        <v>0</v>
      </c>
      <c r="AT113" s="1559"/>
      <c r="AU113" s="1559"/>
      <c r="AV113" s="1559"/>
      <c r="AW113" s="1559">
        <f>X113</f>
        <v>19.11</v>
      </c>
      <c r="AX113" s="1559"/>
      <c r="AY113" s="1559"/>
      <c r="AZ113" s="1559"/>
      <c r="BA113" s="1559"/>
      <c r="BB113" s="1559"/>
      <c r="BC113" s="1337" t="s">
        <v>1846</v>
      </c>
      <c r="BD113" s="1334"/>
    </row>
    <row r="114" spans="1:56" s="1338" customFormat="1" ht="30.25" customHeight="1" outlineLevel="1">
      <c r="A114" s="1455">
        <v>2.2000000000000002</v>
      </c>
      <c r="B114" s="1455" t="s">
        <v>1687</v>
      </c>
      <c r="C114" s="1455" t="s">
        <v>904</v>
      </c>
      <c r="D114" s="1331"/>
      <c r="E114" s="1332"/>
      <c r="F114" s="1332"/>
      <c r="G114" s="1339">
        <v>47.6</v>
      </c>
      <c r="H114" s="1334"/>
      <c r="I114" s="1335"/>
      <c r="J114" s="1335"/>
      <c r="K114" s="1336"/>
      <c r="L114" s="1336"/>
      <c r="M114" s="1336"/>
      <c r="N114" s="1336"/>
      <c r="O114" s="1337" t="s">
        <v>1845</v>
      </c>
      <c r="P114" s="1335"/>
      <c r="Q114" s="1335"/>
      <c r="R114" s="1335"/>
      <c r="S114" s="1335"/>
      <c r="T114" s="1511">
        <f t="shared" si="29"/>
        <v>0</v>
      </c>
      <c r="U114" s="1335"/>
      <c r="V114" s="1335"/>
      <c r="W114" s="1335"/>
      <c r="X114" s="1559">
        <f>G114</f>
        <v>47.6</v>
      </c>
      <c r="Y114" s="1559"/>
      <c r="Z114" s="1559"/>
      <c r="AA114" s="1559"/>
      <c r="AB114" s="1559"/>
      <c r="AC114" s="1559"/>
      <c r="AD114" s="1559"/>
      <c r="AE114" s="1559"/>
      <c r="AF114" s="1559"/>
      <c r="AG114" s="1559"/>
      <c r="AH114" s="1559"/>
      <c r="AI114" s="1593">
        <v>1</v>
      </c>
      <c r="AJ114" s="1594"/>
      <c r="AK114" s="1594"/>
      <c r="AL114" s="1594"/>
      <c r="AM114" s="1594"/>
      <c r="AN114" s="1594"/>
      <c r="AO114" s="1559"/>
      <c r="AP114" s="1559"/>
      <c r="AQ114" s="1559"/>
      <c r="AR114" s="1559"/>
      <c r="AS114" s="1511">
        <f t="shared" si="30"/>
        <v>0</v>
      </c>
      <c r="AT114" s="1559"/>
      <c r="AU114" s="1559"/>
      <c r="AV114" s="1559"/>
      <c r="AW114" s="1559">
        <f>X114</f>
        <v>47.6</v>
      </c>
      <c r="AX114" s="1559"/>
      <c r="AY114" s="1559"/>
      <c r="AZ114" s="1559"/>
      <c r="BA114" s="1559"/>
      <c r="BB114" s="1559"/>
      <c r="BC114" s="1337" t="s">
        <v>1846</v>
      </c>
      <c r="BD114" s="1334"/>
    </row>
    <row r="115" spans="1:56" s="1338" customFormat="1" ht="30.25" customHeight="1" outlineLevel="1">
      <c r="A115" s="1455">
        <v>2.2999999999999998</v>
      </c>
      <c r="B115" s="1455" t="s">
        <v>1688</v>
      </c>
      <c r="C115" s="1455" t="s">
        <v>904</v>
      </c>
      <c r="D115" s="1331"/>
      <c r="E115" s="1332"/>
      <c r="F115" s="1332"/>
      <c r="G115" s="1339">
        <v>7.55</v>
      </c>
      <c r="H115" s="1334"/>
      <c r="I115" s="1335"/>
      <c r="J115" s="1335"/>
      <c r="K115" s="1336"/>
      <c r="L115" s="1336"/>
      <c r="M115" s="1336"/>
      <c r="N115" s="1336"/>
      <c r="O115" s="1337" t="s">
        <v>1843</v>
      </c>
      <c r="P115" s="1335"/>
      <c r="Q115" s="1335"/>
      <c r="R115" s="1335"/>
      <c r="S115" s="1335"/>
      <c r="T115" s="1511">
        <f t="shared" si="29"/>
        <v>0</v>
      </c>
      <c r="U115" s="1335"/>
      <c r="V115" s="1335"/>
      <c r="W115" s="1335"/>
      <c r="X115" s="1559">
        <f>G115</f>
        <v>7.55</v>
      </c>
      <c r="Y115" s="1559"/>
      <c r="Z115" s="1559"/>
      <c r="AA115" s="1559"/>
      <c r="AB115" s="1559"/>
      <c r="AC115" s="1559"/>
      <c r="AD115" s="1559"/>
      <c r="AE115" s="1559"/>
      <c r="AF115" s="1559"/>
      <c r="AG115" s="1559"/>
      <c r="AH115" s="1559"/>
      <c r="AI115" s="1593">
        <v>1</v>
      </c>
      <c r="AJ115" s="1594"/>
      <c r="AK115" s="1594"/>
      <c r="AL115" s="1594"/>
      <c r="AM115" s="1594"/>
      <c r="AN115" s="1594"/>
      <c r="AO115" s="1559"/>
      <c r="AP115" s="1559"/>
      <c r="AQ115" s="1559"/>
      <c r="AR115" s="1559"/>
      <c r="AS115" s="1511">
        <f t="shared" si="30"/>
        <v>0</v>
      </c>
      <c r="AT115" s="1559"/>
      <c r="AU115" s="1559"/>
      <c r="AV115" s="1559"/>
      <c r="AW115" s="1559">
        <f>X115</f>
        <v>7.55</v>
      </c>
      <c r="AX115" s="1559"/>
      <c r="AY115" s="1559"/>
      <c r="AZ115" s="1559"/>
      <c r="BA115" s="1559"/>
      <c r="BB115" s="1559"/>
      <c r="BC115" s="1337" t="s">
        <v>1846</v>
      </c>
      <c r="BD115" s="1334"/>
    </row>
    <row r="116" spans="1:56" s="1338" customFormat="1" ht="30.25" customHeight="1" outlineLevel="1">
      <c r="A116" s="1455">
        <v>2.4</v>
      </c>
      <c r="B116" s="1455" t="s">
        <v>1689</v>
      </c>
      <c r="C116" s="1455" t="s">
        <v>904</v>
      </c>
      <c r="D116" s="1331"/>
      <c r="E116" s="1332"/>
      <c r="F116" s="1332"/>
      <c r="G116" s="1339">
        <v>9.3699999999999992</v>
      </c>
      <c r="H116" s="1334"/>
      <c r="I116" s="1335"/>
      <c r="J116" s="1335"/>
      <c r="K116" s="1336"/>
      <c r="L116" s="1336"/>
      <c r="M116" s="1336"/>
      <c r="N116" s="1336"/>
      <c r="O116" s="1337" t="s">
        <v>1844</v>
      </c>
      <c r="P116" s="1335"/>
      <c r="Q116" s="1335"/>
      <c r="R116" s="1335"/>
      <c r="S116" s="1335"/>
      <c r="T116" s="1511">
        <f t="shared" si="29"/>
        <v>0</v>
      </c>
      <c r="U116" s="1335"/>
      <c r="V116" s="1335"/>
      <c r="W116" s="1335"/>
      <c r="X116" s="1559">
        <f>G116</f>
        <v>9.3699999999999992</v>
      </c>
      <c r="Y116" s="1559"/>
      <c r="Z116" s="1559"/>
      <c r="AA116" s="1559"/>
      <c r="AB116" s="1559"/>
      <c r="AC116" s="1559"/>
      <c r="AD116" s="1559"/>
      <c r="AE116" s="1559"/>
      <c r="AF116" s="1559"/>
      <c r="AG116" s="1559"/>
      <c r="AH116" s="1559"/>
      <c r="AI116" s="1593">
        <v>1</v>
      </c>
      <c r="AJ116" s="1594"/>
      <c r="AK116" s="1594"/>
      <c r="AL116" s="1594"/>
      <c r="AM116" s="1594"/>
      <c r="AN116" s="1594"/>
      <c r="AO116" s="1559"/>
      <c r="AP116" s="1559"/>
      <c r="AQ116" s="1559"/>
      <c r="AR116" s="1559"/>
      <c r="AS116" s="1511">
        <f t="shared" si="30"/>
        <v>0</v>
      </c>
      <c r="AT116" s="1559"/>
      <c r="AU116" s="1559"/>
      <c r="AV116" s="1559"/>
      <c r="AW116" s="1559">
        <f>X116</f>
        <v>9.3699999999999992</v>
      </c>
      <c r="AX116" s="1559"/>
      <c r="AY116" s="1559"/>
      <c r="AZ116" s="1559"/>
      <c r="BA116" s="1559"/>
      <c r="BB116" s="1559"/>
      <c r="BC116" s="1337" t="s">
        <v>1846</v>
      </c>
      <c r="BD116" s="1334"/>
    </row>
    <row r="117" spans="1:56" s="1338" customFormat="1" ht="30.25" customHeight="1" outlineLevel="1">
      <c r="A117" s="1458">
        <v>3</v>
      </c>
      <c r="B117" s="1459" t="s">
        <v>1690</v>
      </c>
      <c r="C117" s="1458" t="s">
        <v>896</v>
      </c>
      <c r="D117" s="1331"/>
      <c r="E117" s="1332"/>
      <c r="F117" s="1332"/>
      <c r="G117" s="1340">
        <f>SUM(G118:G123)</f>
        <v>41.4</v>
      </c>
      <c r="H117" s="1334"/>
      <c r="I117" s="1335"/>
      <c r="J117" s="1335"/>
      <c r="K117" s="1336"/>
      <c r="L117" s="1336"/>
      <c r="M117" s="1336"/>
      <c r="N117" s="1336"/>
      <c r="O117" s="1337"/>
      <c r="P117" s="1335"/>
      <c r="Q117" s="1335"/>
      <c r="R117" s="1335"/>
      <c r="S117" s="1335"/>
      <c r="T117" s="1511">
        <f t="shared" si="29"/>
        <v>0</v>
      </c>
      <c r="U117" s="1335"/>
      <c r="V117" s="1335"/>
      <c r="W117" s="1335"/>
      <c r="X117" s="1340">
        <f t="shared" ref="X117:BA117" si="40">SUM(X118:X123)</f>
        <v>41.4</v>
      </c>
      <c r="Y117" s="1340">
        <f t="shared" si="40"/>
        <v>0</v>
      </c>
      <c r="Z117" s="1340">
        <f t="shared" si="40"/>
        <v>0</v>
      </c>
      <c r="AA117" s="1340">
        <f t="shared" si="40"/>
        <v>0</v>
      </c>
      <c r="AB117" s="1340">
        <f t="shared" si="40"/>
        <v>0</v>
      </c>
      <c r="AC117" s="1340"/>
      <c r="AD117" s="1340"/>
      <c r="AE117" s="1340"/>
      <c r="AF117" s="1340"/>
      <c r="AG117" s="1340"/>
      <c r="AH117" s="1340"/>
      <c r="AI117" s="1340"/>
      <c r="AJ117" s="1340">
        <f t="shared" si="40"/>
        <v>0</v>
      </c>
      <c r="AK117" s="1340">
        <f t="shared" si="40"/>
        <v>0</v>
      </c>
      <c r="AL117" s="1340">
        <f t="shared" si="40"/>
        <v>0</v>
      </c>
      <c r="AM117" s="1340">
        <f t="shared" si="40"/>
        <v>0</v>
      </c>
      <c r="AN117" s="1340">
        <f t="shared" si="40"/>
        <v>0</v>
      </c>
      <c r="AO117" s="1340">
        <f t="shared" si="40"/>
        <v>0</v>
      </c>
      <c r="AP117" s="1340"/>
      <c r="AQ117" s="1340"/>
      <c r="AR117" s="1340"/>
      <c r="AS117" s="1511">
        <f t="shared" si="30"/>
        <v>0</v>
      </c>
      <c r="AT117" s="1340"/>
      <c r="AU117" s="1340"/>
      <c r="AV117" s="1340"/>
      <c r="AW117" s="1340"/>
      <c r="AX117" s="1340">
        <f t="shared" si="40"/>
        <v>0</v>
      </c>
      <c r="AY117" s="1340">
        <f t="shared" si="40"/>
        <v>0</v>
      </c>
      <c r="AZ117" s="1340">
        <f t="shared" si="40"/>
        <v>0</v>
      </c>
      <c r="BA117" s="1340">
        <f t="shared" si="40"/>
        <v>0</v>
      </c>
      <c r="BB117" s="1559"/>
      <c r="BC117" s="1337"/>
      <c r="BD117" s="1334"/>
    </row>
    <row r="118" spans="1:56" s="1338" customFormat="1" ht="30.25" customHeight="1" outlineLevel="1">
      <c r="A118" s="1455">
        <v>3.1</v>
      </c>
      <c r="B118" s="1455" t="s">
        <v>1691</v>
      </c>
      <c r="C118" s="1455" t="s">
        <v>904</v>
      </c>
      <c r="D118" s="1331"/>
      <c r="E118" s="1332"/>
      <c r="F118" s="1332"/>
      <c r="G118" s="1595">
        <v>2.4</v>
      </c>
      <c r="H118" s="1334"/>
      <c r="I118" s="1335"/>
      <c r="J118" s="1335"/>
      <c r="K118" s="1336"/>
      <c r="L118" s="1336"/>
      <c r="M118" s="1336"/>
      <c r="N118" s="1336"/>
      <c r="O118" s="1337" t="s">
        <v>1847</v>
      </c>
      <c r="P118" s="1335"/>
      <c r="Q118" s="1335"/>
      <c r="R118" s="1335"/>
      <c r="S118" s="1335"/>
      <c r="T118" s="1511">
        <f t="shared" si="29"/>
        <v>0</v>
      </c>
      <c r="U118" s="1335"/>
      <c r="V118" s="1335"/>
      <c r="W118" s="1335"/>
      <c r="X118" s="1559">
        <f t="shared" ref="X118:X123" si="41">G118</f>
        <v>2.4</v>
      </c>
      <c r="Y118" s="1559"/>
      <c r="Z118" s="1559"/>
      <c r="AA118" s="1559"/>
      <c r="AB118" s="1559"/>
      <c r="AC118" s="1559"/>
      <c r="AD118" s="1559"/>
      <c r="AE118" s="1559"/>
      <c r="AF118" s="1559"/>
      <c r="AG118" s="1559"/>
      <c r="AH118" s="1559"/>
      <c r="AI118" s="1593">
        <v>1</v>
      </c>
      <c r="AJ118" s="1594"/>
      <c r="AK118" s="1594"/>
      <c r="AL118" s="1594"/>
      <c r="AM118" s="1594"/>
      <c r="AN118" s="1594"/>
      <c r="AO118" s="1559"/>
      <c r="AP118" s="1559"/>
      <c r="AQ118" s="1559"/>
      <c r="AR118" s="1559"/>
      <c r="AS118" s="1511">
        <f t="shared" si="30"/>
        <v>0</v>
      </c>
      <c r="AT118" s="1559"/>
      <c r="AU118" s="1559"/>
      <c r="AV118" s="1559"/>
      <c r="AW118" s="1559">
        <f t="shared" ref="AW118:AW123" si="42">X118</f>
        <v>2.4</v>
      </c>
      <c r="AX118" s="1559"/>
      <c r="AY118" s="1559"/>
      <c r="AZ118" s="1559"/>
      <c r="BA118" s="1559"/>
      <c r="BB118" s="1559"/>
      <c r="BC118" s="1337" t="s">
        <v>1846</v>
      </c>
      <c r="BD118" s="1334"/>
    </row>
    <row r="119" spans="1:56" s="1338" customFormat="1" ht="30.25" customHeight="1" outlineLevel="1">
      <c r="A119" s="1455">
        <v>3.2</v>
      </c>
      <c r="B119" s="1455" t="s">
        <v>1692</v>
      </c>
      <c r="C119" s="1455" t="s">
        <v>904</v>
      </c>
      <c r="D119" s="1331"/>
      <c r="E119" s="1332"/>
      <c r="F119" s="1332"/>
      <c r="G119" s="1595">
        <v>2</v>
      </c>
      <c r="H119" s="1334"/>
      <c r="I119" s="1335"/>
      <c r="J119" s="1335"/>
      <c r="K119" s="1336"/>
      <c r="L119" s="1336"/>
      <c r="M119" s="1336"/>
      <c r="N119" s="1336"/>
      <c r="O119" s="1337" t="s">
        <v>1848</v>
      </c>
      <c r="P119" s="1335"/>
      <c r="Q119" s="1335"/>
      <c r="R119" s="1335"/>
      <c r="S119" s="1335"/>
      <c r="T119" s="1511">
        <f t="shared" si="29"/>
        <v>0</v>
      </c>
      <c r="U119" s="1335"/>
      <c r="V119" s="1335"/>
      <c r="W119" s="1335"/>
      <c r="X119" s="1559">
        <f t="shared" si="41"/>
        <v>2</v>
      </c>
      <c r="Y119" s="1559"/>
      <c r="Z119" s="1559"/>
      <c r="AA119" s="1559"/>
      <c r="AB119" s="1559"/>
      <c r="AC119" s="1559"/>
      <c r="AD119" s="1559"/>
      <c r="AE119" s="1559"/>
      <c r="AF119" s="1559"/>
      <c r="AG119" s="1559"/>
      <c r="AH119" s="1559"/>
      <c r="AI119" s="1593">
        <v>1</v>
      </c>
      <c r="AJ119" s="1594"/>
      <c r="AK119" s="1594"/>
      <c r="AL119" s="1594"/>
      <c r="AM119" s="1594"/>
      <c r="AN119" s="1594"/>
      <c r="AO119" s="1559"/>
      <c r="AP119" s="1559"/>
      <c r="AQ119" s="1559"/>
      <c r="AR119" s="1559"/>
      <c r="AS119" s="1511">
        <f t="shared" si="30"/>
        <v>0</v>
      </c>
      <c r="AT119" s="1559"/>
      <c r="AU119" s="1559"/>
      <c r="AV119" s="1559"/>
      <c r="AW119" s="1559">
        <f t="shared" si="42"/>
        <v>2</v>
      </c>
      <c r="AX119" s="1559"/>
      <c r="AY119" s="1559"/>
      <c r="AZ119" s="1559"/>
      <c r="BA119" s="1559"/>
      <c r="BB119" s="1559"/>
      <c r="BC119" s="1337" t="s">
        <v>1846</v>
      </c>
      <c r="BD119" s="1334"/>
    </row>
    <row r="120" spans="1:56" s="1338" customFormat="1" ht="30.25" customHeight="1" outlineLevel="1">
      <c r="A120" s="1455">
        <v>3.3</v>
      </c>
      <c r="B120" s="1455" t="s">
        <v>1693</v>
      </c>
      <c r="C120" s="1455" t="s">
        <v>904</v>
      </c>
      <c r="D120" s="1331"/>
      <c r="E120" s="1332"/>
      <c r="F120" s="1332"/>
      <c r="G120" s="1595">
        <v>3</v>
      </c>
      <c r="H120" s="1334"/>
      <c r="I120" s="1335"/>
      <c r="J120" s="1335"/>
      <c r="K120" s="1336"/>
      <c r="L120" s="1336"/>
      <c r="M120" s="1336"/>
      <c r="N120" s="1336"/>
      <c r="O120" s="1337" t="s">
        <v>1848</v>
      </c>
      <c r="P120" s="1335"/>
      <c r="Q120" s="1335"/>
      <c r="R120" s="1335"/>
      <c r="S120" s="1335"/>
      <c r="T120" s="1511">
        <f t="shared" si="29"/>
        <v>0</v>
      </c>
      <c r="U120" s="1335"/>
      <c r="V120" s="1335"/>
      <c r="W120" s="1335"/>
      <c r="X120" s="1559">
        <f t="shared" si="41"/>
        <v>3</v>
      </c>
      <c r="Y120" s="1559"/>
      <c r="Z120" s="1559"/>
      <c r="AA120" s="1559"/>
      <c r="AB120" s="1559"/>
      <c r="AC120" s="1559"/>
      <c r="AD120" s="1559"/>
      <c r="AE120" s="1559"/>
      <c r="AF120" s="1559"/>
      <c r="AG120" s="1559"/>
      <c r="AH120" s="1559"/>
      <c r="AI120" s="1593">
        <v>1</v>
      </c>
      <c r="AJ120" s="1594"/>
      <c r="AK120" s="1594"/>
      <c r="AL120" s="1594"/>
      <c r="AM120" s="1594"/>
      <c r="AN120" s="1594"/>
      <c r="AO120" s="1559"/>
      <c r="AP120" s="1559"/>
      <c r="AQ120" s="1559"/>
      <c r="AR120" s="1559"/>
      <c r="AS120" s="1511">
        <f t="shared" si="30"/>
        <v>0</v>
      </c>
      <c r="AT120" s="1559"/>
      <c r="AU120" s="1559"/>
      <c r="AV120" s="1559"/>
      <c r="AW120" s="1559">
        <f t="shared" si="42"/>
        <v>3</v>
      </c>
      <c r="AX120" s="1559"/>
      <c r="AY120" s="1559"/>
      <c r="AZ120" s="1559"/>
      <c r="BA120" s="1559"/>
      <c r="BB120" s="1559"/>
      <c r="BC120" s="1337" t="s">
        <v>1846</v>
      </c>
      <c r="BD120" s="1334"/>
    </row>
    <row r="121" spans="1:56" s="1338" customFormat="1" ht="30.25" customHeight="1" outlineLevel="1">
      <c r="A121" s="1455">
        <v>3.4</v>
      </c>
      <c r="B121" s="1455" t="s">
        <v>1694</v>
      </c>
      <c r="C121" s="1455" t="s">
        <v>904</v>
      </c>
      <c r="D121" s="1331"/>
      <c r="E121" s="1332"/>
      <c r="F121" s="1332"/>
      <c r="G121" s="1595">
        <v>2</v>
      </c>
      <c r="H121" s="1334"/>
      <c r="I121" s="1335"/>
      <c r="J121" s="1335"/>
      <c r="K121" s="1336"/>
      <c r="L121" s="1336"/>
      <c r="M121" s="1336"/>
      <c r="N121" s="1336"/>
      <c r="O121" s="1337" t="s">
        <v>1848</v>
      </c>
      <c r="P121" s="1335"/>
      <c r="Q121" s="1335"/>
      <c r="R121" s="1335"/>
      <c r="S121" s="1335"/>
      <c r="T121" s="1511">
        <f t="shared" si="29"/>
        <v>0</v>
      </c>
      <c r="U121" s="1335"/>
      <c r="V121" s="1335"/>
      <c r="W121" s="1335"/>
      <c r="X121" s="1559">
        <f t="shared" si="41"/>
        <v>2</v>
      </c>
      <c r="Y121" s="1559"/>
      <c r="Z121" s="1559"/>
      <c r="AA121" s="1559"/>
      <c r="AB121" s="1559"/>
      <c r="AC121" s="1559"/>
      <c r="AD121" s="1559"/>
      <c r="AE121" s="1559"/>
      <c r="AF121" s="1559"/>
      <c r="AG121" s="1559"/>
      <c r="AH121" s="1559"/>
      <c r="AI121" s="1593">
        <v>1</v>
      </c>
      <c r="AJ121" s="1594"/>
      <c r="AK121" s="1594"/>
      <c r="AL121" s="1594"/>
      <c r="AM121" s="1594"/>
      <c r="AN121" s="1594"/>
      <c r="AO121" s="1559"/>
      <c r="AP121" s="1559"/>
      <c r="AQ121" s="1559"/>
      <c r="AR121" s="1559"/>
      <c r="AS121" s="1511">
        <f t="shared" si="30"/>
        <v>0</v>
      </c>
      <c r="AT121" s="1559"/>
      <c r="AU121" s="1559"/>
      <c r="AV121" s="1559"/>
      <c r="AW121" s="1559">
        <f t="shared" si="42"/>
        <v>2</v>
      </c>
      <c r="AX121" s="1559"/>
      <c r="AY121" s="1559"/>
      <c r="AZ121" s="1559"/>
      <c r="BA121" s="1559"/>
      <c r="BB121" s="1559"/>
      <c r="BC121" s="1337" t="s">
        <v>1846</v>
      </c>
      <c r="BD121" s="1334"/>
    </row>
    <row r="122" spans="1:56" s="1338" customFormat="1" ht="30.25" customHeight="1" outlineLevel="1">
      <c r="A122" s="1455">
        <v>3.5</v>
      </c>
      <c r="B122" s="1455" t="s">
        <v>1695</v>
      </c>
      <c r="C122" s="1455" t="s">
        <v>904</v>
      </c>
      <c r="D122" s="1341"/>
      <c r="E122" s="1342"/>
      <c r="F122" s="1342"/>
      <c r="G122" s="1343">
        <v>30</v>
      </c>
      <c r="H122" s="1334"/>
      <c r="I122" s="1335"/>
      <c r="J122" s="1335"/>
      <c r="K122" s="1336"/>
      <c r="L122" s="1336"/>
      <c r="M122" s="1336"/>
      <c r="N122" s="1336"/>
      <c r="O122" s="1337" t="s">
        <v>1849</v>
      </c>
      <c r="P122" s="1335"/>
      <c r="Q122" s="1335"/>
      <c r="R122" s="1335"/>
      <c r="S122" s="1335"/>
      <c r="T122" s="1511">
        <f t="shared" si="29"/>
        <v>0</v>
      </c>
      <c r="U122" s="1335"/>
      <c r="V122" s="1335"/>
      <c r="W122" s="1335"/>
      <c r="X122" s="1559">
        <f t="shared" si="41"/>
        <v>30</v>
      </c>
      <c r="Y122" s="1559"/>
      <c r="Z122" s="1559"/>
      <c r="AA122" s="1559"/>
      <c r="AB122" s="1559"/>
      <c r="AC122" s="1559"/>
      <c r="AD122" s="1559"/>
      <c r="AE122" s="1559"/>
      <c r="AF122" s="1559"/>
      <c r="AG122" s="1559"/>
      <c r="AH122" s="1559"/>
      <c r="AI122" s="1593">
        <v>1</v>
      </c>
      <c r="AJ122" s="1594"/>
      <c r="AK122" s="1594"/>
      <c r="AL122" s="1594"/>
      <c r="AM122" s="1594"/>
      <c r="AN122" s="1594"/>
      <c r="AO122" s="1559"/>
      <c r="AP122" s="1559"/>
      <c r="AQ122" s="1559"/>
      <c r="AR122" s="1559"/>
      <c r="AS122" s="1511">
        <f t="shared" si="30"/>
        <v>0</v>
      </c>
      <c r="AT122" s="1559"/>
      <c r="AU122" s="1559"/>
      <c r="AV122" s="1559"/>
      <c r="AW122" s="1559">
        <f t="shared" si="42"/>
        <v>30</v>
      </c>
      <c r="AX122" s="1559"/>
      <c r="AY122" s="1559"/>
      <c r="AZ122" s="1559"/>
      <c r="BA122" s="1559"/>
      <c r="BB122" s="1559"/>
      <c r="BC122" s="1337" t="s">
        <v>1846</v>
      </c>
      <c r="BD122" s="1334"/>
    </row>
    <row r="123" spans="1:56" s="1338" customFormat="1" ht="30.25" customHeight="1" outlineLevel="1">
      <c r="A123" s="1455">
        <v>3.6</v>
      </c>
      <c r="B123" s="1455" t="s">
        <v>1696</v>
      </c>
      <c r="C123" s="1455"/>
      <c r="D123" s="1331"/>
      <c r="E123" s="1332"/>
      <c r="F123" s="1332"/>
      <c r="G123" s="1595">
        <v>2</v>
      </c>
      <c r="H123" s="1334"/>
      <c r="I123" s="1335"/>
      <c r="J123" s="1335"/>
      <c r="K123" s="1336"/>
      <c r="L123" s="1336"/>
      <c r="M123" s="1336"/>
      <c r="N123" s="1336"/>
      <c r="O123" s="1337" t="s">
        <v>1850</v>
      </c>
      <c r="P123" s="1335"/>
      <c r="Q123" s="1335"/>
      <c r="R123" s="1335"/>
      <c r="S123" s="1335"/>
      <c r="T123" s="1511">
        <f t="shared" si="29"/>
        <v>0</v>
      </c>
      <c r="U123" s="1335"/>
      <c r="V123" s="1335"/>
      <c r="W123" s="1335"/>
      <c r="X123" s="1559">
        <f t="shared" si="41"/>
        <v>2</v>
      </c>
      <c r="Y123" s="1559"/>
      <c r="Z123" s="1559"/>
      <c r="AA123" s="1559"/>
      <c r="AB123" s="1559"/>
      <c r="AC123" s="1559"/>
      <c r="AD123" s="1559"/>
      <c r="AE123" s="1559"/>
      <c r="AF123" s="1559"/>
      <c r="AG123" s="1559"/>
      <c r="AH123" s="1559"/>
      <c r="AI123" s="1593">
        <v>1</v>
      </c>
      <c r="AJ123" s="1594"/>
      <c r="AK123" s="1594"/>
      <c r="AL123" s="1594"/>
      <c r="AM123" s="1594"/>
      <c r="AN123" s="1594"/>
      <c r="AO123" s="1559"/>
      <c r="AP123" s="1559"/>
      <c r="AQ123" s="1559"/>
      <c r="AR123" s="1559"/>
      <c r="AS123" s="1511">
        <f t="shared" si="30"/>
        <v>0</v>
      </c>
      <c r="AT123" s="1559"/>
      <c r="AU123" s="1559"/>
      <c r="AV123" s="1559"/>
      <c r="AW123" s="1559">
        <f t="shared" si="42"/>
        <v>2</v>
      </c>
      <c r="AX123" s="1559"/>
      <c r="AY123" s="1559"/>
      <c r="AZ123" s="1559"/>
      <c r="BA123" s="1559"/>
      <c r="BB123" s="1559"/>
      <c r="BC123" s="1337" t="s">
        <v>1846</v>
      </c>
      <c r="BD123" s="1334"/>
    </row>
    <row r="124" spans="1:56" s="1338" customFormat="1" ht="30.25" customHeight="1" outlineLevel="1">
      <c r="A124" s="1458">
        <v>4</v>
      </c>
      <c r="B124" s="1459" t="s">
        <v>1697</v>
      </c>
      <c r="C124" s="1458" t="s">
        <v>896</v>
      </c>
      <c r="D124" s="1331"/>
      <c r="E124" s="1332"/>
      <c r="F124" s="1332"/>
      <c r="G124" s="1333">
        <f>SUM(G125:G129)</f>
        <v>10.76</v>
      </c>
      <c r="H124" s="1334"/>
      <c r="I124" s="1335"/>
      <c r="J124" s="1335"/>
      <c r="K124" s="1336"/>
      <c r="L124" s="1336"/>
      <c r="M124" s="1336"/>
      <c r="N124" s="1336"/>
      <c r="O124" s="1337"/>
      <c r="P124" s="1335"/>
      <c r="Q124" s="1335"/>
      <c r="R124" s="1335"/>
      <c r="S124" s="1335"/>
      <c r="T124" s="1511">
        <f t="shared" si="29"/>
        <v>0</v>
      </c>
      <c r="U124" s="1335"/>
      <c r="V124" s="1335"/>
      <c r="W124" s="1335"/>
      <c r="X124" s="1333">
        <f t="shared" ref="X124:BA124" si="43">SUM(X125:X129)</f>
        <v>10.76</v>
      </c>
      <c r="Y124" s="1333">
        <f t="shared" si="43"/>
        <v>0</v>
      </c>
      <c r="Z124" s="1333">
        <f t="shared" si="43"/>
        <v>0</v>
      </c>
      <c r="AA124" s="1333">
        <f t="shared" si="43"/>
        <v>0</v>
      </c>
      <c r="AB124" s="1333">
        <f t="shared" si="43"/>
        <v>0</v>
      </c>
      <c r="AC124" s="1333"/>
      <c r="AD124" s="1333"/>
      <c r="AE124" s="1333"/>
      <c r="AF124" s="1333"/>
      <c r="AG124" s="1333"/>
      <c r="AH124" s="1333"/>
      <c r="AI124" s="1333"/>
      <c r="AJ124" s="1333">
        <f t="shared" si="43"/>
        <v>0</v>
      </c>
      <c r="AK124" s="1333">
        <f t="shared" si="43"/>
        <v>0</v>
      </c>
      <c r="AL124" s="1333">
        <f t="shared" si="43"/>
        <v>0</v>
      </c>
      <c r="AM124" s="1333">
        <f t="shared" si="43"/>
        <v>0</v>
      </c>
      <c r="AN124" s="1333">
        <f t="shared" si="43"/>
        <v>0</v>
      </c>
      <c r="AO124" s="1333">
        <f t="shared" si="43"/>
        <v>0</v>
      </c>
      <c r="AP124" s="1333"/>
      <c r="AQ124" s="1333"/>
      <c r="AR124" s="1333"/>
      <c r="AS124" s="1511">
        <f t="shared" si="30"/>
        <v>0</v>
      </c>
      <c r="AT124" s="1333"/>
      <c r="AU124" s="1333"/>
      <c r="AV124" s="1333"/>
      <c r="AW124" s="1333"/>
      <c r="AX124" s="1333">
        <f t="shared" si="43"/>
        <v>0</v>
      </c>
      <c r="AY124" s="1333">
        <f t="shared" si="43"/>
        <v>0</v>
      </c>
      <c r="AZ124" s="1333">
        <f t="shared" si="43"/>
        <v>0</v>
      </c>
      <c r="BA124" s="1333">
        <f t="shared" si="43"/>
        <v>0</v>
      </c>
      <c r="BB124" s="1559"/>
      <c r="BC124" s="1337"/>
      <c r="BD124" s="1334"/>
    </row>
    <row r="125" spans="1:56" s="1338" customFormat="1" ht="30.25" customHeight="1" outlineLevel="1">
      <c r="A125" s="1455">
        <v>4.0999999999999996</v>
      </c>
      <c r="B125" s="1455" t="s">
        <v>1698</v>
      </c>
      <c r="C125" s="1455" t="s">
        <v>904</v>
      </c>
      <c r="D125" s="1331"/>
      <c r="E125" s="1332"/>
      <c r="F125" s="1332"/>
      <c r="G125" s="1595">
        <v>0.86</v>
      </c>
      <c r="H125" s="1334"/>
      <c r="I125" s="1335"/>
      <c r="J125" s="1335"/>
      <c r="K125" s="1336"/>
      <c r="L125" s="1336"/>
      <c r="M125" s="1336"/>
      <c r="N125" s="1336"/>
      <c r="O125" s="1337" t="s">
        <v>1851</v>
      </c>
      <c r="P125" s="1335"/>
      <c r="Q125" s="1335"/>
      <c r="R125" s="1335"/>
      <c r="S125" s="1335"/>
      <c r="T125" s="1511">
        <f t="shared" si="29"/>
        <v>0</v>
      </c>
      <c r="U125" s="1335"/>
      <c r="V125" s="1335"/>
      <c r="W125" s="1335"/>
      <c r="X125" s="1559">
        <f>G125</f>
        <v>0.86</v>
      </c>
      <c r="Y125" s="1559"/>
      <c r="Z125" s="1559"/>
      <c r="AA125" s="1559"/>
      <c r="AB125" s="1559"/>
      <c r="AC125" s="1559"/>
      <c r="AD125" s="1559"/>
      <c r="AE125" s="1559"/>
      <c r="AF125" s="1559"/>
      <c r="AG125" s="1559"/>
      <c r="AH125" s="1559"/>
      <c r="AI125" s="1593">
        <v>1</v>
      </c>
      <c r="AJ125" s="1594"/>
      <c r="AK125" s="1594"/>
      <c r="AL125" s="1594"/>
      <c r="AM125" s="1594"/>
      <c r="AN125" s="1594"/>
      <c r="AO125" s="1559"/>
      <c r="AP125" s="1559"/>
      <c r="AQ125" s="1559"/>
      <c r="AR125" s="1559"/>
      <c r="AS125" s="1511">
        <f t="shared" si="30"/>
        <v>0</v>
      </c>
      <c r="AT125" s="1559"/>
      <c r="AU125" s="1559"/>
      <c r="AV125" s="1559"/>
      <c r="AW125" s="1559">
        <f>X125</f>
        <v>0.86</v>
      </c>
      <c r="AX125" s="1559"/>
      <c r="AY125" s="1559"/>
      <c r="AZ125" s="1559"/>
      <c r="BA125" s="1559"/>
      <c r="BB125" s="1559"/>
      <c r="BC125" s="1832" t="s">
        <v>1852</v>
      </c>
      <c r="BD125" s="1334"/>
    </row>
    <row r="126" spans="1:56" s="1338" customFormat="1" ht="30.25" customHeight="1" outlineLevel="1">
      <c r="A126" s="1455">
        <v>4.2</v>
      </c>
      <c r="B126" s="1455" t="s">
        <v>1699</v>
      </c>
      <c r="C126" s="1455" t="s">
        <v>904</v>
      </c>
      <c r="D126" s="1331"/>
      <c r="E126" s="1332"/>
      <c r="F126" s="1332"/>
      <c r="G126" s="1595">
        <v>0.43</v>
      </c>
      <c r="H126" s="1334"/>
      <c r="I126" s="1335"/>
      <c r="J126" s="1335"/>
      <c r="K126" s="1336"/>
      <c r="L126" s="1336"/>
      <c r="M126" s="1336"/>
      <c r="N126" s="1336"/>
      <c r="O126" s="1337" t="s">
        <v>1853</v>
      </c>
      <c r="P126" s="1335"/>
      <c r="Q126" s="1335"/>
      <c r="R126" s="1335"/>
      <c r="S126" s="1335"/>
      <c r="T126" s="1511">
        <f t="shared" si="29"/>
        <v>0</v>
      </c>
      <c r="U126" s="1335"/>
      <c r="V126" s="1335"/>
      <c r="W126" s="1335"/>
      <c r="X126" s="1559">
        <f>G126</f>
        <v>0.43</v>
      </c>
      <c r="Y126" s="1559"/>
      <c r="Z126" s="1559"/>
      <c r="AA126" s="1559"/>
      <c r="AB126" s="1559"/>
      <c r="AC126" s="1559"/>
      <c r="AD126" s="1559"/>
      <c r="AE126" s="1559"/>
      <c r="AF126" s="1559"/>
      <c r="AG126" s="1559"/>
      <c r="AH126" s="1559"/>
      <c r="AI126" s="1593">
        <v>1</v>
      </c>
      <c r="AJ126" s="1594"/>
      <c r="AK126" s="1594"/>
      <c r="AL126" s="1594"/>
      <c r="AM126" s="1594"/>
      <c r="AN126" s="1594"/>
      <c r="AO126" s="1559"/>
      <c r="AP126" s="1559"/>
      <c r="AQ126" s="1559"/>
      <c r="AR126" s="1559"/>
      <c r="AS126" s="1511">
        <f t="shared" si="30"/>
        <v>0</v>
      </c>
      <c r="AT126" s="1559"/>
      <c r="AU126" s="1559"/>
      <c r="AV126" s="1559"/>
      <c r="AW126" s="1559">
        <f>X126</f>
        <v>0.43</v>
      </c>
      <c r="AX126" s="1559"/>
      <c r="AY126" s="1559"/>
      <c r="AZ126" s="1559"/>
      <c r="BA126" s="1559"/>
      <c r="BB126" s="1559"/>
      <c r="BC126" s="1833"/>
      <c r="BD126" s="1334"/>
    </row>
    <row r="127" spans="1:56" s="1338" customFormat="1" ht="30.25" customHeight="1" outlineLevel="1">
      <c r="A127" s="1455">
        <v>4.3</v>
      </c>
      <c r="B127" s="1455" t="s">
        <v>1700</v>
      </c>
      <c r="C127" s="1455" t="s">
        <v>904</v>
      </c>
      <c r="D127" s="1331"/>
      <c r="E127" s="1332"/>
      <c r="F127" s="1332"/>
      <c r="G127" s="1595">
        <v>3.29</v>
      </c>
      <c r="H127" s="1334"/>
      <c r="I127" s="1335"/>
      <c r="J127" s="1335"/>
      <c r="K127" s="1336"/>
      <c r="L127" s="1336"/>
      <c r="M127" s="1336"/>
      <c r="N127" s="1336"/>
      <c r="O127" s="1337" t="s">
        <v>1854</v>
      </c>
      <c r="P127" s="1335"/>
      <c r="Q127" s="1335"/>
      <c r="R127" s="1335"/>
      <c r="S127" s="1335"/>
      <c r="T127" s="1511">
        <f t="shared" si="29"/>
        <v>0</v>
      </c>
      <c r="U127" s="1335"/>
      <c r="V127" s="1335"/>
      <c r="W127" s="1335"/>
      <c r="X127" s="1559">
        <f>G127</f>
        <v>3.29</v>
      </c>
      <c r="Y127" s="1559"/>
      <c r="Z127" s="1559"/>
      <c r="AA127" s="1559"/>
      <c r="AB127" s="1559"/>
      <c r="AC127" s="1559"/>
      <c r="AD127" s="1559"/>
      <c r="AE127" s="1559"/>
      <c r="AF127" s="1559"/>
      <c r="AG127" s="1559"/>
      <c r="AH127" s="1559"/>
      <c r="AI127" s="1593">
        <v>1</v>
      </c>
      <c r="AJ127" s="1594"/>
      <c r="AK127" s="1594"/>
      <c r="AL127" s="1594"/>
      <c r="AM127" s="1594"/>
      <c r="AN127" s="1594"/>
      <c r="AO127" s="1559"/>
      <c r="AP127" s="1559"/>
      <c r="AQ127" s="1559"/>
      <c r="AR127" s="1559"/>
      <c r="AS127" s="1511">
        <f t="shared" si="30"/>
        <v>0</v>
      </c>
      <c r="AT127" s="1559"/>
      <c r="AU127" s="1559"/>
      <c r="AV127" s="1559"/>
      <c r="AW127" s="1559">
        <f>X127</f>
        <v>3.29</v>
      </c>
      <c r="AX127" s="1559"/>
      <c r="AY127" s="1559"/>
      <c r="AZ127" s="1559"/>
      <c r="BA127" s="1559"/>
      <c r="BB127" s="1559"/>
      <c r="BC127" s="1833"/>
      <c r="BD127" s="1334"/>
    </row>
    <row r="128" spans="1:56" s="1338" customFormat="1" ht="30.25" customHeight="1" outlineLevel="1">
      <c r="A128" s="1455">
        <v>4.4000000000000004</v>
      </c>
      <c r="B128" s="1455" t="s">
        <v>1701</v>
      </c>
      <c r="C128" s="1455" t="s">
        <v>904</v>
      </c>
      <c r="D128" s="1331"/>
      <c r="E128" s="1332"/>
      <c r="F128" s="1332"/>
      <c r="G128" s="1595">
        <v>2.02</v>
      </c>
      <c r="H128" s="1334"/>
      <c r="I128" s="1335"/>
      <c r="J128" s="1335"/>
      <c r="K128" s="1336"/>
      <c r="L128" s="1336"/>
      <c r="M128" s="1336"/>
      <c r="N128" s="1336"/>
      <c r="O128" s="1337" t="s">
        <v>1855</v>
      </c>
      <c r="P128" s="1335"/>
      <c r="Q128" s="1335"/>
      <c r="R128" s="1335"/>
      <c r="S128" s="1335"/>
      <c r="T128" s="1511">
        <f t="shared" si="29"/>
        <v>0</v>
      </c>
      <c r="U128" s="1335"/>
      <c r="V128" s="1335"/>
      <c r="W128" s="1335"/>
      <c r="X128" s="1559">
        <f>G128</f>
        <v>2.02</v>
      </c>
      <c r="Y128" s="1559"/>
      <c r="Z128" s="1559"/>
      <c r="AA128" s="1559"/>
      <c r="AB128" s="1559"/>
      <c r="AC128" s="1559"/>
      <c r="AD128" s="1559"/>
      <c r="AE128" s="1559"/>
      <c r="AF128" s="1559"/>
      <c r="AG128" s="1559"/>
      <c r="AH128" s="1559"/>
      <c r="AI128" s="1593">
        <v>1</v>
      </c>
      <c r="AJ128" s="1594"/>
      <c r="AK128" s="1594"/>
      <c r="AL128" s="1594"/>
      <c r="AM128" s="1594"/>
      <c r="AN128" s="1594"/>
      <c r="AO128" s="1559"/>
      <c r="AP128" s="1559"/>
      <c r="AQ128" s="1559"/>
      <c r="AR128" s="1559"/>
      <c r="AS128" s="1511">
        <f t="shared" si="30"/>
        <v>0</v>
      </c>
      <c r="AT128" s="1559"/>
      <c r="AU128" s="1559"/>
      <c r="AV128" s="1559"/>
      <c r="AW128" s="1559">
        <f>X128</f>
        <v>2.02</v>
      </c>
      <c r="AX128" s="1559"/>
      <c r="AY128" s="1559"/>
      <c r="AZ128" s="1559"/>
      <c r="BA128" s="1559"/>
      <c r="BB128" s="1559"/>
      <c r="BC128" s="1833"/>
      <c r="BD128" s="1334"/>
    </row>
    <row r="129" spans="1:56" s="1338" customFormat="1" ht="30.25" customHeight="1" outlineLevel="1">
      <c r="A129" s="1455">
        <v>4.5</v>
      </c>
      <c r="B129" s="1455" t="s">
        <v>1702</v>
      </c>
      <c r="C129" s="1455" t="s">
        <v>904</v>
      </c>
      <c r="D129" s="1331"/>
      <c r="E129" s="1332"/>
      <c r="F129" s="1332"/>
      <c r="G129" s="1595">
        <v>4.16</v>
      </c>
      <c r="H129" s="1334"/>
      <c r="I129" s="1335"/>
      <c r="J129" s="1335"/>
      <c r="K129" s="1336"/>
      <c r="L129" s="1336"/>
      <c r="M129" s="1336"/>
      <c r="N129" s="1336"/>
      <c r="O129" s="1337" t="s">
        <v>1856</v>
      </c>
      <c r="P129" s="1335"/>
      <c r="Q129" s="1335"/>
      <c r="R129" s="1335"/>
      <c r="S129" s="1335"/>
      <c r="T129" s="1511">
        <f t="shared" si="29"/>
        <v>0</v>
      </c>
      <c r="U129" s="1335"/>
      <c r="V129" s="1335"/>
      <c r="W129" s="1335"/>
      <c r="X129" s="1559">
        <f>G129</f>
        <v>4.16</v>
      </c>
      <c r="Y129" s="1559"/>
      <c r="Z129" s="1559"/>
      <c r="AA129" s="1559"/>
      <c r="AB129" s="1559"/>
      <c r="AC129" s="1559"/>
      <c r="AD129" s="1559"/>
      <c r="AE129" s="1559"/>
      <c r="AF129" s="1559"/>
      <c r="AG129" s="1559"/>
      <c r="AH129" s="1559"/>
      <c r="AI129" s="1593">
        <v>1</v>
      </c>
      <c r="AJ129" s="1594"/>
      <c r="AK129" s="1594"/>
      <c r="AL129" s="1594"/>
      <c r="AM129" s="1594"/>
      <c r="AN129" s="1594"/>
      <c r="AO129" s="1559"/>
      <c r="AP129" s="1559"/>
      <c r="AQ129" s="1559"/>
      <c r="AR129" s="1559"/>
      <c r="AS129" s="1511">
        <f t="shared" si="30"/>
        <v>0</v>
      </c>
      <c r="AT129" s="1559"/>
      <c r="AU129" s="1559"/>
      <c r="AV129" s="1559"/>
      <c r="AW129" s="1559">
        <f>X129</f>
        <v>4.16</v>
      </c>
      <c r="AX129" s="1559"/>
      <c r="AY129" s="1559"/>
      <c r="AZ129" s="1559"/>
      <c r="BA129" s="1559"/>
      <c r="BB129" s="1559"/>
      <c r="BC129" s="1834"/>
      <c r="BD129" s="1334"/>
    </row>
    <row r="130" spans="1:56" s="1330" customFormat="1" ht="30.25" customHeight="1" outlineLevel="1">
      <c r="A130" s="1457"/>
      <c r="B130" s="1457" t="s">
        <v>1703</v>
      </c>
      <c r="C130" s="1457"/>
      <c r="D130" s="1344"/>
      <c r="E130" s="1345"/>
      <c r="F130" s="1345"/>
      <c r="G130" s="1344"/>
      <c r="H130" s="1344"/>
      <c r="I130" s="1344"/>
      <c r="J130" s="1344"/>
      <c r="K130" s="1345"/>
      <c r="L130" s="1345"/>
      <c r="M130" s="1345"/>
      <c r="N130" s="1345"/>
      <c r="O130" s="1346"/>
      <c r="P130" s="1344"/>
      <c r="Q130" s="1344"/>
      <c r="R130" s="1344"/>
      <c r="S130" s="1344"/>
      <c r="T130" s="1511">
        <f t="shared" si="29"/>
        <v>0</v>
      </c>
      <c r="U130" s="1344"/>
      <c r="V130" s="1344"/>
      <c r="W130" s="1344"/>
      <c r="X130" s="1596"/>
      <c r="Y130" s="1596"/>
      <c r="Z130" s="1596"/>
      <c r="AA130" s="1596"/>
      <c r="AB130" s="1596"/>
      <c r="AC130" s="1596"/>
      <c r="AD130" s="1596"/>
      <c r="AE130" s="1596"/>
      <c r="AF130" s="1596"/>
      <c r="AG130" s="1596"/>
      <c r="AH130" s="1596"/>
      <c r="AI130" s="1597"/>
      <c r="AJ130" s="1597"/>
      <c r="AK130" s="1597"/>
      <c r="AL130" s="1597"/>
      <c r="AM130" s="1597"/>
      <c r="AN130" s="1597"/>
      <c r="AO130" s="1596"/>
      <c r="AP130" s="1596"/>
      <c r="AQ130" s="1596"/>
      <c r="AR130" s="1596"/>
      <c r="AS130" s="1511">
        <f t="shared" si="30"/>
        <v>0</v>
      </c>
      <c r="AT130" s="1596"/>
      <c r="AU130" s="1596"/>
      <c r="AV130" s="1596"/>
      <c r="AW130" s="1596"/>
      <c r="AX130" s="1596"/>
      <c r="AY130" s="1596"/>
      <c r="AZ130" s="1596"/>
      <c r="BA130" s="1596"/>
      <c r="BB130" s="1596"/>
      <c r="BC130" s="1346"/>
      <c r="BD130" s="1347"/>
    </row>
    <row r="131" spans="1:56" s="1338" customFormat="1" ht="30.25" customHeight="1" outlineLevel="1">
      <c r="A131" s="1458">
        <v>1</v>
      </c>
      <c r="B131" s="1459" t="s">
        <v>1704</v>
      </c>
      <c r="C131" s="1458" t="s">
        <v>896</v>
      </c>
      <c r="D131" s="1331"/>
      <c r="E131" s="1332"/>
      <c r="F131" s="1332"/>
      <c r="G131" s="1333">
        <f>SUM(G132)</f>
        <v>50</v>
      </c>
      <c r="H131" s="1334"/>
      <c r="I131" s="1335"/>
      <c r="J131" s="1335"/>
      <c r="K131" s="1336"/>
      <c r="L131" s="1336"/>
      <c r="M131" s="1336"/>
      <c r="N131" s="1336"/>
      <c r="O131" s="1337"/>
      <c r="P131" s="1335"/>
      <c r="Q131" s="1335"/>
      <c r="R131" s="1335"/>
      <c r="S131" s="1335"/>
      <c r="T131" s="1511">
        <f t="shared" si="29"/>
        <v>0</v>
      </c>
      <c r="U131" s="1335"/>
      <c r="V131" s="1335"/>
      <c r="W131" s="1335"/>
      <c r="X131" s="1333">
        <f t="shared" ref="X131:BA131" si="44">SUM(X132)</f>
        <v>0</v>
      </c>
      <c r="Y131" s="1333"/>
      <c r="Z131" s="1333">
        <f t="shared" si="44"/>
        <v>0</v>
      </c>
      <c r="AA131" s="1333">
        <f t="shared" si="44"/>
        <v>0</v>
      </c>
      <c r="AB131" s="1333">
        <f t="shared" si="44"/>
        <v>0</v>
      </c>
      <c r="AC131" s="1333"/>
      <c r="AD131" s="1333"/>
      <c r="AE131" s="1333"/>
      <c r="AF131" s="1333"/>
      <c r="AG131" s="1333"/>
      <c r="AH131" s="1333"/>
      <c r="AI131" s="1333">
        <f t="shared" si="44"/>
        <v>0</v>
      </c>
      <c r="AJ131" s="1333"/>
      <c r="AK131" s="1333">
        <f t="shared" si="44"/>
        <v>0</v>
      </c>
      <c r="AL131" s="1333">
        <f t="shared" si="44"/>
        <v>0</v>
      </c>
      <c r="AM131" s="1333">
        <f t="shared" si="44"/>
        <v>0</v>
      </c>
      <c r="AN131" s="1333">
        <f t="shared" si="44"/>
        <v>0</v>
      </c>
      <c r="AO131" s="1333">
        <f t="shared" si="44"/>
        <v>0</v>
      </c>
      <c r="AP131" s="1333"/>
      <c r="AQ131" s="1333"/>
      <c r="AR131" s="1333"/>
      <c r="AS131" s="1511">
        <f t="shared" si="30"/>
        <v>0</v>
      </c>
      <c r="AT131" s="1333"/>
      <c r="AU131" s="1333"/>
      <c r="AV131" s="1333"/>
      <c r="AW131" s="1333">
        <f t="shared" si="44"/>
        <v>0</v>
      </c>
      <c r="AX131" s="1333"/>
      <c r="AY131" s="1333">
        <f t="shared" si="44"/>
        <v>0</v>
      </c>
      <c r="AZ131" s="1333">
        <f t="shared" si="44"/>
        <v>0</v>
      </c>
      <c r="BA131" s="1333">
        <f t="shared" si="44"/>
        <v>0</v>
      </c>
      <c r="BB131" s="1559"/>
      <c r="BC131" s="1337"/>
      <c r="BD131" s="1334"/>
    </row>
    <row r="132" spans="1:56" s="1338" customFormat="1" ht="30.25" customHeight="1" outlineLevel="1">
      <c r="A132" s="1455">
        <v>1.1000000000000001</v>
      </c>
      <c r="B132" s="1455" t="s">
        <v>1704</v>
      </c>
      <c r="C132" s="1455" t="s">
        <v>904</v>
      </c>
      <c r="D132" s="1331"/>
      <c r="E132" s="1332"/>
      <c r="F132" s="1332"/>
      <c r="G132" s="1595">
        <v>50</v>
      </c>
      <c r="H132" s="1334"/>
      <c r="I132" s="1335"/>
      <c r="J132" s="1335"/>
      <c r="K132" s="1336"/>
      <c r="L132" s="1336"/>
      <c r="M132" s="1336"/>
      <c r="N132" s="1336"/>
      <c r="O132" s="1337" t="s">
        <v>1857</v>
      </c>
      <c r="P132" s="1335"/>
      <c r="Q132" s="1335"/>
      <c r="R132" s="1335"/>
      <c r="S132" s="1335"/>
      <c r="T132" s="1511">
        <f t="shared" si="29"/>
        <v>0</v>
      </c>
      <c r="U132" s="1335"/>
      <c r="V132" s="1335"/>
      <c r="W132" s="1335"/>
      <c r="X132" s="1559"/>
      <c r="Y132" s="1559">
        <f>G132</f>
        <v>50</v>
      </c>
      <c r="Z132" s="1559"/>
      <c r="AA132" s="1559"/>
      <c r="AB132" s="1559"/>
      <c r="AC132" s="1559"/>
      <c r="AD132" s="1559"/>
      <c r="AE132" s="1559"/>
      <c r="AF132" s="1559"/>
      <c r="AG132" s="1559"/>
      <c r="AH132" s="1559"/>
      <c r="AI132" s="1594"/>
      <c r="AJ132" s="1593">
        <v>1</v>
      </c>
      <c r="AK132" s="1594"/>
      <c r="AL132" s="1594"/>
      <c r="AM132" s="1594"/>
      <c r="AN132" s="1594"/>
      <c r="AO132" s="1559"/>
      <c r="AP132" s="1559"/>
      <c r="AQ132" s="1559"/>
      <c r="AR132" s="1559"/>
      <c r="AS132" s="1511">
        <f t="shared" si="30"/>
        <v>0</v>
      </c>
      <c r="AT132" s="1559"/>
      <c r="AU132" s="1559"/>
      <c r="AV132" s="1559"/>
      <c r="AW132" s="1559"/>
      <c r="AX132" s="1559">
        <f>Y132</f>
        <v>50</v>
      </c>
      <c r="AY132" s="1559"/>
      <c r="AZ132" s="1559"/>
      <c r="BA132" s="1559"/>
      <c r="BB132" s="1559"/>
      <c r="BC132" s="1337"/>
      <c r="BD132" s="1334"/>
    </row>
    <row r="133" spans="1:56" s="1338" customFormat="1" ht="30.25" customHeight="1" outlineLevel="1">
      <c r="A133" s="1455">
        <v>2</v>
      </c>
      <c r="B133" s="1455" t="s">
        <v>1705</v>
      </c>
      <c r="C133" s="1455" t="s">
        <v>896</v>
      </c>
      <c r="D133" s="1598"/>
      <c r="E133" s="1332"/>
      <c r="F133" s="1332"/>
      <c r="G133" s="1333">
        <f>SUM(G134:G138)</f>
        <v>35</v>
      </c>
      <c r="H133" s="1334"/>
      <c r="I133" s="1335"/>
      <c r="J133" s="1335"/>
      <c r="K133" s="1336"/>
      <c r="L133" s="1336"/>
      <c r="M133" s="1336"/>
      <c r="N133" s="1336"/>
      <c r="O133" s="1337"/>
      <c r="P133" s="1335"/>
      <c r="Q133" s="1335"/>
      <c r="R133" s="1335"/>
      <c r="S133" s="1335"/>
      <c r="T133" s="1511">
        <f t="shared" si="29"/>
        <v>0</v>
      </c>
      <c r="U133" s="1335"/>
      <c r="V133" s="1335"/>
      <c r="W133" s="1335"/>
      <c r="X133" s="1333">
        <f>SUM(X134:X138)</f>
        <v>0</v>
      </c>
      <c r="Y133" s="1333"/>
      <c r="Z133" s="1333">
        <f>SUM(Z134:Z138)</f>
        <v>0</v>
      </c>
      <c r="AA133" s="1333">
        <f>SUM(AA134:AA138)</f>
        <v>0</v>
      </c>
      <c r="AB133" s="1333">
        <f>SUM(AB134:AB138)</f>
        <v>0</v>
      </c>
      <c r="AC133" s="1333"/>
      <c r="AD133" s="1333"/>
      <c r="AE133" s="1333"/>
      <c r="AF133" s="1333"/>
      <c r="AG133" s="1333"/>
      <c r="AH133" s="1333"/>
      <c r="AI133" s="1333">
        <f>SUM(AI134:AI138)</f>
        <v>0</v>
      </c>
      <c r="AJ133" s="1333"/>
      <c r="AK133" s="1333">
        <f>SUM(AK134:AK138)</f>
        <v>0</v>
      </c>
      <c r="AL133" s="1333">
        <f>SUM(AL134:AL138)</f>
        <v>0</v>
      </c>
      <c r="AM133" s="1333">
        <f>SUM(AM134:AM138)</f>
        <v>0</v>
      </c>
      <c r="AN133" s="1333">
        <f>SUM(AN134:AN138)</f>
        <v>0</v>
      </c>
      <c r="AO133" s="1333">
        <f>SUM(AO134:AO138)</f>
        <v>0</v>
      </c>
      <c r="AP133" s="1333"/>
      <c r="AQ133" s="1333"/>
      <c r="AR133" s="1333"/>
      <c r="AS133" s="1511">
        <f t="shared" si="30"/>
        <v>0</v>
      </c>
      <c r="AT133" s="1333"/>
      <c r="AU133" s="1333"/>
      <c r="AV133" s="1333"/>
      <c r="AW133" s="1333">
        <f>SUM(AW134:AW138)</f>
        <v>0</v>
      </c>
      <c r="AX133" s="1333"/>
      <c r="AY133" s="1333">
        <f>SUM(AY134:AY138)</f>
        <v>0</v>
      </c>
      <c r="AZ133" s="1333">
        <f>SUM(AZ134:AZ138)</f>
        <v>0</v>
      </c>
      <c r="BA133" s="1333">
        <f>SUM(BA134:BA138)</f>
        <v>0</v>
      </c>
      <c r="BB133" s="1559"/>
      <c r="BC133" s="1337"/>
      <c r="BD133" s="1334"/>
    </row>
    <row r="134" spans="1:56" s="1338" customFormat="1" ht="30.25" customHeight="1" outlineLevel="1">
      <c r="A134" s="1455">
        <v>2.1</v>
      </c>
      <c r="B134" s="1455" t="s">
        <v>1706</v>
      </c>
      <c r="C134" s="1455" t="s">
        <v>904</v>
      </c>
      <c r="D134" s="1331"/>
      <c r="E134" s="1332"/>
      <c r="F134" s="1332"/>
      <c r="G134" s="1595">
        <v>11.42</v>
      </c>
      <c r="H134" s="1334"/>
      <c r="I134" s="1335"/>
      <c r="J134" s="1335"/>
      <c r="K134" s="1336"/>
      <c r="L134" s="1336"/>
      <c r="M134" s="1336"/>
      <c r="N134" s="1336"/>
      <c r="O134" s="1337" t="s">
        <v>1858</v>
      </c>
      <c r="P134" s="1335"/>
      <c r="Q134" s="1335"/>
      <c r="R134" s="1335"/>
      <c r="S134" s="1335"/>
      <c r="T134" s="1511">
        <f t="shared" si="29"/>
        <v>0</v>
      </c>
      <c r="U134" s="1335"/>
      <c r="V134" s="1335"/>
      <c r="W134" s="1335"/>
      <c r="X134" s="1559"/>
      <c r="Y134" s="1559">
        <f>G134</f>
        <v>11.42</v>
      </c>
      <c r="Z134" s="1559"/>
      <c r="AA134" s="1559"/>
      <c r="AB134" s="1559"/>
      <c r="AC134" s="1559"/>
      <c r="AD134" s="1559"/>
      <c r="AE134" s="1559"/>
      <c r="AF134" s="1559"/>
      <c r="AG134" s="1559"/>
      <c r="AH134" s="1559"/>
      <c r="AI134" s="1594"/>
      <c r="AJ134" s="1593">
        <v>1</v>
      </c>
      <c r="AK134" s="1594"/>
      <c r="AL134" s="1594"/>
      <c r="AM134" s="1594"/>
      <c r="AN134" s="1594"/>
      <c r="AO134" s="1559"/>
      <c r="AP134" s="1559"/>
      <c r="AQ134" s="1559"/>
      <c r="AR134" s="1559"/>
      <c r="AS134" s="1511">
        <f t="shared" si="30"/>
        <v>0</v>
      </c>
      <c r="AT134" s="1559"/>
      <c r="AU134" s="1559"/>
      <c r="AV134" s="1559"/>
      <c r="AW134" s="1559"/>
      <c r="AX134" s="1559">
        <f>Y134</f>
        <v>11.42</v>
      </c>
      <c r="AY134" s="1559"/>
      <c r="AZ134" s="1559"/>
      <c r="BA134" s="1559"/>
      <c r="BB134" s="1559"/>
      <c r="BC134" s="1337"/>
      <c r="BD134" s="1334"/>
    </row>
    <row r="135" spans="1:56" s="1338" customFormat="1" ht="30.25" customHeight="1" outlineLevel="1">
      <c r="A135" s="1455">
        <v>2.2000000000000002</v>
      </c>
      <c r="B135" s="1455" t="s">
        <v>1707</v>
      </c>
      <c r="C135" s="1455" t="s">
        <v>904</v>
      </c>
      <c r="D135" s="1331"/>
      <c r="E135" s="1332"/>
      <c r="F135" s="1332"/>
      <c r="G135" s="1595">
        <v>2.16</v>
      </c>
      <c r="H135" s="1334"/>
      <c r="I135" s="1335"/>
      <c r="J135" s="1335"/>
      <c r="K135" s="1336"/>
      <c r="L135" s="1336"/>
      <c r="M135" s="1336"/>
      <c r="N135" s="1336"/>
      <c r="O135" s="1337" t="s">
        <v>1859</v>
      </c>
      <c r="P135" s="1335"/>
      <c r="Q135" s="1335"/>
      <c r="R135" s="1335"/>
      <c r="S135" s="1335"/>
      <c r="T135" s="1511">
        <f t="shared" si="29"/>
        <v>0</v>
      </c>
      <c r="U135" s="1335"/>
      <c r="V135" s="1335"/>
      <c r="W135" s="1335"/>
      <c r="X135" s="1559"/>
      <c r="Y135" s="1559">
        <f>G135</f>
        <v>2.16</v>
      </c>
      <c r="Z135" s="1559"/>
      <c r="AA135" s="1559"/>
      <c r="AB135" s="1559"/>
      <c r="AC135" s="1559"/>
      <c r="AD135" s="1559"/>
      <c r="AE135" s="1559"/>
      <c r="AF135" s="1559"/>
      <c r="AG135" s="1559"/>
      <c r="AH135" s="1559"/>
      <c r="AI135" s="1594"/>
      <c r="AJ135" s="1593">
        <v>1</v>
      </c>
      <c r="AK135" s="1594"/>
      <c r="AL135" s="1594"/>
      <c r="AM135" s="1594"/>
      <c r="AN135" s="1594"/>
      <c r="AO135" s="1559"/>
      <c r="AP135" s="1559"/>
      <c r="AQ135" s="1559"/>
      <c r="AR135" s="1559"/>
      <c r="AS135" s="1511">
        <f t="shared" si="30"/>
        <v>0</v>
      </c>
      <c r="AT135" s="1559"/>
      <c r="AU135" s="1559"/>
      <c r="AV135" s="1559"/>
      <c r="AW135" s="1559"/>
      <c r="AX135" s="1559">
        <f>Y135</f>
        <v>2.16</v>
      </c>
      <c r="AY135" s="1559"/>
      <c r="AZ135" s="1559"/>
      <c r="BA135" s="1559"/>
      <c r="BB135" s="1559"/>
      <c r="BC135" s="1337"/>
      <c r="BD135" s="1334"/>
    </row>
    <row r="136" spans="1:56" s="1338" customFormat="1" ht="30.25" customHeight="1" outlineLevel="1">
      <c r="A136" s="1455">
        <v>2.2999999999999998</v>
      </c>
      <c r="B136" s="1455" t="s">
        <v>1708</v>
      </c>
      <c r="C136" s="1455" t="s">
        <v>904</v>
      </c>
      <c r="D136" s="1341"/>
      <c r="E136" s="1342"/>
      <c r="F136" s="1342"/>
      <c r="G136" s="1343">
        <v>13.2</v>
      </c>
      <c r="H136" s="1334"/>
      <c r="I136" s="1335"/>
      <c r="J136" s="1335"/>
      <c r="K136" s="1336"/>
      <c r="L136" s="1336"/>
      <c r="M136" s="1336"/>
      <c r="N136" s="1336"/>
      <c r="O136" s="1337" t="s">
        <v>1860</v>
      </c>
      <c r="P136" s="1335"/>
      <c r="Q136" s="1335"/>
      <c r="R136" s="1335"/>
      <c r="S136" s="1335"/>
      <c r="T136" s="1511">
        <f t="shared" si="29"/>
        <v>0</v>
      </c>
      <c r="U136" s="1335"/>
      <c r="V136" s="1335"/>
      <c r="W136" s="1335"/>
      <c r="X136" s="1559"/>
      <c r="Y136" s="1559">
        <v>13.2</v>
      </c>
      <c r="Z136" s="1559"/>
      <c r="AA136" s="1559"/>
      <c r="AB136" s="1559"/>
      <c r="AC136" s="1559"/>
      <c r="AD136" s="1559"/>
      <c r="AE136" s="1559"/>
      <c r="AF136" s="1559"/>
      <c r="AG136" s="1559"/>
      <c r="AH136" s="1559"/>
      <c r="AI136" s="1594"/>
      <c r="AJ136" s="1593">
        <v>1</v>
      </c>
      <c r="AK136" s="1594"/>
      <c r="AL136" s="1594"/>
      <c r="AM136" s="1594"/>
      <c r="AN136" s="1594"/>
      <c r="AO136" s="1559"/>
      <c r="AP136" s="1559"/>
      <c r="AQ136" s="1559"/>
      <c r="AR136" s="1559"/>
      <c r="AS136" s="1511">
        <f t="shared" si="30"/>
        <v>0</v>
      </c>
      <c r="AT136" s="1559"/>
      <c r="AU136" s="1559"/>
      <c r="AV136" s="1559"/>
      <c r="AW136" s="1559"/>
      <c r="AX136" s="1559">
        <f>Y136</f>
        <v>13.2</v>
      </c>
      <c r="AY136" s="1559"/>
      <c r="AZ136" s="1559"/>
      <c r="BA136" s="1559"/>
      <c r="BB136" s="1559"/>
      <c r="BC136" s="1337"/>
      <c r="BD136" s="1334"/>
    </row>
    <row r="137" spans="1:56" s="1338" customFormat="1" ht="30.25" customHeight="1" outlineLevel="1">
      <c r="A137" s="1455">
        <v>2.5</v>
      </c>
      <c r="B137" s="1455" t="s">
        <v>1709</v>
      </c>
      <c r="C137" s="1455" t="s">
        <v>904</v>
      </c>
      <c r="D137" s="1331"/>
      <c r="E137" s="1332"/>
      <c r="F137" s="1332"/>
      <c r="G137" s="1595">
        <v>6</v>
      </c>
      <c r="H137" s="1334"/>
      <c r="I137" s="1335"/>
      <c r="J137" s="1335"/>
      <c r="K137" s="1336"/>
      <c r="L137" s="1336"/>
      <c r="M137" s="1336"/>
      <c r="N137" s="1336"/>
      <c r="O137" s="1337" t="s">
        <v>1861</v>
      </c>
      <c r="P137" s="1335"/>
      <c r="Q137" s="1335"/>
      <c r="R137" s="1335"/>
      <c r="S137" s="1335"/>
      <c r="T137" s="1511">
        <f t="shared" si="29"/>
        <v>0</v>
      </c>
      <c r="U137" s="1335"/>
      <c r="V137" s="1335"/>
      <c r="W137" s="1335"/>
      <c r="X137" s="1559"/>
      <c r="Y137" s="1559">
        <f>G137</f>
        <v>6</v>
      </c>
      <c r="Z137" s="1559"/>
      <c r="AA137" s="1559"/>
      <c r="AB137" s="1559"/>
      <c r="AC137" s="1559"/>
      <c r="AD137" s="1559"/>
      <c r="AE137" s="1559"/>
      <c r="AF137" s="1559"/>
      <c r="AG137" s="1559"/>
      <c r="AH137" s="1559"/>
      <c r="AI137" s="1594"/>
      <c r="AJ137" s="1593">
        <v>1</v>
      </c>
      <c r="AK137" s="1594"/>
      <c r="AL137" s="1594"/>
      <c r="AM137" s="1594"/>
      <c r="AN137" s="1594"/>
      <c r="AO137" s="1559"/>
      <c r="AP137" s="1559"/>
      <c r="AQ137" s="1559"/>
      <c r="AR137" s="1559"/>
      <c r="AS137" s="1511">
        <f t="shared" si="30"/>
        <v>0</v>
      </c>
      <c r="AT137" s="1559"/>
      <c r="AU137" s="1559"/>
      <c r="AV137" s="1559"/>
      <c r="AW137" s="1559"/>
      <c r="AX137" s="1559">
        <f>Y137</f>
        <v>6</v>
      </c>
      <c r="AY137" s="1559"/>
      <c r="AZ137" s="1559"/>
      <c r="BA137" s="1559"/>
      <c r="BB137" s="1559"/>
      <c r="BC137" s="1337"/>
      <c r="BD137" s="1334"/>
    </row>
    <row r="138" spans="1:56" s="1338" customFormat="1" ht="30.25" customHeight="1" outlineLevel="1">
      <c r="A138" s="1455">
        <v>2.6</v>
      </c>
      <c r="B138" s="1455" t="s">
        <v>1710</v>
      </c>
      <c r="C138" s="1455" t="s">
        <v>904</v>
      </c>
      <c r="D138" s="1331"/>
      <c r="E138" s="1332"/>
      <c r="F138" s="1332"/>
      <c r="G138" s="1595">
        <v>2.2200000000000002</v>
      </c>
      <c r="H138" s="1334"/>
      <c r="I138" s="1335"/>
      <c r="J138" s="1335"/>
      <c r="K138" s="1336"/>
      <c r="L138" s="1336"/>
      <c r="M138" s="1336"/>
      <c r="N138" s="1336"/>
      <c r="O138" s="1337" t="s">
        <v>1862</v>
      </c>
      <c r="P138" s="1335"/>
      <c r="Q138" s="1335"/>
      <c r="R138" s="1335"/>
      <c r="S138" s="1335"/>
      <c r="T138" s="1511">
        <f t="shared" si="29"/>
        <v>0</v>
      </c>
      <c r="U138" s="1335"/>
      <c r="V138" s="1335"/>
      <c r="W138" s="1335"/>
      <c r="X138" s="1559"/>
      <c r="Y138" s="1559">
        <f>G138</f>
        <v>2.2200000000000002</v>
      </c>
      <c r="Z138" s="1559"/>
      <c r="AA138" s="1559"/>
      <c r="AB138" s="1559"/>
      <c r="AC138" s="1559"/>
      <c r="AD138" s="1559"/>
      <c r="AE138" s="1559"/>
      <c r="AF138" s="1559"/>
      <c r="AG138" s="1559"/>
      <c r="AH138" s="1559"/>
      <c r="AI138" s="1594"/>
      <c r="AJ138" s="1593">
        <v>1</v>
      </c>
      <c r="AK138" s="1594"/>
      <c r="AL138" s="1594"/>
      <c r="AM138" s="1594"/>
      <c r="AN138" s="1594"/>
      <c r="AO138" s="1559"/>
      <c r="AP138" s="1559"/>
      <c r="AQ138" s="1559"/>
      <c r="AR138" s="1559"/>
      <c r="AS138" s="1511">
        <f t="shared" si="30"/>
        <v>0</v>
      </c>
      <c r="AT138" s="1559"/>
      <c r="AU138" s="1559"/>
      <c r="AV138" s="1559"/>
      <c r="AW138" s="1559"/>
      <c r="AX138" s="1559">
        <f>Y138</f>
        <v>2.2200000000000002</v>
      </c>
      <c r="AY138" s="1559"/>
      <c r="AZ138" s="1559"/>
      <c r="BA138" s="1559"/>
      <c r="BB138" s="1559"/>
      <c r="BC138" s="1337"/>
      <c r="BD138" s="1334"/>
    </row>
    <row r="139" spans="1:56" s="1338" customFormat="1" ht="30.25" customHeight="1" outlineLevel="1">
      <c r="A139" s="1458">
        <v>3</v>
      </c>
      <c r="B139" s="1459" t="s">
        <v>1711</v>
      </c>
      <c r="C139" s="1458" t="s">
        <v>896</v>
      </c>
      <c r="D139" s="1331"/>
      <c r="E139" s="1332"/>
      <c r="F139" s="1332"/>
      <c r="G139" s="1333">
        <f>SUM(G140:G145)</f>
        <v>42.47</v>
      </c>
      <c r="H139" s="1334"/>
      <c r="I139" s="1335"/>
      <c r="J139" s="1335"/>
      <c r="K139" s="1336"/>
      <c r="L139" s="1336"/>
      <c r="M139" s="1336"/>
      <c r="N139" s="1336"/>
      <c r="O139" s="1337"/>
      <c r="P139" s="1335"/>
      <c r="Q139" s="1335"/>
      <c r="R139" s="1335"/>
      <c r="S139" s="1335"/>
      <c r="T139" s="1511">
        <f t="shared" ref="T139:T202" si="45">SUM(P139:S139)</f>
        <v>0</v>
      </c>
      <c r="U139" s="1335"/>
      <c r="V139" s="1335"/>
      <c r="W139" s="1335"/>
      <c r="X139" s="1333">
        <f t="shared" ref="X139:AI139" si="46">SUM(X140:X144)</f>
        <v>0</v>
      </c>
      <c r="Y139" s="1333"/>
      <c r="Z139" s="1333">
        <f t="shared" si="46"/>
        <v>0</v>
      </c>
      <c r="AA139" s="1333">
        <f t="shared" si="46"/>
        <v>0</v>
      </c>
      <c r="AB139" s="1333">
        <f t="shared" si="46"/>
        <v>0</v>
      </c>
      <c r="AC139" s="1333"/>
      <c r="AD139" s="1333"/>
      <c r="AE139" s="1333"/>
      <c r="AF139" s="1333"/>
      <c r="AG139" s="1333"/>
      <c r="AH139" s="1333"/>
      <c r="AI139" s="1333">
        <f t="shared" si="46"/>
        <v>0</v>
      </c>
      <c r="AJ139" s="1333"/>
      <c r="AK139" s="1333">
        <f t="shared" ref="AK139:BA139" si="47">SUM(AK140:AK144)</f>
        <v>0</v>
      </c>
      <c r="AL139" s="1333">
        <f t="shared" si="47"/>
        <v>0</v>
      </c>
      <c r="AM139" s="1333">
        <f t="shared" si="47"/>
        <v>0</v>
      </c>
      <c r="AN139" s="1333">
        <f t="shared" si="47"/>
        <v>0</v>
      </c>
      <c r="AO139" s="1333">
        <f t="shared" si="47"/>
        <v>0</v>
      </c>
      <c r="AP139" s="1333"/>
      <c r="AQ139" s="1333"/>
      <c r="AR139" s="1333"/>
      <c r="AS139" s="1511">
        <f t="shared" ref="AS139:AS202" si="48">SUM(AO139:AR139)</f>
        <v>0</v>
      </c>
      <c r="AT139" s="1333"/>
      <c r="AU139" s="1333"/>
      <c r="AV139" s="1333"/>
      <c r="AW139" s="1333">
        <f t="shared" si="47"/>
        <v>0</v>
      </c>
      <c r="AX139" s="1333"/>
      <c r="AY139" s="1333">
        <f t="shared" si="47"/>
        <v>0</v>
      </c>
      <c r="AZ139" s="1333">
        <f t="shared" si="47"/>
        <v>0</v>
      </c>
      <c r="BA139" s="1333">
        <f t="shared" si="47"/>
        <v>0</v>
      </c>
      <c r="BB139" s="1559"/>
      <c r="BC139" s="1337"/>
      <c r="BD139" s="1334"/>
    </row>
    <row r="140" spans="1:56" s="1338" customFormat="1" ht="30.25" customHeight="1" outlineLevel="1">
      <c r="A140" s="1455">
        <v>3.1</v>
      </c>
      <c r="B140" s="1455" t="s">
        <v>1712</v>
      </c>
      <c r="C140" s="1455" t="s">
        <v>904</v>
      </c>
      <c r="D140" s="1331"/>
      <c r="E140" s="1332"/>
      <c r="F140" s="1332"/>
      <c r="G140" s="1595">
        <v>3.16</v>
      </c>
      <c r="H140" s="1334"/>
      <c r="I140" s="1335"/>
      <c r="J140" s="1335"/>
      <c r="K140" s="1336"/>
      <c r="L140" s="1336"/>
      <c r="M140" s="1336"/>
      <c r="N140" s="1336"/>
      <c r="O140" s="1337" t="s">
        <v>1863</v>
      </c>
      <c r="P140" s="1335"/>
      <c r="Q140" s="1335"/>
      <c r="R140" s="1335"/>
      <c r="S140" s="1335"/>
      <c r="T140" s="1511">
        <f t="shared" si="45"/>
        <v>0</v>
      </c>
      <c r="U140" s="1335"/>
      <c r="V140" s="1335"/>
      <c r="W140" s="1335"/>
      <c r="X140" s="1559"/>
      <c r="Y140" s="1559">
        <f t="shared" ref="Y140:Y145" si="49">G140</f>
        <v>3.16</v>
      </c>
      <c r="Z140" s="1559"/>
      <c r="AA140" s="1559"/>
      <c r="AB140" s="1559"/>
      <c r="AC140" s="1559"/>
      <c r="AD140" s="1559"/>
      <c r="AE140" s="1559"/>
      <c r="AF140" s="1559"/>
      <c r="AG140" s="1559"/>
      <c r="AH140" s="1559"/>
      <c r="AI140" s="1594"/>
      <c r="AJ140" s="1593">
        <v>1</v>
      </c>
      <c r="AK140" s="1594"/>
      <c r="AL140" s="1594"/>
      <c r="AM140" s="1594"/>
      <c r="AN140" s="1594"/>
      <c r="AO140" s="1559"/>
      <c r="AP140" s="1559"/>
      <c r="AQ140" s="1559"/>
      <c r="AR140" s="1559"/>
      <c r="AS140" s="1511">
        <f t="shared" si="48"/>
        <v>0</v>
      </c>
      <c r="AT140" s="1559"/>
      <c r="AU140" s="1559"/>
      <c r="AV140" s="1559"/>
      <c r="AW140" s="1559"/>
      <c r="AX140" s="1559">
        <f t="shared" ref="AX140:AX145" si="50">Y140</f>
        <v>3.16</v>
      </c>
      <c r="AY140" s="1559"/>
      <c r="AZ140" s="1559"/>
      <c r="BA140" s="1559"/>
      <c r="BB140" s="1559"/>
      <c r="BC140" s="1832" t="s">
        <v>1864</v>
      </c>
      <c r="BD140" s="1334"/>
    </row>
    <row r="141" spans="1:56" s="1338" customFormat="1" ht="30.25" customHeight="1" outlineLevel="1">
      <c r="A141" s="1455">
        <v>3.2</v>
      </c>
      <c r="B141" s="1455" t="s">
        <v>1713</v>
      </c>
      <c r="C141" s="1455" t="s">
        <v>904</v>
      </c>
      <c r="D141" s="1331"/>
      <c r="E141" s="1332"/>
      <c r="F141" s="1332"/>
      <c r="G141" s="1595">
        <v>5.2</v>
      </c>
      <c r="H141" s="1334"/>
      <c r="I141" s="1335"/>
      <c r="J141" s="1335"/>
      <c r="K141" s="1336"/>
      <c r="L141" s="1336"/>
      <c r="M141" s="1336"/>
      <c r="N141" s="1336"/>
      <c r="O141" s="1337" t="s">
        <v>1865</v>
      </c>
      <c r="P141" s="1335"/>
      <c r="Q141" s="1335"/>
      <c r="R141" s="1335"/>
      <c r="S141" s="1335"/>
      <c r="T141" s="1511">
        <f t="shared" si="45"/>
        <v>0</v>
      </c>
      <c r="U141" s="1335"/>
      <c r="V141" s="1335"/>
      <c r="W141" s="1335"/>
      <c r="X141" s="1559"/>
      <c r="Y141" s="1559">
        <f t="shared" si="49"/>
        <v>5.2</v>
      </c>
      <c r="Z141" s="1559"/>
      <c r="AA141" s="1559"/>
      <c r="AB141" s="1559"/>
      <c r="AC141" s="1559"/>
      <c r="AD141" s="1559"/>
      <c r="AE141" s="1559"/>
      <c r="AF141" s="1559"/>
      <c r="AG141" s="1559"/>
      <c r="AH141" s="1559"/>
      <c r="AI141" s="1594"/>
      <c r="AJ141" s="1593">
        <v>1</v>
      </c>
      <c r="AK141" s="1594"/>
      <c r="AL141" s="1594"/>
      <c r="AM141" s="1594"/>
      <c r="AN141" s="1594"/>
      <c r="AO141" s="1559"/>
      <c r="AP141" s="1559"/>
      <c r="AQ141" s="1559"/>
      <c r="AR141" s="1559"/>
      <c r="AS141" s="1511">
        <f t="shared" si="48"/>
        <v>0</v>
      </c>
      <c r="AT141" s="1559"/>
      <c r="AU141" s="1559"/>
      <c r="AV141" s="1559"/>
      <c r="AW141" s="1559"/>
      <c r="AX141" s="1559">
        <f t="shared" si="50"/>
        <v>5.2</v>
      </c>
      <c r="AY141" s="1559"/>
      <c r="AZ141" s="1559"/>
      <c r="BA141" s="1559"/>
      <c r="BB141" s="1559"/>
      <c r="BC141" s="1833"/>
      <c r="BD141" s="1334"/>
    </row>
    <row r="142" spans="1:56" s="1338" customFormat="1" ht="30.25" customHeight="1" outlineLevel="1">
      <c r="A142" s="1455">
        <v>3.3</v>
      </c>
      <c r="B142" s="1455" t="s">
        <v>1714</v>
      </c>
      <c r="C142" s="1455" t="s">
        <v>904</v>
      </c>
      <c r="D142" s="1331"/>
      <c r="E142" s="1332"/>
      <c r="F142" s="1332"/>
      <c r="G142" s="1595">
        <v>8.7200000000000006</v>
      </c>
      <c r="H142" s="1334"/>
      <c r="I142" s="1335"/>
      <c r="J142" s="1335"/>
      <c r="K142" s="1336"/>
      <c r="L142" s="1336"/>
      <c r="M142" s="1336"/>
      <c r="N142" s="1336"/>
      <c r="O142" s="1337" t="s">
        <v>1866</v>
      </c>
      <c r="P142" s="1335"/>
      <c r="Q142" s="1335"/>
      <c r="R142" s="1335"/>
      <c r="S142" s="1335"/>
      <c r="T142" s="1511">
        <f t="shared" si="45"/>
        <v>0</v>
      </c>
      <c r="U142" s="1335"/>
      <c r="V142" s="1335"/>
      <c r="W142" s="1335"/>
      <c r="X142" s="1559"/>
      <c r="Y142" s="1559">
        <f t="shared" si="49"/>
        <v>8.7200000000000006</v>
      </c>
      <c r="Z142" s="1559"/>
      <c r="AA142" s="1559"/>
      <c r="AB142" s="1559"/>
      <c r="AC142" s="1559"/>
      <c r="AD142" s="1559"/>
      <c r="AE142" s="1559"/>
      <c r="AF142" s="1559"/>
      <c r="AG142" s="1559"/>
      <c r="AH142" s="1559"/>
      <c r="AI142" s="1594"/>
      <c r="AJ142" s="1593">
        <v>1</v>
      </c>
      <c r="AK142" s="1594"/>
      <c r="AL142" s="1594"/>
      <c r="AM142" s="1594"/>
      <c r="AN142" s="1594"/>
      <c r="AO142" s="1559"/>
      <c r="AP142" s="1559"/>
      <c r="AQ142" s="1559"/>
      <c r="AR142" s="1559"/>
      <c r="AS142" s="1511">
        <f t="shared" si="48"/>
        <v>0</v>
      </c>
      <c r="AT142" s="1559"/>
      <c r="AU142" s="1559"/>
      <c r="AV142" s="1559"/>
      <c r="AW142" s="1559"/>
      <c r="AX142" s="1559">
        <f t="shared" si="50"/>
        <v>8.7200000000000006</v>
      </c>
      <c r="AY142" s="1559"/>
      <c r="AZ142" s="1559"/>
      <c r="BA142" s="1559"/>
      <c r="BB142" s="1559"/>
      <c r="BC142" s="1833"/>
      <c r="BD142" s="1334"/>
    </row>
    <row r="143" spans="1:56" s="1338" customFormat="1" ht="30.25" customHeight="1" outlineLevel="1">
      <c r="A143" s="1455">
        <v>3.4</v>
      </c>
      <c r="B143" s="1455" t="s">
        <v>1715</v>
      </c>
      <c r="C143" s="1455" t="s">
        <v>904</v>
      </c>
      <c r="D143" s="1331"/>
      <c r="E143" s="1332"/>
      <c r="F143" s="1332"/>
      <c r="G143" s="1595">
        <v>12.99</v>
      </c>
      <c r="H143" s="1334"/>
      <c r="I143" s="1335"/>
      <c r="J143" s="1335"/>
      <c r="K143" s="1336"/>
      <c r="L143" s="1336"/>
      <c r="M143" s="1336"/>
      <c r="N143" s="1336"/>
      <c r="O143" s="1337" t="s">
        <v>1867</v>
      </c>
      <c r="P143" s="1335"/>
      <c r="Q143" s="1335"/>
      <c r="R143" s="1335"/>
      <c r="S143" s="1335"/>
      <c r="T143" s="1511">
        <f t="shared" si="45"/>
        <v>0</v>
      </c>
      <c r="U143" s="1335"/>
      <c r="V143" s="1335"/>
      <c r="W143" s="1335"/>
      <c r="X143" s="1559"/>
      <c r="Y143" s="1559">
        <f t="shared" si="49"/>
        <v>12.99</v>
      </c>
      <c r="Z143" s="1559"/>
      <c r="AA143" s="1559"/>
      <c r="AB143" s="1559"/>
      <c r="AC143" s="1559"/>
      <c r="AD143" s="1559"/>
      <c r="AE143" s="1559"/>
      <c r="AF143" s="1559"/>
      <c r="AG143" s="1559"/>
      <c r="AH143" s="1559"/>
      <c r="AI143" s="1594"/>
      <c r="AJ143" s="1593">
        <v>1</v>
      </c>
      <c r="AK143" s="1594"/>
      <c r="AL143" s="1594"/>
      <c r="AM143" s="1594"/>
      <c r="AN143" s="1594"/>
      <c r="AO143" s="1559"/>
      <c r="AP143" s="1559"/>
      <c r="AQ143" s="1559"/>
      <c r="AR143" s="1559"/>
      <c r="AS143" s="1511">
        <f t="shared" si="48"/>
        <v>0</v>
      </c>
      <c r="AT143" s="1559"/>
      <c r="AU143" s="1559"/>
      <c r="AV143" s="1559"/>
      <c r="AW143" s="1559"/>
      <c r="AX143" s="1559">
        <f t="shared" si="50"/>
        <v>12.99</v>
      </c>
      <c r="AY143" s="1559"/>
      <c r="AZ143" s="1559"/>
      <c r="BA143" s="1559"/>
      <c r="BB143" s="1559"/>
      <c r="BC143" s="1833"/>
      <c r="BD143" s="1334"/>
    </row>
    <row r="144" spans="1:56" s="1338" customFormat="1" ht="30.25" customHeight="1" outlineLevel="1">
      <c r="A144" s="1455">
        <v>3.5</v>
      </c>
      <c r="B144" s="1455" t="s">
        <v>1716</v>
      </c>
      <c r="C144" s="1455" t="s">
        <v>904</v>
      </c>
      <c r="D144" s="1331"/>
      <c r="E144" s="1332"/>
      <c r="F144" s="1332"/>
      <c r="G144" s="1595">
        <v>2.29</v>
      </c>
      <c r="H144" s="1334"/>
      <c r="I144" s="1335"/>
      <c r="J144" s="1335"/>
      <c r="K144" s="1336"/>
      <c r="L144" s="1336"/>
      <c r="M144" s="1336"/>
      <c r="N144" s="1336"/>
      <c r="O144" s="1337" t="s">
        <v>1868</v>
      </c>
      <c r="P144" s="1335"/>
      <c r="Q144" s="1335"/>
      <c r="R144" s="1335"/>
      <c r="S144" s="1335"/>
      <c r="T144" s="1511">
        <f t="shared" si="45"/>
        <v>0</v>
      </c>
      <c r="U144" s="1335"/>
      <c r="V144" s="1335"/>
      <c r="W144" s="1335"/>
      <c r="X144" s="1559"/>
      <c r="Y144" s="1559">
        <f t="shared" si="49"/>
        <v>2.29</v>
      </c>
      <c r="Z144" s="1559"/>
      <c r="AA144" s="1559"/>
      <c r="AB144" s="1559"/>
      <c r="AC144" s="1559"/>
      <c r="AD144" s="1559"/>
      <c r="AE144" s="1559"/>
      <c r="AF144" s="1559"/>
      <c r="AG144" s="1559"/>
      <c r="AH144" s="1559"/>
      <c r="AI144" s="1594"/>
      <c r="AJ144" s="1593">
        <v>1</v>
      </c>
      <c r="AK144" s="1594"/>
      <c r="AL144" s="1594"/>
      <c r="AM144" s="1594"/>
      <c r="AN144" s="1594"/>
      <c r="AO144" s="1559"/>
      <c r="AP144" s="1559"/>
      <c r="AQ144" s="1559"/>
      <c r="AR144" s="1559"/>
      <c r="AS144" s="1511">
        <f t="shared" si="48"/>
        <v>0</v>
      </c>
      <c r="AT144" s="1559"/>
      <c r="AU144" s="1559"/>
      <c r="AV144" s="1559"/>
      <c r="AW144" s="1559"/>
      <c r="AX144" s="1559">
        <f t="shared" si="50"/>
        <v>2.29</v>
      </c>
      <c r="AY144" s="1559"/>
      <c r="AZ144" s="1559"/>
      <c r="BA144" s="1559"/>
      <c r="BB144" s="1559"/>
      <c r="BC144" s="1833"/>
      <c r="BD144" s="1334"/>
    </row>
    <row r="145" spans="1:56" s="1338" customFormat="1" ht="30.25" customHeight="1" outlineLevel="1">
      <c r="A145" s="1455">
        <v>3.6</v>
      </c>
      <c r="B145" s="1455" t="s">
        <v>1717</v>
      </c>
      <c r="C145" s="1455" t="s">
        <v>904</v>
      </c>
      <c r="D145" s="1331"/>
      <c r="E145" s="1332"/>
      <c r="F145" s="1332"/>
      <c r="G145" s="1595">
        <v>10.11</v>
      </c>
      <c r="H145" s="1334"/>
      <c r="I145" s="1335"/>
      <c r="J145" s="1335"/>
      <c r="K145" s="1336"/>
      <c r="L145" s="1336"/>
      <c r="M145" s="1336"/>
      <c r="N145" s="1336"/>
      <c r="O145" s="1337" t="s">
        <v>1869</v>
      </c>
      <c r="P145" s="1335"/>
      <c r="Q145" s="1335"/>
      <c r="R145" s="1335"/>
      <c r="S145" s="1335"/>
      <c r="T145" s="1511">
        <f t="shared" si="45"/>
        <v>0</v>
      </c>
      <c r="U145" s="1335"/>
      <c r="V145" s="1335"/>
      <c r="W145" s="1335"/>
      <c r="X145" s="1559"/>
      <c r="Y145" s="1559">
        <f t="shared" si="49"/>
        <v>10.11</v>
      </c>
      <c r="Z145" s="1559"/>
      <c r="AA145" s="1559"/>
      <c r="AB145" s="1559"/>
      <c r="AC145" s="1559"/>
      <c r="AD145" s="1559"/>
      <c r="AE145" s="1559"/>
      <c r="AF145" s="1559"/>
      <c r="AG145" s="1559"/>
      <c r="AH145" s="1559"/>
      <c r="AI145" s="1594"/>
      <c r="AJ145" s="1593"/>
      <c r="AK145" s="1594"/>
      <c r="AL145" s="1594"/>
      <c r="AM145" s="1594"/>
      <c r="AN145" s="1594"/>
      <c r="AO145" s="1559"/>
      <c r="AP145" s="1559"/>
      <c r="AQ145" s="1559"/>
      <c r="AR145" s="1559"/>
      <c r="AS145" s="1511">
        <f t="shared" si="48"/>
        <v>0</v>
      </c>
      <c r="AT145" s="1559"/>
      <c r="AU145" s="1559"/>
      <c r="AV145" s="1559"/>
      <c r="AW145" s="1559"/>
      <c r="AX145" s="1559">
        <f t="shared" si="50"/>
        <v>10.11</v>
      </c>
      <c r="AY145" s="1559"/>
      <c r="AZ145" s="1559"/>
      <c r="BA145" s="1559"/>
      <c r="BB145" s="1559"/>
      <c r="BC145" s="1834"/>
      <c r="BD145" s="1334"/>
    </row>
    <row r="146" spans="1:56" s="1338" customFormat="1" ht="30" customHeight="1" outlineLevel="1">
      <c r="A146" s="1458">
        <v>4</v>
      </c>
      <c r="B146" s="1459" t="s">
        <v>1718</v>
      </c>
      <c r="C146" s="1458" t="s">
        <v>896</v>
      </c>
      <c r="D146" s="1331"/>
      <c r="E146" s="1332"/>
      <c r="F146" s="1332"/>
      <c r="G146" s="1340">
        <f>SUM(G147)</f>
        <v>50</v>
      </c>
      <c r="H146" s="1334"/>
      <c r="I146" s="1335"/>
      <c r="J146" s="1335"/>
      <c r="K146" s="1336"/>
      <c r="L146" s="1336"/>
      <c r="M146" s="1336"/>
      <c r="N146" s="1336"/>
      <c r="O146" s="1337"/>
      <c r="P146" s="1335"/>
      <c r="Q146" s="1335"/>
      <c r="R146" s="1335"/>
      <c r="S146" s="1335"/>
      <c r="T146" s="1511">
        <f t="shared" si="45"/>
        <v>0</v>
      </c>
      <c r="U146" s="1335"/>
      <c r="V146" s="1335"/>
      <c r="W146" s="1335"/>
      <c r="X146" s="1559"/>
      <c r="Y146" s="1333"/>
      <c r="Z146" s="1333">
        <f t="shared" ref="Z146:BA146" si="51">SUM(Z147)</f>
        <v>0</v>
      </c>
      <c r="AA146" s="1333">
        <f t="shared" si="51"/>
        <v>0</v>
      </c>
      <c r="AB146" s="1333">
        <f t="shared" si="51"/>
        <v>0</v>
      </c>
      <c r="AC146" s="1333"/>
      <c r="AD146" s="1333"/>
      <c r="AE146" s="1333"/>
      <c r="AF146" s="1333"/>
      <c r="AG146" s="1333"/>
      <c r="AH146" s="1333"/>
      <c r="AI146" s="1333">
        <f t="shared" si="51"/>
        <v>0</v>
      </c>
      <c r="AJ146" s="1333"/>
      <c r="AK146" s="1333">
        <f t="shared" si="51"/>
        <v>0</v>
      </c>
      <c r="AL146" s="1333">
        <f t="shared" si="51"/>
        <v>0</v>
      </c>
      <c r="AM146" s="1333">
        <f t="shared" si="51"/>
        <v>0</v>
      </c>
      <c r="AN146" s="1333">
        <f t="shared" si="51"/>
        <v>0</v>
      </c>
      <c r="AO146" s="1333">
        <f t="shared" si="51"/>
        <v>0</v>
      </c>
      <c r="AP146" s="1333"/>
      <c r="AQ146" s="1333"/>
      <c r="AR146" s="1333"/>
      <c r="AS146" s="1511">
        <f t="shared" si="48"/>
        <v>0</v>
      </c>
      <c r="AT146" s="1333"/>
      <c r="AU146" s="1333"/>
      <c r="AV146" s="1333"/>
      <c r="AW146" s="1333">
        <f t="shared" si="51"/>
        <v>0</v>
      </c>
      <c r="AX146" s="1333"/>
      <c r="AY146" s="1333">
        <f t="shared" si="51"/>
        <v>0</v>
      </c>
      <c r="AZ146" s="1333">
        <f t="shared" si="51"/>
        <v>0</v>
      </c>
      <c r="BA146" s="1333">
        <f t="shared" si="51"/>
        <v>0</v>
      </c>
      <c r="BB146" s="1559"/>
      <c r="BC146" s="1337"/>
      <c r="BD146" s="1334"/>
    </row>
    <row r="147" spans="1:56" s="1338" customFormat="1" ht="30" customHeight="1" outlineLevel="1">
      <c r="A147" s="1455">
        <v>4.0999999999999996</v>
      </c>
      <c r="B147" s="1455" t="s">
        <v>1718</v>
      </c>
      <c r="C147" s="1455" t="s">
        <v>904</v>
      </c>
      <c r="D147" s="1341"/>
      <c r="E147" s="1342"/>
      <c r="F147" s="1342"/>
      <c r="G147" s="1343">
        <v>50</v>
      </c>
      <c r="H147" s="1334"/>
      <c r="I147" s="1335"/>
      <c r="J147" s="1335"/>
      <c r="K147" s="1336"/>
      <c r="L147" s="1336"/>
      <c r="M147" s="1336"/>
      <c r="N147" s="1336"/>
      <c r="O147" s="1337" t="s">
        <v>1870</v>
      </c>
      <c r="P147" s="1335"/>
      <c r="Q147" s="1335"/>
      <c r="R147" s="1335"/>
      <c r="S147" s="1335"/>
      <c r="T147" s="1511">
        <f t="shared" si="45"/>
        <v>0</v>
      </c>
      <c r="U147" s="1335"/>
      <c r="V147" s="1335"/>
      <c r="W147" s="1335"/>
      <c r="X147" s="1559"/>
      <c r="Y147" s="1559">
        <f>G147</f>
        <v>50</v>
      </c>
      <c r="Z147" s="1559"/>
      <c r="AA147" s="1559"/>
      <c r="AB147" s="1559"/>
      <c r="AC147" s="1559"/>
      <c r="AD147" s="1559"/>
      <c r="AE147" s="1559"/>
      <c r="AF147" s="1559"/>
      <c r="AG147" s="1559"/>
      <c r="AH147" s="1559"/>
      <c r="AI147" s="1559"/>
      <c r="AJ147" s="1593">
        <v>1</v>
      </c>
      <c r="AK147" s="1594"/>
      <c r="AL147" s="1594"/>
      <c r="AM147" s="1594"/>
      <c r="AN147" s="1594"/>
      <c r="AO147" s="1559"/>
      <c r="AP147" s="1559"/>
      <c r="AQ147" s="1559"/>
      <c r="AR147" s="1559"/>
      <c r="AS147" s="1511">
        <f t="shared" si="48"/>
        <v>0</v>
      </c>
      <c r="AT147" s="1559"/>
      <c r="AU147" s="1559"/>
      <c r="AV147" s="1559"/>
      <c r="AW147" s="1559"/>
      <c r="AX147" s="1559">
        <f>Y147</f>
        <v>50</v>
      </c>
      <c r="AY147" s="1559"/>
      <c r="AZ147" s="1559"/>
      <c r="BA147" s="1559"/>
      <c r="BB147" s="1559"/>
      <c r="BC147" s="1337"/>
      <c r="BD147" s="1334"/>
    </row>
    <row r="148" spans="1:56" s="1330" customFormat="1" ht="30.25" customHeight="1" outlineLevel="1">
      <c r="A148" s="1457"/>
      <c r="B148" s="1457" t="s">
        <v>1719</v>
      </c>
      <c r="C148" s="1457"/>
      <c r="D148" s="1344"/>
      <c r="E148" s="1345"/>
      <c r="F148" s="1345"/>
      <c r="G148" s="1344"/>
      <c r="H148" s="1344"/>
      <c r="I148" s="1344"/>
      <c r="J148" s="1344"/>
      <c r="K148" s="1345"/>
      <c r="L148" s="1345"/>
      <c r="M148" s="1345"/>
      <c r="N148" s="1345"/>
      <c r="O148" s="1346"/>
      <c r="P148" s="1344"/>
      <c r="Q148" s="1344"/>
      <c r="R148" s="1344"/>
      <c r="S148" s="1344"/>
      <c r="T148" s="1511">
        <f t="shared" si="45"/>
        <v>0</v>
      </c>
      <c r="U148" s="1344"/>
      <c r="V148" s="1344"/>
      <c r="W148" s="1344"/>
      <c r="X148" s="1596"/>
      <c r="Y148" s="1596"/>
      <c r="Z148" s="1596"/>
      <c r="AA148" s="1596"/>
      <c r="AB148" s="1596"/>
      <c r="AC148" s="1596"/>
      <c r="AD148" s="1596"/>
      <c r="AE148" s="1596"/>
      <c r="AF148" s="1596"/>
      <c r="AG148" s="1596"/>
      <c r="AH148" s="1596"/>
      <c r="AI148" s="1597"/>
      <c r="AJ148" s="1597"/>
      <c r="AK148" s="1597"/>
      <c r="AL148" s="1597"/>
      <c r="AM148" s="1597"/>
      <c r="AN148" s="1597"/>
      <c r="AO148" s="1596"/>
      <c r="AP148" s="1596"/>
      <c r="AQ148" s="1596"/>
      <c r="AR148" s="1596"/>
      <c r="AS148" s="1511">
        <f t="shared" si="48"/>
        <v>0</v>
      </c>
      <c r="AT148" s="1596"/>
      <c r="AU148" s="1596"/>
      <c r="AV148" s="1596"/>
      <c r="AW148" s="1596"/>
      <c r="AX148" s="1596"/>
      <c r="AY148" s="1596"/>
      <c r="AZ148" s="1596"/>
      <c r="BA148" s="1596"/>
      <c r="BB148" s="1596"/>
      <c r="BC148" s="1346"/>
      <c r="BD148" s="1347"/>
    </row>
    <row r="149" spans="1:56" s="1338" customFormat="1" ht="30.25" customHeight="1" outlineLevel="1">
      <c r="A149" s="1458">
        <v>1</v>
      </c>
      <c r="B149" s="1459" t="s">
        <v>1720</v>
      </c>
      <c r="C149" s="1458" t="s">
        <v>896</v>
      </c>
      <c r="D149" s="1331"/>
      <c r="E149" s="1332"/>
      <c r="F149" s="1332"/>
      <c r="G149" s="1340">
        <f>SUM(G150:G156)</f>
        <v>25.08</v>
      </c>
      <c r="H149" s="1334"/>
      <c r="I149" s="1335"/>
      <c r="J149" s="1335"/>
      <c r="K149" s="1336"/>
      <c r="L149" s="1336"/>
      <c r="M149" s="1336"/>
      <c r="N149" s="1336"/>
      <c r="O149" s="1337"/>
      <c r="P149" s="1335"/>
      <c r="Q149" s="1335"/>
      <c r="R149" s="1335"/>
      <c r="S149" s="1335"/>
      <c r="T149" s="1511">
        <f t="shared" si="45"/>
        <v>0</v>
      </c>
      <c r="U149" s="1335"/>
      <c r="V149" s="1335"/>
      <c r="W149" s="1335"/>
      <c r="X149" s="1340">
        <f t="shared" ref="X149:BA149" si="52">SUM(X150:X156)</f>
        <v>0</v>
      </c>
      <c r="Y149" s="1340">
        <f t="shared" si="52"/>
        <v>0</v>
      </c>
      <c r="Z149" s="1340"/>
      <c r="AA149" s="1340">
        <f t="shared" si="52"/>
        <v>0</v>
      </c>
      <c r="AB149" s="1340">
        <f t="shared" si="52"/>
        <v>0</v>
      </c>
      <c r="AC149" s="1340"/>
      <c r="AD149" s="1340"/>
      <c r="AE149" s="1340"/>
      <c r="AF149" s="1340"/>
      <c r="AG149" s="1340"/>
      <c r="AH149" s="1340"/>
      <c r="AI149" s="1340">
        <f t="shared" si="52"/>
        <v>0</v>
      </c>
      <c r="AJ149" s="1340">
        <f t="shared" si="52"/>
        <v>0</v>
      </c>
      <c r="AK149" s="1340"/>
      <c r="AL149" s="1340">
        <f t="shared" si="52"/>
        <v>0</v>
      </c>
      <c r="AM149" s="1340">
        <f t="shared" si="52"/>
        <v>0</v>
      </c>
      <c r="AN149" s="1340">
        <f t="shared" si="52"/>
        <v>0</v>
      </c>
      <c r="AO149" s="1340">
        <f t="shared" si="52"/>
        <v>0</v>
      </c>
      <c r="AP149" s="1340"/>
      <c r="AQ149" s="1340"/>
      <c r="AR149" s="1340"/>
      <c r="AS149" s="1511">
        <f t="shared" si="48"/>
        <v>0</v>
      </c>
      <c r="AT149" s="1340"/>
      <c r="AU149" s="1340"/>
      <c r="AV149" s="1340"/>
      <c r="AW149" s="1340">
        <f t="shared" si="52"/>
        <v>0</v>
      </c>
      <c r="AX149" s="1340">
        <f t="shared" si="52"/>
        <v>0</v>
      </c>
      <c r="AY149" s="1340"/>
      <c r="AZ149" s="1340">
        <f t="shared" si="52"/>
        <v>0</v>
      </c>
      <c r="BA149" s="1340">
        <f t="shared" si="52"/>
        <v>0</v>
      </c>
      <c r="BB149" s="1559"/>
      <c r="BC149" s="1337"/>
      <c r="BD149" s="1334"/>
    </row>
    <row r="150" spans="1:56" s="1338" customFormat="1" ht="30.25" customHeight="1" outlineLevel="1">
      <c r="A150" s="1455">
        <v>1.1000000000000001</v>
      </c>
      <c r="B150" s="1455" t="s">
        <v>1721</v>
      </c>
      <c r="C150" s="1455" t="s">
        <v>904</v>
      </c>
      <c r="D150" s="1331"/>
      <c r="E150" s="1332"/>
      <c r="F150" s="1332"/>
      <c r="G150" s="1339">
        <v>5.58</v>
      </c>
      <c r="H150" s="1334"/>
      <c r="I150" s="1335"/>
      <c r="J150" s="1335"/>
      <c r="K150" s="1336"/>
      <c r="L150" s="1336"/>
      <c r="M150" s="1336"/>
      <c r="N150" s="1336"/>
      <c r="O150" s="1337" t="s">
        <v>1871</v>
      </c>
      <c r="P150" s="1335"/>
      <c r="Q150" s="1335"/>
      <c r="R150" s="1335"/>
      <c r="S150" s="1335"/>
      <c r="T150" s="1511">
        <f t="shared" si="45"/>
        <v>0</v>
      </c>
      <c r="U150" s="1335"/>
      <c r="V150" s="1335"/>
      <c r="W150" s="1335"/>
      <c r="X150" s="1559"/>
      <c r="Y150" s="1559"/>
      <c r="Z150" s="1559">
        <f t="shared" ref="Z150:Z156" si="53">G150</f>
        <v>5.58</v>
      </c>
      <c r="AA150" s="1559"/>
      <c r="AB150" s="1559"/>
      <c r="AC150" s="1559"/>
      <c r="AD150" s="1559"/>
      <c r="AE150" s="1559"/>
      <c r="AF150" s="1559"/>
      <c r="AG150" s="1559"/>
      <c r="AH150" s="1559"/>
      <c r="AI150" s="1594"/>
      <c r="AJ150" s="1594"/>
      <c r="AK150" s="1593">
        <v>1</v>
      </c>
      <c r="AL150" s="1594"/>
      <c r="AM150" s="1594"/>
      <c r="AN150" s="1594"/>
      <c r="AO150" s="1559"/>
      <c r="AP150" s="1559"/>
      <c r="AQ150" s="1559"/>
      <c r="AR150" s="1559"/>
      <c r="AS150" s="1511">
        <f t="shared" si="48"/>
        <v>0</v>
      </c>
      <c r="AT150" s="1559"/>
      <c r="AU150" s="1559"/>
      <c r="AV150" s="1559"/>
      <c r="AW150" s="1559"/>
      <c r="AX150" s="1559"/>
      <c r="AY150" s="1559">
        <f t="shared" ref="AY150:AY156" si="54">Z150</f>
        <v>5.58</v>
      </c>
      <c r="AZ150" s="1559"/>
      <c r="BA150" s="1559"/>
      <c r="BB150" s="1559"/>
      <c r="BC150" s="1337" t="s">
        <v>1872</v>
      </c>
      <c r="BD150" s="1334"/>
    </row>
    <row r="151" spans="1:56" s="1338" customFormat="1" ht="30.25" customHeight="1" outlineLevel="1">
      <c r="A151" s="1455">
        <v>1.2</v>
      </c>
      <c r="B151" s="1455" t="s">
        <v>1722</v>
      </c>
      <c r="C151" s="1455" t="s">
        <v>904</v>
      </c>
      <c r="D151" s="1331"/>
      <c r="E151" s="1332"/>
      <c r="F151" s="1332"/>
      <c r="G151" s="1339">
        <v>2.5</v>
      </c>
      <c r="H151" s="1334"/>
      <c r="I151" s="1335"/>
      <c r="J151" s="1335"/>
      <c r="K151" s="1336"/>
      <c r="L151" s="1336"/>
      <c r="M151" s="1336"/>
      <c r="N151" s="1336"/>
      <c r="O151" s="1337" t="s">
        <v>1873</v>
      </c>
      <c r="P151" s="1335"/>
      <c r="Q151" s="1335"/>
      <c r="R151" s="1335"/>
      <c r="S151" s="1335"/>
      <c r="T151" s="1511">
        <f t="shared" si="45"/>
        <v>0</v>
      </c>
      <c r="U151" s="1335"/>
      <c r="V151" s="1335"/>
      <c r="W151" s="1335"/>
      <c r="X151" s="1559"/>
      <c r="Y151" s="1559"/>
      <c r="Z151" s="1559">
        <f t="shared" si="53"/>
        <v>2.5</v>
      </c>
      <c r="AA151" s="1559"/>
      <c r="AB151" s="1559"/>
      <c r="AC151" s="1559"/>
      <c r="AD151" s="1559"/>
      <c r="AE151" s="1559"/>
      <c r="AF151" s="1559"/>
      <c r="AG151" s="1559"/>
      <c r="AH151" s="1559"/>
      <c r="AI151" s="1594"/>
      <c r="AJ151" s="1594"/>
      <c r="AK151" s="1593">
        <v>1</v>
      </c>
      <c r="AL151" s="1594"/>
      <c r="AM151" s="1594"/>
      <c r="AN151" s="1594"/>
      <c r="AO151" s="1559"/>
      <c r="AP151" s="1559"/>
      <c r="AQ151" s="1559"/>
      <c r="AR151" s="1559"/>
      <c r="AS151" s="1511">
        <f t="shared" si="48"/>
        <v>0</v>
      </c>
      <c r="AT151" s="1559"/>
      <c r="AU151" s="1559"/>
      <c r="AV151" s="1559"/>
      <c r="AW151" s="1559"/>
      <c r="AX151" s="1559"/>
      <c r="AY151" s="1559">
        <f t="shared" si="54"/>
        <v>2.5</v>
      </c>
      <c r="AZ151" s="1559"/>
      <c r="BA151" s="1559"/>
      <c r="BB151" s="1559"/>
      <c r="BC151" s="1337" t="s">
        <v>1872</v>
      </c>
      <c r="BD151" s="1334"/>
    </row>
    <row r="152" spans="1:56" s="1338" customFormat="1" ht="30.25" customHeight="1" outlineLevel="1">
      <c r="A152" s="1455">
        <v>1.3</v>
      </c>
      <c r="B152" s="1455" t="s">
        <v>1723</v>
      </c>
      <c r="C152" s="1455" t="s">
        <v>904</v>
      </c>
      <c r="D152" s="1341"/>
      <c r="E152" s="1342"/>
      <c r="F152" s="1342"/>
      <c r="G152" s="1343">
        <v>2</v>
      </c>
      <c r="H152" s="1334"/>
      <c r="I152" s="1335"/>
      <c r="J152" s="1335"/>
      <c r="K152" s="1336"/>
      <c r="L152" s="1336"/>
      <c r="M152" s="1336"/>
      <c r="N152" s="1336"/>
      <c r="O152" s="1337" t="s">
        <v>1874</v>
      </c>
      <c r="P152" s="1335"/>
      <c r="Q152" s="1335"/>
      <c r="R152" s="1335"/>
      <c r="S152" s="1335"/>
      <c r="T152" s="1511">
        <f t="shared" si="45"/>
        <v>0</v>
      </c>
      <c r="U152" s="1335"/>
      <c r="V152" s="1335"/>
      <c r="W152" s="1335"/>
      <c r="X152" s="1559"/>
      <c r="Y152" s="1559"/>
      <c r="Z152" s="1559">
        <f t="shared" si="53"/>
        <v>2</v>
      </c>
      <c r="AA152" s="1559"/>
      <c r="AB152" s="1559"/>
      <c r="AC152" s="1559"/>
      <c r="AD152" s="1559"/>
      <c r="AE152" s="1559"/>
      <c r="AF152" s="1559"/>
      <c r="AG152" s="1559"/>
      <c r="AH152" s="1559"/>
      <c r="AI152" s="1594"/>
      <c r="AJ152" s="1594"/>
      <c r="AK152" s="1593">
        <v>1</v>
      </c>
      <c r="AL152" s="1594"/>
      <c r="AM152" s="1594"/>
      <c r="AN152" s="1594"/>
      <c r="AO152" s="1559"/>
      <c r="AP152" s="1559"/>
      <c r="AQ152" s="1559"/>
      <c r="AR152" s="1559"/>
      <c r="AS152" s="1511">
        <f t="shared" si="48"/>
        <v>0</v>
      </c>
      <c r="AT152" s="1559"/>
      <c r="AU152" s="1559"/>
      <c r="AV152" s="1559"/>
      <c r="AW152" s="1559"/>
      <c r="AX152" s="1559"/>
      <c r="AY152" s="1559">
        <f t="shared" si="54"/>
        <v>2</v>
      </c>
      <c r="AZ152" s="1559"/>
      <c r="BA152" s="1559"/>
      <c r="BB152" s="1559"/>
      <c r="BC152" s="1337" t="s">
        <v>1872</v>
      </c>
      <c r="BD152" s="1334"/>
    </row>
    <row r="153" spans="1:56" s="1338" customFormat="1" ht="30.25" customHeight="1" outlineLevel="1">
      <c r="A153" s="1455">
        <v>1.4</v>
      </c>
      <c r="B153" s="1455" t="s">
        <v>1724</v>
      </c>
      <c r="C153" s="1455" t="s">
        <v>904</v>
      </c>
      <c r="D153" s="1331"/>
      <c r="E153" s="1332"/>
      <c r="F153" s="1332"/>
      <c r="G153" s="1339">
        <v>4</v>
      </c>
      <c r="H153" s="1334"/>
      <c r="I153" s="1335"/>
      <c r="J153" s="1335"/>
      <c r="K153" s="1336"/>
      <c r="L153" s="1336"/>
      <c r="M153" s="1336"/>
      <c r="N153" s="1336"/>
      <c r="O153" s="1337" t="s">
        <v>1875</v>
      </c>
      <c r="P153" s="1335"/>
      <c r="Q153" s="1335"/>
      <c r="R153" s="1335"/>
      <c r="S153" s="1335"/>
      <c r="T153" s="1511">
        <f t="shared" si="45"/>
        <v>0</v>
      </c>
      <c r="U153" s="1335"/>
      <c r="V153" s="1335"/>
      <c r="W153" s="1335"/>
      <c r="X153" s="1559"/>
      <c r="Y153" s="1559"/>
      <c r="Z153" s="1559">
        <f t="shared" si="53"/>
        <v>4</v>
      </c>
      <c r="AA153" s="1559"/>
      <c r="AB153" s="1559"/>
      <c r="AC153" s="1559"/>
      <c r="AD153" s="1559"/>
      <c r="AE153" s="1559"/>
      <c r="AF153" s="1559"/>
      <c r="AG153" s="1559"/>
      <c r="AH153" s="1559"/>
      <c r="AI153" s="1594"/>
      <c r="AJ153" s="1594"/>
      <c r="AK153" s="1593">
        <v>1</v>
      </c>
      <c r="AL153" s="1594"/>
      <c r="AM153" s="1594"/>
      <c r="AN153" s="1594"/>
      <c r="AO153" s="1559"/>
      <c r="AP153" s="1559"/>
      <c r="AQ153" s="1559"/>
      <c r="AR153" s="1559"/>
      <c r="AS153" s="1511">
        <f t="shared" si="48"/>
        <v>0</v>
      </c>
      <c r="AT153" s="1559"/>
      <c r="AU153" s="1559"/>
      <c r="AV153" s="1559"/>
      <c r="AW153" s="1559"/>
      <c r="AX153" s="1559"/>
      <c r="AY153" s="1559">
        <f t="shared" si="54"/>
        <v>4</v>
      </c>
      <c r="AZ153" s="1559"/>
      <c r="BA153" s="1559"/>
      <c r="BB153" s="1559"/>
      <c r="BC153" s="1337" t="s">
        <v>1872</v>
      </c>
      <c r="BD153" s="1334"/>
    </row>
    <row r="154" spans="1:56" s="1338" customFormat="1" ht="30.25" customHeight="1" outlineLevel="1">
      <c r="A154" s="1455">
        <v>1.5</v>
      </c>
      <c r="B154" s="1455" t="s">
        <v>1725</v>
      </c>
      <c r="C154" s="1455" t="s">
        <v>904</v>
      </c>
      <c r="D154" s="1331"/>
      <c r="E154" s="1332"/>
      <c r="F154" s="1332"/>
      <c r="G154" s="1339">
        <v>6</v>
      </c>
      <c r="H154" s="1334"/>
      <c r="I154" s="1335"/>
      <c r="J154" s="1335"/>
      <c r="K154" s="1336"/>
      <c r="L154" s="1336"/>
      <c r="M154" s="1336"/>
      <c r="N154" s="1336"/>
      <c r="O154" s="1337" t="s">
        <v>1876</v>
      </c>
      <c r="P154" s="1335"/>
      <c r="Q154" s="1335"/>
      <c r="R154" s="1335"/>
      <c r="S154" s="1335"/>
      <c r="T154" s="1511">
        <f t="shared" si="45"/>
        <v>0</v>
      </c>
      <c r="U154" s="1335"/>
      <c r="V154" s="1335"/>
      <c r="W154" s="1335"/>
      <c r="X154" s="1559"/>
      <c r="Y154" s="1559"/>
      <c r="Z154" s="1559">
        <f t="shared" si="53"/>
        <v>6</v>
      </c>
      <c r="AA154" s="1559"/>
      <c r="AB154" s="1559"/>
      <c r="AC154" s="1559"/>
      <c r="AD154" s="1559"/>
      <c r="AE154" s="1559"/>
      <c r="AF154" s="1559"/>
      <c r="AG154" s="1559"/>
      <c r="AH154" s="1559"/>
      <c r="AI154" s="1594"/>
      <c r="AJ154" s="1594"/>
      <c r="AK154" s="1593">
        <v>1</v>
      </c>
      <c r="AL154" s="1594"/>
      <c r="AM154" s="1594"/>
      <c r="AN154" s="1594"/>
      <c r="AO154" s="1559"/>
      <c r="AP154" s="1559"/>
      <c r="AQ154" s="1559"/>
      <c r="AR154" s="1559"/>
      <c r="AS154" s="1511">
        <f t="shared" si="48"/>
        <v>0</v>
      </c>
      <c r="AT154" s="1559"/>
      <c r="AU154" s="1559"/>
      <c r="AV154" s="1559"/>
      <c r="AW154" s="1559"/>
      <c r="AX154" s="1559"/>
      <c r="AY154" s="1559">
        <f t="shared" si="54"/>
        <v>6</v>
      </c>
      <c r="AZ154" s="1559"/>
      <c r="BA154" s="1559"/>
      <c r="BB154" s="1559"/>
      <c r="BC154" s="1337" t="s">
        <v>1872</v>
      </c>
      <c r="BD154" s="1334"/>
    </row>
    <row r="155" spans="1:56" s="1338" customFormat="1" ht="30.25" customHeight="1" outlineLevel="1">
      <c r="A155" s="1455">
        <v>1.6</v>
      </c>
      <c r="B155" s="1455" t="s">
        <v>1726</v>
      </c>
      <c r="C155" s="1455" t="s">
        <v>904</v>
      </c>
      <c r="D155" s="1331"/>
      <c r="E155" s="1332"/>
      <c r="F155" s="1332"/>
      <c r="G155" s="1339">
        <v>4</v>
      </c>
      <c r="H155" s="1334"/>
      <c r="I155" s="1335"/>
      <c r="J155" s="1335"/>
      <c r="K155" s="1336"/>
      <c r="L155" s="1336"/>
      <c r="M155" s="1336"/>
      <c r="N155" s="1336"/>
      <c r="O155" s="1337" t="s">
        <v>1877</v>
      </c>
      <c r="P155" s="1335"/>
      <c r="Q155" s="1335"/>
      <c r="R155" s="1335"/>
      <c r="S155" s="1335"/>
      <c r="T155" s="1511">
        <f t="shared" si="45"/>
        <v>0</v>
      </c>
      <c r="U155" s="1335"/>
      <c r="V155" s="1335"/>
      <c r="W155" s="1335"/>
      <c r="X155" s="1559"/>
      <c r="Y155" s="1559"/>
      <c r="Z155" s="1559">
        <f t="shared" si="53"/>
        <v>4</v>
      </c>
      <c r="AA155" s="1559"/>
      <c r="AB155" s="1559"/>
      <c r="AC155" s="1559"/>
      <c r="AD155" s="1559"/>
      <c r="AE155" s="1559"/>
      <c r="AF155" s="1559"/>
      <c r="AG155" s="1559"/>
      <c r="AH155" s="1559"/>
      <c r="AI155" s="1594"/>
      <c r="AJ155" s="1594"/>
      <c r="AK155" s="1593">
        <v>1</v>
      </c>
      <c r="AL155" s="1594"/>
      <c r="AM155" s="1594"/>
      <c r="AN155" s="1594"/>
      <c r="AO155" s="1559"/>
      <c r="AP155" s="1559"/>
      <c r="AQ155" s="1559"/>
      <c r="AR155" s="1559"/>
      <c r="AS155" s="1511">
        <f t="shared" si="48"/>
        <v>0</v>
      </c>
      <c r="AT155" s="1559"/>
      <c r="AU155" s="1559"/>
      <c r="AV155" s="1559"/>
      <c r="AW155" s="1559"/>
      <c r="AX155" s="1559"/>
      <c r="AY155" s="1559">
        <f t="shared" si="54"/>
        <v>4</v>
      </c>
      <c r="AZ155" s="1559"/>
      <c r="BA155" s="1559"/>
      <c r="BB155" s="1559"/>
      <c r="BC155" s="1337" t="s">
        <v>1872</v>
      </c>
      <c r="BD155" s="1334"/>
    </row>
    <row r="156" spans="1:56" s="1338" customFormat="1" ht="30.25" customHeight="1" outlineLevel="1">
      <c r="A156" s="1455">
        <v>1.7</v>
      </c>
      <c r="B156" s="1455" t="s">
        <v>1727</v>
      </c>
      <c r="C156" s="1455" t="s">
        <v>904</v>
      </c>
      <c r="D156" s="1331"/>
      <c r="E156" s="1332"/>
      <c r="F156" s="1332"/>
      <c r="G156" s="1339">
        <v>1</v>
      </c>
      <c r="H156" s="1334"/>
      <c r="I156" s="1335"/>
      <c r="J156" s="1335"/>
      <c r="K156" s="1336"/>
      <c r="L156" s="1336"/>
      <c r="M156" s="1336"/>
      <c r="N156" s="1336"/>
      <c r="O156" s="1337" t="s">
        <v>1877</v>
      </c>
      <c r="P156" s="1335"/>
      <c r="Q156" s="1335"/>
      <c r="R156" s="1335"/>
      <c r="S156" s="1335"/>
      <c r="T156" s="1511">
        <f t="shared" si="45"/>
        <v>0</v>
      </c>
      <c r="U156" s="1335"/>
      <c r="V156" s="1335"/>
      <c r="W156" s="1335"/>
      <c r="X156" s="1559"/>
      <c r="Y156" s="1559"/>
      <c r="Z156" s="1559">
        <f t="shared" si="53"/>
        <v>1</v>
      </c>
      <c r="AA156" s="1559"/>
      <c r="AB156" s="1559"/>
      <c r="AC156" s="1559"/>
      <c r="AD156" s="1559"/>
      <c r="AE156" s="1559"/>
      <c r="AF156" s="1559"/>
      <c r="AG156" s="1559"/>
      <c r="AH156" s="1559"/>
      <c r="AI156" s="1594"/>
      <c r="AJ156" s="1594"/>
      <c r="AK156" s="1593">
        <v>1</v>
      </c>
      <c r="AL156" s="1594"/>
      <c r="AM156" s="1594"/>
      <c r="AN156" s="1594"/>
      <c r="AO156" s="1559"/>
      <c r="AP156" s="1559"/>
      <c r="AQ156" s="1559"/>
      <c r="AR156" s="1559"/>
      <c r="AS156" s="1511">
        <f t="shared" si="48"/>
        <v>0</v>
      </c>
      <c r="AT156" s="1559"/>
      <c r="AU156" s="1559"/>
      <c r="AV156" s="1559"/>
      <c r="AW156" s="1559"/>
      <c r="AX156" s="1559"/>
      <c r="AY156" s="1559">
        <f t="shared" si="54"/>
        <v>1</v>
      </c>
      <c r="AZ156" s="1559"/>
      <c r="BA156" s="1559"/>
      <c r="BB156" s="1559"/>
      <c r="BC156" s="1337" t="s">
        <v>1872</v>
      </c>
      <c r="BD156" s="1334"/>
    </row>
    <row r="157" spans="1:56" s="1338" customFormat="1" ht="30.25" customHeight="1" outlineLevel="1">
      <c r="A157" s="1458">
        <v>2</v>
      </c>
      <c r="B157" s="1459" t="s">
        <v>1728</v>
      </c>
      <c r="C157" s="1458" t="s">
        <v>896</v>
      </c>
      <c r="D157" s="1331"/>
      <c r="E157" s="1332"/>
      <c r="F157" s="1332"/>
      <c r="G157" s="1333">
        <f>SUM(G158:G160)</f>
        <v>42.330000000000005</v>
      </c>
      <c r="H157" s="1334"/>
      <c r="I157" s="1335"/>
      <c r="J157" s="1335"/>
      <c r="K157" s="1336"/>
      <c r="L157" s="1336"/>
      <c r="M157" s="1336"/>
      <c r="N157" s="1336"/>
      <c r="O157" s="1337"/>
      <c r="P157" s="1335"/>
      <c r="Q157" s="1335"/>
      <c r="R157" s="1335"/>
      <c r="S157" s="1335"/>
      <c r="T157" s="1511">
        <f t="shared" si="45"/>
        <v>0</v>
      </c>
      <c r="U157" s="1335"/>
      <c r="V157" s="1335"/>
      <c r="W157" s="1335"/>
      <c r="X157" s="1333">
        <f t="shared" ref="X157:Y157" si="55">SUM(X158:X159)</f>
        <v>0</v>
      </c>
      <c r="Y157" s="1333">
        <f t="shared" si="55"/>
        <v>0</v>
      </c>
      <c r="Z157" s="1333"/>
      <c r="AA157" s="1333">
        <f t="shared" ref="AA157:AO157" si="56">SUM(AA158:AA160)</f>
        <v>0</v>
      </c>
      <c r="AB157" s="1333">
        <f t="shared" si="56"/>
        <v>0</v>
      </c>
      <c r="AC157" s="1333"/>
      <c r="AD157" s="1333"/>
      <c r="AE157" s="1333"/>
      <c r="AF157" s="1333"/>
      <c r="AG157" s="1333"/>
      <c r="AH157" s="1333"/>
      <c r="AI157" s="1333">
        <f t="shared" si="56"/>
        <v>0</v>
      </c>
      <c r="AJ157" s="1333">
        <f t="shared" si="56"/>
        <v>0</v>
      </c>
      <c r="AK157" s="1333"/>
      <c r="AL157" s="1333">
        <f t="shared" si="56"/>
        <v>0</v>
      </c>
      <c r="AM157" s="1333">
        <f t="shared" si="56"/>
        <v>0</v>
      </c>
      <c r="AN157" s="1333">
        <f t="shared" si="56"/>
        <v>0</v>
      </c>
      <c r="AO157" s="1333">
        <f t="shared" si="56"/>
        <v>0</v>
      </c>
      <c r="AP157" s="1333"/>
      <c r="AQ157" s="1333"/>
      <c r="AR157" s="1333"/>
      <c r="AS157" s="1511">
        <f t="shared" si="48"/>
        <v>0</v>
      </c>
      <c r="AT157" s="1333"/>
      <c r="AU157" s="1333"/>
      <c r="AV157" s="1333"/>
      <c r="AW157" s="1333">
        <f t="shared" ref="AW157:BA157" si="57">SUM(AW158:AW160)</f>
        <v>0</v>
      </c>
      <c r="AX157" s="1333">
        <f t="shared" si="57"/>
        <v>0</v>
      </c>
      <c r="AY157" s="1333"/>
      <c r="AZ157" s="1333">
        <f t="shared" si="57"/>
        <v>0</v>
      </c>
      <c r="BA157" s="1333">
        <f t="shared" si="57"/>
        <v>0</v>
      </c>
      <c r="BB157" s="1559"/>
      <c r="BC157" s="1337"/>
      <c r="BD157" s="1334"/>
    </row>
    <row r="158" spans="1:56" s="1338" customFormat="1" ht="30.25" customHeight="1" outlineLevel="1">
      <c r="A158" s="1455">
        <v>2.1</v>
      </c>
      <c r="B158" s="1455" t="s">
        <v>1729</v>
      </c>
      <c r="C158" s="1455" t="s">
        <v>904</v>
      </c>
      <c r="D158" s="1341"/>
      <c r="E158" s="1342"/>
      <c r="F158" s="1342"/>
      <c r="G158" s="1343">
        <v>4.6900000000000004</v>
      </c>
      <c r="H158" s="1334"/>
      <c r="I158" s="1335"/>
      <c r="J158" s="1335"/>
      <c r="K158" s="1336"/>
      <c r="L158" s="1336"/>
      <c r="M158" s="1336"/>
      <c r="N158" s="1336"/>
      <c r="O158" s="1337" t="s">
        <v>1878</v>
      </c>
      <c r="P158" s="1335"/>
      <c r="Q158" s="1335"/>
      <c r="R158" s="1335"/>
      <c r="S158" s="1335"/>
      <c r="T158" s="1511">
        <f t="shared" si="45"/>
        <v>0</v>
      </c>
      <c r="U158" s="1335"/>
      <c r="V158" s="1335"/>
      <c r="W158" s="1335"/>
      <c r="X158" s="1559"/>
      <c r="Y158" s="1559"/>
      <c r="Z158" s="1559">
        <f>G158</f>
        <v>4.6900000000000004</v>
      </c>
      <c r="AA158" s="1559"/>
      <c r="AB158" s="1559"/>
      <c r="AC158" s="1559"/>
      <c r="AD158" s="1559"/>
      <c r="AE158" s="1559"/>
      <c r="AF158" s="1559"/>
      <c r="AG158" s="1559"/>
      <c r="AH158" s="1559"/>
      <c r="AI158" s="1594"/>
      <c r="AJ158" s="1594"/>
      <c r="AK158" s="1593">
        <v>1</v>
      </c>
      <c r="AL158" s="1594"/>
      <c r="AM158" s="1594"/>
      <c r="AN158" s="1594"/>
      <c r="AO158" s="1559"/>
      <c r="AP158" s="1559"/>
      <c r="AQ158" s="1559"/>
      <c r="AR158" s="1559"/>
      <c r="AS158" s="1511">
        <f t="shared" si="48"/>
        <v>0</v>
      </c>
      <c r="AT158" s="1559"/>
      <c r="AU158" s="1559"/>
      <c r="AV158" s="1559"/>
      <c r="AW158" s="1559"/>
      <c r="AX158" s="1559"/>
      <c r="AY158" s="1559">
        <f>Z158</f>
        <v>4.6900000000000004</v>
      </c>
      <c r="AZ158" s="1559"/>
      <c r="BA158" s="1559"/>
      <c r="BB158" s="1559"/>
      <c r="BC158" s="1832" t="s">
        <v>1879</v>
      </c>
      <c r="BD158" s="1334"/>
    </row>
    <row r="159" spans="1:56" s="1338" customFormat="1" ht="30.25" customHeight="1" outlineLevel="1">
      <c r="A159" s="1455">
        <v>2.2000000000000002</v>
      </c>
      <c r="B159" s="1455" t="s">
        <v>1730</v>
      </c>
      <c r="C159" s="1455" t="s">
        <v>904</v>
      </c>
      <c r="D159" s="1341"/>
      <c r="E159" s="1342"/>
      <c r="F159" s="1342"/>
      <c r="G159" s="1343">
        <v>3.09</v>
      </c>
      <c r="H159" s="1334"/>
      <c r="I159" s="1335"/>
      <c r="J159" s="1335"/>
      <c r="K159" s="1336"/>
      <c r="L159" s="1336"/>
      <c r="M159" s="1336"/>
      <c r="N159" s="1336"/>
      <c r="O159" s="1337" t="s">
        <v>1880</v>
      </c>
      <c r="P159" s="1335"/>
      <c r="Q159" s="1335"/>
      <c r="R159" s="1335"/>
      <c r="S159" s="1335"/>
      <c r="T159" s="1511">
        <f t="shared" si="45"/>
        <v>0</v>
      </c>
      <c r="U159" s="1335"/>
      <c r="V159" s="1335"/>
      <c r="W159" s="1335"/>
      <c r="X159" s="1559"/>
      <c r="Y159" s="1559"/>
      <c r="Z159" s="1559">
        <f>G159</f>
        <v>3.09</v>
      </c>
      <c r="AA159" s="1559"/>
      <c r="AB159" s="1559"/>
      <c r="AC159" s="1559"/>
      <c r="AD159" s="1559"/>
      <c r="AE159" s="1559"/>
      <c r="AF159" s="1559"/>
      <c r="AG159" s="1559"/>
      <c r="AH159" s="1559"/>
      <c r="AI159" s="1594"/>
      <c r="AJ159" s="1594"/>
      <c r="AK159" s="1593">
        <v>1</v>
      </c>
      <c r="AL159" s="1594"/>
      <c r="AM159" s="1594"/>
      <c r="AN159" s="1594"/>
      <c r="AO159" s="1559"/>
      <c r="AP159" s="1559"/>
      <c r="AQ159" s="1559"/>
      <c r="AR159" s="1559"/>
      <c r="AS159" s="1511">
        <f t="shared" si="48"/>
        <v>0</v>
      </c>
      <c r="AT159" s="1559"/>
      <c r="AU159" s="1559"/>
      <c r="AV159" s="1559"/>
      <c r="AW159" s="1559"/>
      <c r="AX159" s="1559"/>
      <c r="AY159" s="1559">
        <f>Z159</f>
        <v>3.09</v>
      </c>
      <c r="AZ159" s="1559"/>
      <c r="BA159" s="1559"/>
      <c r="BB159" s="1559"/>
      <c r="BC159" s="1833"/>
      <c r="BD159" s="1334"/>
    </row>
    <row r="160" spans="1:56" s="1338" customFormat="1" ht="30.25" customHeight="1" outlineLevel="1">
      <c r="A160" s="1455">
        <v>2.2999999999999998</v>
      </c>
      <c r="B160" s="1455" t="s">
        <v>1731</v>
      </c>
      <c r="C160" s="1455" t="s">
        <v>904</v>
      </c>
      <c r="D160" s="1341"/>
      <c r="E160" s="1342"/>
      <c r="F160" s="1342"/>
      <c r="G160" s="1343">
        <v>34.550000000000004</v>
      </c>
      <c r="H160" s="1334"/>
      <c r="I160" s="1335"/>
      <c r="J160" s="1335"/>
      <c r="K160" s="1336"/>
      <c r="L160" s="1336"/>
      <c r="M160" s="1336"/>
      <c r="N160" s="1336"/>
      <c r="O160" s="1337" t="s">
        <v>1881</v>
      </c>
      <c r="P160" s="1335"/>
      <c r="Q160" s="1335"/>
      <c r="R160" s="1335"/>
      <c r="S160" s="1335"/>
      <c r="T160" s="1511">
        <f t="shared" si="45"/>
        <v>0</v>
      </c>
      <c r="U160" s="1335"/>
      <c r="V160" s="1335"/>
      <c r="W160" s="1335"/>
      <c r="X160" s="1559"/>
      <c r="Y160" s="1559"/>
      <c r="Z160" s="1559">
        <f>G160</f>
        <v>34.550000000000004</v>
      </c>
      <c r="AA160" s="1559"/>
      <c r="AB160" s="1559"/>
      <c r="AC160" s="1559"/>
      <c r="AD160" s="1559"/>
      <c r="AE160" s="1559"/>
      <c r="AF160" s="1559"/>
      <c r="AG160" s="1559"/>
      <c r="AH160" s="1559"/>
      <c r="AI160" s="1594"/>
      <c r="AJ160" s="1594"/>
      <c r="AK160" s="1593">
        <v>1</v>
      </c>
      <c r="AL160" s="1594"/>
      <c r="AM160" s="1594"/>
      <c r="AN160" s="1594"/>
      <c r="AO160" s="1559"/>
      <c r="AP160" s="1559"/>
      <c r="AQ160" s="1559"/>
      <c r="AR160" s="1559"/>
      <c r="AS160" s="1511">
        <f t="shared" si="48"/>
        <v>0</v>
      </c>
      <c r="AT160" s="1559"/>
      <c r="AU160" s="1559"/>
      <c r="AV160" s="1559"/>
      <c r="AW160" s="1559"/>
      <c r="AX160" s="1559"/>
      <c r="AY160" s="1559">
        <f>Z160</f>
        <v>34.550000000000004</v>
      </c>
      <c r="AZ160" s="1559"/>
      <c r="BA160" s="1559"/>
      <c r="BB160" s="1559"/>
      <c r="BC160" s="1834"/>
      <c r="BD160" s="1334"/>
    </row>
    <row r="161" spans="1:56" s="1338" customFormat="1" ht="30.25" customHeight="1" outlineLevel="1">
      <c r="A161" s="1458">
        <v>3</v>
      </c>
      <c r="B161" s="1459" t="s">
        <v>1685</v>
      </c>
      <c r="C161" s="1458" t="s">
        <v>896</v>
      </c>
      <c r="D161" s="1331"/>
      <c r="E161" s="1332"/>
      <c r="F161" s="1332"/>
      <c r="G161" s="1333">
        <f>SUM(G162:G164)</f>
        <v>45</v>
      </c>
      <c r="H161" s="1334"/>
      <c r="I161" s="1335"/>
      <c r="J161" s="1335"/>
      <c r="K161" s="1336"/>
      <c r="L161" s="1336"/>
      <c r="M161" s="1336"/>
      <c r="N161" s="1336"/>
      <c r="O161" s="1337"/>
      <c r="P161" s="1335"/>
      <c r="Q161" s="1335"/>
      <c r="R161" s="1335"/>
      <c r="S161" s="1335"/>
      <c r="T161" s="1511">
        <f t="shared" si="45"/>
        <v>0</v>
      </c>
      <c r="U161" s="1335"/>
      <c r="V161" s="1335"/>
      <c r="W161" s="1335"/>
      <c r="X161" s="1333">
        <f t="shared" ref="X161:BA161" si="58">SUM(X162:X164)</f>
        <v>0</v>
      </c>
      <c r="Y161" s="1333">
        <f t="shared" si="58"/>
        <v>0</v>
      </c>
      <c r="Z161" s="1333"/>
      <c r="AA161" s="1333">
        <f t="shared" si="58"/>
        <v>0</v>
      </c>
      <c r="AB161" s="1333">
        <f t="shared" si="58"/>
        <v>0</v>
      </c>
      <c r="AC161" s="1333"/>
      <c r="AD161" s="1333"/>
      <c r="AE161" s="1333"/>
      <c r="AF161" s="1333"/>
      <c r="AG161" s="1333"/>
      <c r="AH161" s="1333"/>
      <c r="AI161" s="1333">
        <f t="shared" si="58"/>
        <v>0</v>
      </c>
      <c r="AJ161" s="1333">
        <f t="shared" si="58"/>
        <v>0</v>
      </c>
      <c r="AK161" s="1333"/>
      <c r="AL161" s="1333">
        <f t="shared" si="58"/>
        <v>0</v>
      </c>
      <c r="AM161" s="1333">
        <f t="shared" si="58"/>
        <v>0</v>
      </c>
      <c r="AN161" s="1333">
        <f t="shared" si="58"/>
        <v>0</v>
      </c>
      <c r="AO161" s="1333">
        <f t="shared" si="58"/>
        <v>0</v>
      </c>
      <c r="AP161" s="1333"/>
      <c r="AQ161" s="1333"/>
      <c r="AR161" s="1333"/>
      <c r="AS161" s="1511">
        <f t="shared" si="48"/>
        <v>0</v>
      </c>
      <c r="AT161" s="1333"/>
      <c r="AU161" s="1333"/>
      <c r="AV161" s="1333"/>
      <c r="AW161" s="1333">
        <f t="shared" si="58"/>
        <v>0</v>
      </c>
      <c r="AX161" s="1333">
        <f t="shared" si="58"/>
        <v>0</v>
      </c>
      <c r="AY161" s="1333"/>
      <c r="AZ161" s="1333">
        <f t="shared" si="58"/>
        <v>0</v>
      </c>
      <c r="BA161" s="1333">
        <f t="shared" si="58"/>
        <v>0</v>
      </c>
      <c r="BB161" s="1559"/>
      <c r="BC161" s="1337"/>
      <c r="BD161" s="1334"/>
    </row>
    <row r="162" spans="1:56" s="1338" customFormat="1" ht="30.25" customHeight="1" outlineLevel="1">
      <c r="A162" s="1455">
        <v>3.1</v>
      </c>
      <c r="B162" s="1455" t="s">
        <v>1732</v>
      </c>
      <c r="C162" s="1455" t="s">
        <v>904</v>
      </c>
      <c r="D162" s="1331"/>
      <c r="E162" s="1332"/>
      <c r="F162" s="1332"/>
      <c r="G162" s="1339">
        <v>25</v>
      </c>
      <c r="H162" s="1334"/>
      <c r="I162" s="1335"/>
      <c r="J162" s="1335"/>
      <c r="K162" s="1336"/>
      <c r="L162" s="1336"/>
      <c r="M162" s="1336"/>
      <c r="N162" s="1336"/>
      <c r="O162" s="1337" t="s">
        <v>1845</v>
      </c>
      <c r="P162" s="1335"/>
      <c r="Q162" s="1335"/>
      <c r="R162" s="1335"/>
      <c r="S162" s="1335"/>
      <c r="T162" s="1511">
        <f t="shared" si="45"/>
        <v>0</v>
      </c>
      <c r="U162" s="1335"/>
      <c r="V162" s="1335"/>
      <c r="W162" s="1335"/>
      <c r="X162" s="1559"/>
      <c r="Y162" s="1559"/>
      <c r="Z162" s="1559">
        <f>G162</f>
        <v>25</v>
      </c>
      <c r="AA162" s="1559"/>
      <c r="AB162" s="1559"/>
      <c r="AC162" s="1559"/>
      <c r="AD162" s="1559"/>
      <c r="AE162" s="1559"/>
      <c r="AF162" s="1559"/>
      <c r="AG162" s="1559"/>
      <c r="AH162" s="1559"/>
      <c r="AI162" s="1594"/>
      <c r="AJ162" s="1594"/>
      <c r="AK162" s="1593">
        <v>1</v>
      </c>
      <c r="AL162" s="1594"/>
      <c r="AM162" s="1594"/>
      <c r="AN162" s="1594"/>
      <c r="AO162" s="1559"/>
      <c r="AP162" s="1559"/>
      <c r="AQ162" s="1559"/>
      <c r="AR162" s="1559"/>
      <c r="AS162" s="1511">
        <f t="shared" si="48"/>
        <v>0</v>
      </c>
      <c r="AT162" s="1559"/>
      <c r="AU162" s="1559"/>
      <c r="AV162" s="1559"/>
      <c r="AW162" s="1559"/>
      <c r="AX162" s="1559"/>
      <c r="AY162" s="1559">
        <f>Z162</f>
        <v>25</v>
      </c>
      <c r="AZ162" s="1559"/>
      <c r="BA162" s="1559"/>
      <c r="BB162" s="1559"/>
      <c r="BC162" s="1337" t="s">
        <v>1872</v>
      </c>
      <c r="BD162" s="1334"/>
    </row>
    <row r="163" spans="1:56" s="1338" customFormat="1" ht="30.25" customHeight="1" outlineLevel="1">
      <c r="A163" s="1455">
        <v>3.2</v>
      </c>
      <c r="B163" s="1455" t="s">
        <v>1733</v>
      </c>
      <c r="C163" s="1455" t="s">
        <v>904</v>
      </c>
      <c r="D163" s="1331"/>
      <c r="E163" s="1332"/>
      <c r="F163" s="1332"/>
      <c r="G163" s="1339">
        <v>15</v>
      </c>
      <c r="H163" s="1334"/>
      <c r="I163" s="1335"/>
      <c r="J163" s="1335"/>
      <c r="K163" s="1336"/>
      <c r="L163" s="1336"/>
      <c r="M163" s="1336"/>
      <c r="N163" s="1336"/>
      <c r="O163" s="1337" t="s">
        <v>1882</v>
      </c>
      <c r="P163" s="1335"/>
      <c r="Q163" s="1335"/>
      <c r="R163" s="1335"/>
      <c r="S163" s="1335"/>
      <c r="T163" s="1511">
        <f t="shared" si="45"/>
        <v>0</v>
      </c>
      <c r="U163" s="1335"/>
      <c r="V163" s="1335"/>
      <c r="W163" s="1335"/>
      <c r="X163" s="1559"/>
      <c r="Y163" s="1559"/>
      <c r="Z163" s="1559">
        <f>G163</f>
        <v>15</v>
      </c>
      <c r="AA163" s="1559"/>
      <c r="AB163" s="1559"/>
      <c r="AC163" s="1559"/>
      <c r="AD163" s="1559"/>
      <c r="AE163" s="1559"/>
      <c r="AF163" s="1559"/>
      <c r="AG163" s="1559"/>
      <c r="AH163" s="1559"/>
      <c r="AI163" s="1594"/>
      <c r="AJ163" s="1594"/>
      <c r="AK163" s="1593">
        <v>1</v>
      </c>
      <c r="AL163" s="1594"/>
      <c r="AM163" s="1594"/>
      <c r="AN163" s="1594"/>
      <c r="AO163" s="1559"/>
      <c r="AP163" s="1559"/>
      <c r="AQ163" s="1559"/>
      <c r="AR163" s="1559"/>
      <c r="AS163" s="1511">
        <f t="shared" si="48"/>
        <v>0</v>
      </c>
      <c r="AT163" s="1559"/>
      <c r="AU163" s="1559"/>
      <c r="AV163" s="1559"/>
      <c r="AW163" s="1559"/>
      <c r="AX163" s="1559"/>
      <c r="AY163" s="1559">
        <f>Z163</f>
        <v>15</v>
      </c>
      <c r="AZ163" s="1559"/>
      <c r="BA163" s="1559"/>
      <c r="BB163" s="1559"/>
      <c r="BC163" s="1337" t="s">
        <v>1872</v>
      </c>
      <c r="BD163" s="1334"/>
    </row>
    <row r="164" spans="1:56" s="1338" customFormat="1" ht="30.25" customHeight="1" outlineLevel="1">
      <c r="A164" s="1455">
        <v>3.3</v>
      </c>
      <c r="B164" s="1455" t="s">
        <v>1734</v>
      </c>
      <c r="C164" s="1455" t="s">
        <v>904</v>
      </c>
      <c r="D164" s="1331"/>
      <c r="E164" s="1332"/>
      <c r="F164" s="1332"/>
      <c r="G164" s="1339">
        <v>5</v>
      </c>
      <c r="H164" s="1334"/>
      <c r="I164" s="1335"/>
      <c r="J164" s="1335"/>
      <c r="K164" s="1336"/>
      <c r="L164" s="1336"/>
      <c r="M164" s="1336"/>
      <c r="N164" s="1336"/>
      <c r="O164" s="1337" t="s">
        <v>1883</v>
      </c>
      <c r="P164" s="1335"/>
      <c r="Q164" s="1335"/>
      <c r="R164" s="1335"/>
      <c r="S164" s="1335"/>
      <c r="T164" s="1511">
        <f t="shared" si="45"/>
        <v>0</v>
      </c>
      <c r="U164" s="1335"/>
      <c r="V164" s="1335"/>
      <c r="W164" s="1335"/>
      <c r="X164" s="1559"/>
      <c r="Y164" s="1559"/>
      <c r="Z164" s="1559">
        <f>G164</f>
        <v>5</v>
      </c>
      <c r="AA164" s="1559"/>
      <c r="AB164" s="1559"/>
      <c r="AC164" s="1559"/>
      <c r="AD164" s="1559"/>
      <c r="AE164" s="1559"/>
      <c r="AF164" s="1559"/>
      <c r="AG164" s="1559"/>
      <c r="AH164" s="1559"/>
      <c r="AI164" s="1594"/>
      <c r="AJ164" s="1594"/>
      <c r="AK164" s="1593">
        <v>1</v>
      </c>
      <c r="AL164" s="1594"/>
      <c r="AM164" s="1594"/>
      <c r="AN164" s="1594"/>
      <c r="AO164" s="1559"/>
      <c r="AP164" s="1559"/>
      <c r="AQ164" s="1559"/>
      <c r="AR164" s="1559"/>
      <c r="AS164" s="1511">
        <f t="shared" si="48"/>
        <v>0</v>
      </c>
      <c r="AT164" s="1559"/>
      <c r="AU164" s="1559"/>
      <c r="AV164" s="1559"/>
      <c r="AW164" s="1559"/>
      <c r="AX164" s="1559"/>
      <c r="AY164" s="1559">
        <f>Z164</f>
        <v>5</v>
      </c>
      <c r="AZ164" s="1559"/>
      <c r="BA164" s="1559"/>
      <c r="BB164" s="1559"/>
      <c r="BC164" s="1337" t="s">
        <v>1872</v>
      </c>
      <c r="BD164" s="1334"/>
    </row>
    <row r="165" spans="1:56" s="1338" customFormat="1" ht="30.25" customHeight="1" outlineLevel="1">
      <c r="A165" s="1458">
        <v>4</v>
      </c>
      <c r="B165" s="1459" t="s">
        <v>1735</v>
      </c>
      <c r="C165" s="1458" t="s">
        <v>896</v>
      </c>
      <c r="D165" s="1331"/>
      <c r="E165" s="1332"/>
      <c r="F165" s="1332"/>
      <c r="G165" s="1340">
        <f>SUM(G166:G171)</f>
        <v>46.899999999999991</v>
      </c>
      <c r="H165" s="1334"/>
      <c r="I165" s="1335"/>
      <c r="J165" s="1335"/>
      <c r="K165" s="1336"/>
      <c r="L165" s="1336"/>
      <c r="M165" s="1336"/>
      <c r="N165" s="1336"/>
      <c r="O165" s="1337"/>
      <c r="P165" s="1335"/>
      <c r="Q165" s="1335"/>
      <c r="R165" s="1335"/>
      <c r="S165" s="1335"/>
      <c r="T165" s="1511">
        <f t="shared" si="45"/>
        <v>0</v>
      </c>
      <c r="U165" s="1335"/>
      <c r="V165" s="1335"/>
      <c r="W165" s="1335"/>
      <c r="X165" s="1340">
        <f t="shared" ref="X165:AJ165" si="59">SUM(X166:X170)</f>
        <v>0</v>
      </c>
      <c r="Y165" s="1340">
        <f t="shared" si="59"/>
        <v>0</v>
      </c>
      <c r="Z165" s="1340"/>
      <c r="AA165" s="1340">
        <f t="shared" si="59"/>
        <v>0</v>
      </c>
      <c r="AB165" s="1340">
        <f t="shared" si="59"/>
        <v>0</v>
      </c>
      <c r="AC165" s="1340"/>
      <c r="AD165" s="1340"/>
      <c r="AE165" s="1340"/>
      <c r="AF165" s="1340"/>
      <c r="AG165" s="1340"/>
      <c r="AH165" s="1340"/>
      <c r="AI165" s="1340">
        <f t="shared" si="59"/>
        <v>0</v>
      </c>
      <c r="AJ165" s="1340">
        <f t="shared" si="59"/>
        <v>0</v>
      </c>
      <c r="AK165" s="1340"/>
      <c r="AL165" s="1340">
        <f t="shared" ref="AL165:BA165" si="60">SUM(AL166:AL170)</f>
        <v>0</v>
      </c>
      <c r="AM165" s="1340">
        <f t="shared" si="60"/>
        <v>0</v>
      </c>
      <c r="AN165" s="1340">
        <f t="shared" si="60"/>
        <v>0</v>
      </c>
      <c r="AO165" s="1340">
        <f t="shared" si="60"/>
        <v>0</v>
      </c>
      <c r="AP165" s="1340"/>
      <c r="AQ165" s="1340"/>
      <c r="AR165" s="1340"/>
      <c r="AS165" s="1511">
        <f t="shared" si="48"/>
        <v>0</v>
      </c>
      <c r="AT165" s="1340"/>
      <c r="AU165" s="1340"/>
      <c r="AV165" s="1340"/>
      <c r="AW165" s="1340">
        <f t="shared" si="60"/>
        <v>0</v>
      </c>
      <c r="AX165" s="1340">
        <f t="shared" si="60"/>
        <v>0</v>
      </c>
      <c r="AY165" s="1340"/>
      <c r="AZ165" s="1340">
        <f t="shared" si="60"/>
        <v>0</v>
      </c>
      <c r="BA165" s="1340">
        <f t="shared" si="60"/>
        <v>0</v>
      </c>
      <c r="BB165" s="1559"/>
      <c r="BC165" s="1337"/>
      <c r="BD165" s="1334"/>
    </row>
    <row r="166" spans="1:56" s="1338" customFormat="1" ht="30.25" customHeight="1" outlineLevel="1">
      <c r="A166" s="1455">
        <v>4.0999999999999996</v>
      </c>
      <c r="B166" s="1455" t="s">
        <v>1736</v>
      </c>
      <c r="C166" s="1455" t="s">
        <v>904</v>
      </c>
      <c r="D166" s="1341"/>
      <c r="E166" s="1342"/>
      <c r="F166" s="1342"/>
      <c r="G166" s="1343">
        <v>18.399999999999999</v>
      </c>
      <c r="H166" s="1334"/>
      <c r="I166" s="1335"/>
      <c r="J166" s="1335"/>
      <c r="K166" s="1336"/>
      <c r="L166" s="1336"/>
      <c r="M166" s="1336"/>
      <c r="N166" s="1336"/>
      <c r="O166" s="1337" t="s">
        <v>1884</v>
      </c>
      <c r="P166" s="1335"/>
      <c r="Q166" s="1335"/>
      <c r="R166" s="1335"/>
      <c r="S166" s="1335"/>
      <c r="T166" s="1511">
        <f t="shared" si="45"/>
        <v>0</v>
      </c>
      <c r="U166" s="1335"/>
      <c r="V166" s="1335"/>
      <c r="W166" s="1335"/>
      <c r="X166" s="1559"/>
      <c r="Y166" s="1559"/>
      <c r="Z166" s="1559">
        <v>18.399999999999999</v>
      </c>
      <c r="AA166" s="1559"/>
      <c r="AB166" s="1559"/>
      <c r="AC166" s="1559"/>
      <c r="AD166" s="1559"/>
      <c r="AE166" s="1559"/>
      <c r="AF166" s="1559"/>
      <c r="AG166" s="1559"/>
      <c r="AH166" s="1559"/>
      <c r="AI166" s="1594"/>
      <c r="AJ166" s="1594"/>
      <c r="AK166" s="1593">
        <v>1</v>
      </c>
      <c r="AL166" s="1594"/>
      <c r="AM166" s="1594"/>
      <c r="AN166" s="1594"/>
      <c r="AO166" s="1559"/>
      <c r="AP166" s="1559"/>
      <c r="AQ166" s="1559"/>
      <c r="AR166" s="1559"/>
      <c r="AS166" s="1511">
        <f t="shared" si="48"/>
        <v>0</v>
      </c>
      <c r="AT166" s="1559"/>
      <c r="AU166" s="1559"/>
      <c r="AV166" s="1559"/>
      <c r="AW166" s="1559"/>
      <c r="AX166" s="1559"/>
      <c r="AY166" s="1559">
        <f>Z166</f>
        <v>18.399999999999999</v>
      </c>
      <c r="AZ166" s="1559"/>
      <c r="BA166" s="1559"/>
      <c r="BB166" s="1559"/>
      <c r="BC166" s="1337" t="s">
        <v>1872</v>
      </c>
      <c r="BD166" s="1334"/>
    </row>
    <row r="167" spans="1:56" s="1338" customFormat="1" ht="30.25" customHeight="1" outlineLevel="1">
      <c r="A167" s="1455">
        <v>4.2</v>
      </c>
      <c r="B167" s="1455" t="s">
        <v>1737</v>
      </c>
      <c r="C167" s="1455" t="s">
        <v>904</v>
      </c>
      <c r="D167" s="1341"/>
      <c r="E167" s="1342"/>
      <c r="F167" s="1342"/>
      <c r="G167" s="1343">
        <v>6.9</v>
      </c>
      <c r="H167" s="1334"/>
      <c r="I167" s="1335"/>
      <c r="J167" s="1335"/>
      <c r="K167" s="1336"/>
      <c r="L167" s="1336"/>
      <c r="M167" s="1336"/>
      <c r="N167" s="1336"/>
      <c r="O167" s="1337" t="s">
        <v>1884</v>
      </c>
      <c r="P167" s="1335"/>
      <c r="Q167" s="1335"/>
      <c r="R167" s="1335"/>
      <c r="S167" s="1335"/>
      <c r="T167" s="1511">
        <f t="shared" si="45"/>
        <v>0</v>
      </c>
      <c r="U167" s="1335"/>
      <c r="V167" s="1335"/>
      <c r="W167" s="1335"/>
      <c r="X167" s="1559"/>
      <c r="Y167" s="1559"/>
      <c r="Z167" s="1559">
        <v>6.9</v>
      </c>
      <c r="AA167" s="1559"/>
      <c r="AB167" s="1559"/>
      <c r="AC167" s="1559"/>
      <c r="AD167" s="1559"/>
      <c r="AE167" s="1559"/>
      <c r="AF167" s="1559"/>
      <c r="AG167" s="1559"/>
      <c r="AH167" s="1559"/>
      <c r="AI167" s="1594"/>
      <c r="AJ167" s="1594"/>
      <c r="AK167" s="1593">
        <v>1</v>
      </c>
      <c r="AL167" s="1594"/>
      <c r="AM167" s="1594"/>
      <c r="AN167" s="1594"/>
      <c r="AO167" s="1559"/>
      <c r="AP167" s="1559"/>
      <c r="AQ167" s="1559"/>
      <c r="AR167" s="1559"/>
      <c r="AS167" s="1511">
        <f t="shared" si="48"/>
        <v>0</v>
      </c>
      <c r="AT167" s="1559"/>
      <c r="AU167" s="1559"/>
      <c r="AV167" s="1559"/>
      <c r="AW167" s="1559"/>
      <c r="AX167" s="1559"/>
      <c r="AY167" s="1559">
        <f>Z167</f>
        <v>6.9</v>
      </c>
      <c r="AZ167" s="1559"/>
      <c r="BA167" s="1559"/>
      <c r="BB167" s="1559"/>
      <c r="BC167" s="1337" t="s">
        <v>1872</v>
      </c>
      <c r="BD167" s="1334"/>
    </row>
    <row r="168" spans="1:56" s="1338" customFormat="1" ht="30.25" customHeight="1" outlineLevel="1">
      <c r="A168" s="1455">
        <v>4.3</v>
      </c>
      <c r="B168" s="1455" t="s">
        <v>1738</v>
      </c>
      <c r="C168" s="1455" t="s">
        <v>904</v>
      </c>
      <c r="D168" s="1341"/>
      <c r="E168" s="1342"/>
      <c r="F168" s="1342"/>
      <c r="G168" s="1343">
        <v>4.4000000000000004</v>
      </c>
      <c r="H168" s="1334"/>
      <c r="I168" s="1335"/>
      <c r="J168" s="1335"/>
      <c r="K168" s="1336"/>
      <c r="L168" s="1336"/>
      <c r="M168" s="1336"/>
      <c r="N168" s="1336"/>
      <c r="O168" s="1337" t="s">
        <v>1884</v>
      </c>
      <c r="P168" s="1335"/>
      <c r="Q168" s="1335"/>
      <c r="R168" s="1335"/>
      <c r="S168" s="1335"/>
      <c r="T168" s="1511">
        <f t="shared" si="45"/>
        <v>0</v>
      </c>
      <c r="U168" s="1335"/>
      <c r="V168" s="1335"/>
      <c r="W168" s="1335"/>
      <c r="X168" s="1559"/>
      <c r="Y168" s="1559"/>
      <c r="Z168" s="1559">
        <v>4.4000000000000004</v>
      </c>
      <c r="AA168" s="1559"/>
      <c r="AB168" s="1559"/>
      <c r="AC168" s="1559"/>
      <c r="AD168" s="1559"/>
      <c r="AE168" s="1559"/>
      <c r="AF168" s="1559"/>
      <c r="AG168" s="1559"/>
      <c r="AH168" s="1559"/>
      <c r="AI168" s="1594"/>
      <c r="AJ168" s="1594"/>
      <c r="AK168" s="1593">
        <v>1</v>
      </c>
      <c r="AL168" s="1594"/>
      <c r="AM168" s="1594"/>
      <c r="AN168" s="1594"/>
      <c r="AO168" s="1559"/>
      <c r="AP168" s="1559"/>
      <c r="AQ168" s="1559"/>
      <c r="AR168" s="1559"/>
      <c r="AS168" s="1511">
        <f t="shared" si="48"/>
        <v>0</v>
      </c>
      <c r="AT168" s="1559"/>
      <c r="AU168" s="1559"/>
      <c r="AV168" s="1559"/>
      <c r="AW168" s="1559"/>
      <c r="AX168" s="1559"/>
      <c r="AY168" s="1559">
        <f>Z168</f>
        <v>4.4000000000000004</v>
      </c>
      <c r="AZ168" s="1559"/>
      <c r="BA168" s="1559"/>
      <c r="BB168" s="1559"/>
      <c r="BC168" s="1337" t="s">
        <v>1872</v>
      </c>
      <c r="BD168" s="1334"/>
    </row>
    <row r="169" spans="1:56" s="1338" customFormat="1" ht="30.25" customHeight="1" outlineLevel="1">
      <c r="A169" s="1455">
        <v>4.4000000000000004</v>
      </c>
      <c r="B169" s="1455" t="s">
        <v>1739</v>
      </c>
      <c r="C169" s="1455" t="s">
        <v>904</v>
      </c>
      <c r="D169" s="1341"/>
      <c r="E169" s="1342"/>
      <c r="F169" s="1342"/>
      <c r="G169" s="1343">
        <v>3.73</v>
      </c>
      <c r="H169" s="1334"/>
      <c r="I169" s="1335"/>
      <c r="J169" s="1335"/>
      <c r="K169" s="1336"/>
      <c r="L169" s="1336"/>
      <c r="M169" s="1336"/>
      <c r="N169" s="1336"/>
      <c r="O169" s="1337" t="s">
        <v>1885</v>
      </c>
      <c r="P169" s="1335"/>
      <c r="Q169" s="1335"/>
      <c r="R169" s="1335"/>
      <c r="S169" s="1335"/>
      <c r="T169" s="1511">
        <f t="shared" si="45"/>
        <v>0</v>
      </c>
      <c r="U169" s="1335"/>
      <c r="V169" s="1335"/>
      <c r="W169" s="1335"/>
      <c r="X169" s="1559"/>
      <c r="Y169" s="1559"/>
      <c r="Z169" s="1559">
        <v>3.73</v>
      </c>
      <c r="AA169" s="1559"/>
      <c r="AB169" s="1559"/>
      <c r="AC169" s="1559"/>
      <c r="AD169" s="1559"/>
      <c r="AE169" s="1559"/>
      <c r="AF169" s="1559"/>
      <c r="AG169" s="1559"/>
      <c r="AH169" s="1559"/>
      <c r="AI169" s="1594"/>
      <c r="AJ169" s="1594"/>
      <c r="AK169" s="1593">
        <v>1</v>
      </c>
      <c r="AL169" s="1594"/>
      <c r="AM169" s="1594"/>
      <c r="AN169" s="1594"/>
      <c r="AO169" s="1559"/>
      <c r="AP169" s="1559"/>
      <c r="AQ169" s="1559"/>
      <c r="AR169" s="1559"/>
      <c r="AS169" s="1511">
        <f t="shared" si="48"/>
        <v>0</v>
      </c>
      <c r="AT169" s="1559"/>
      <c r="AU169" s="1559"/>
      <c r="AV169" s="1559"/>
      <c r="AW169" s="1559"/>
      <c r="AX169" s="1559"/>
      <c r="AY169" s="1559">
        <f>Z169</f>
        <v>3.73</v>
      </c>
      <c r="AZ169" s="1559"/>
      <c r="BA169" s="1559"/>
      <c r="BB169" s="1559"/>
      <c r="BC169" s="1337" t="s">
        <v>1872</v>
      </c>
      <c r="BD169" s="1334"/>
    </row>
    <row r="170" spans="1:56" s="1338" customFormat="1" ht="30.25" customHeight="1" outlineLevel="1">
      <c r="A170" s="1455">
        <v>4.5</v>
      </c>
      <c r="B170" s="1455" t="s">
        <v>1740</v>
      </c>
      <c r="C170" s="1455" t="s">
        <v>904</v>
      </c>
      <c r="D170" s="1341"/>
      <c r="E170" s="1342"/>
      <c r="F170" s="1342"/>
      <c r="G170" s="1343">
        <v>10.47</v>
      </c>
      <c r="H170" s="1334"/>
      <c r="I170" s="1335"/>
      <c r="J170" s="1335"/>
      <c r="K170" s="1336"/>
      <c r="L170" s="1336"/>
      <c r="M170" s="1336"/>
      <c r="N170" s="1336"/>
      <c r="O170" s="1337" t="s">
        <v>1886</v>
      </c>
      <c r="P170" s="1335"/>
      <c r="Q170" s="1335"/>
      <c r="R170" s="1335"/>
      <c r="S170" s="1335"/>
      <c r="T170" s="1511">
        <f t="shared" si="45"/>
        <v>0</v>
      </c>
      <c r="U170" s="1335"/>
      <c r="V170" s="1335"/>
      <c r="W170" s="1335"/>
      <c r="X170" s="1559"/>
      <c r="Y170" s="1559"/>
      <c r="Z170" s="1559">
        <v>10.47</v>
      </c>
      <c r="AA170" s="1559"/>
      <c r="AB170" s="1559"/>
      <c r="AC170" s="1559"/>
      <c r="AD170" s="1559"/>
      <c r="AE170" s="1559"/>
      <c r="AF170" s="1559"/>
      <c r="AG170" s="1559"/>
      <c r="AH170" s="1559"/>
      <c r="AI170" s="1594"/>
      <c r="AJ170" s="1594"/>
      <c r="AK170" s="1593">
        <v>1</v>
      </c>
      <c r="AL170" s="1594"/>
      <c r="AM170" s="1594"/>
      <c r="AN170" s="1594"/>
      <c r="AO170" s="1559"/>
      <c r="AP170" s="1559"/>
      <c r="AQ170" s="1559"/>
      <c r="AR170" s="1559"/>
      <c r="AS170" s="1511">
        <f t="shared" si="48"/>
        <v>0</v>
      </c>
      <c r="AT170" s="1559"/>
      <c r="AU170" s="1559"/>
      <c r="AV170" s="1559"/>
      <c r="AW170" s="1559"/>
      <c r="AX170" s="1559"/>
      <c r="AY170" s="1559">
        <f>Z170</f>
        <v>10.47</v>
      </c>
      <c r="AZ170" s="1559"/>
      <c r="BA170" s="1559"/>
      <c r="BB170" s="1559"/>
      <c r="BC170" s="1337" t="s">
        <v>1872</v>
      </c>
      <c r="BD170" s="1334"/>
    </row>
    <row r="171" spans="1:56" s="1338" customFormat="1" ht="30.25" customHeight="1" outlineLevel="1">
      <c r="A171" s="1455">
        <v>4.5999999999999996</v>
      </c>
      <c r="B171" s="1455" t="s">
        <v>1741</v>
      </c>
      <c r="C171" s="1455" t="s">
        <v>904</v>
      </c>
      <c r="D171" s="1341"/>
      <c r="E171" s="1342"/>
      <c r="F171" s="1342"/>
      <c r="G171" s="1343">
        <v>3</v>
      </c>
      <c r="H171" s="1334"/>
      <c r="I171" s="1335"/>
      <c r="J171" s="1335"/>
      <c r="K171" s="1336"/>
      <c r="L171" s="1336"/>
      <c r="M171" s="1336"/>
      <c r="N171" s="1336"/>
      <c r="O171" s="1337" t="s">
        <v>1887</v>
      </c>
      <c r="P171" s="1335"/>
      <c r="Q171" s="1335"/>
      <c r="R171" s="1335"/>
      <c r="S171" s="1335"/>
      <c r="T171" s="1511">
        <f t="shared" si="45"/>
        <v>0</v>
      </c>
      <c r="U171" s="1335"/>
      <c r="V171" s="1335"/>
      <c r="W171" s="1335"/>
      <c r="X171" s="1559"/>
      <c r="Y171" s="1559"/>
      <c r="Z171" s="1559">
        <v>3</v>
      </c>
      <c r="AA171" s="1559"/>
      <c r="AB171" s="1559"/>
      <c r="AC171" s="1559"/>
      <c r="AD171" s="1559"/>
      <c r="AE171" s="1559"/>
      <c r="AF171" s="1559"/>
      <c r="AG171" s="1559"/>
      <c r="AH171" s="1559"/>
      <c r="AI171" s="1594"/>
      <c r="AJ171" s="1594"/>
      <c r="AK171" s="1593"/>
      <c r="AL171" s="1594"/>
      <c r="AM171" s="1594"/>
      <c r="AN171" s="1594"/>
      <c r="AO171" s="1559"/>
      <c r="AP171" s="1559"/>
      <c r="AQ171" s="1559"/>
      <c r="AR171" s="1559"/>
      <c r="AS171" s="1511">
        <f t="shared" si="48"/>
        <v>0</v>
      </c>
      <c r="AT171" s="1559"/>
      <c r="AU171" s="1559"/>
      <c r="AV171" s="1559"/>
      <c r="AW171" s="1559"/>
      <c r="AX171" s="1559"/>
      <c r="AY171" s="1559">
        <v>3</v>
      </c>
      <c r="AZ171" s="1559"/>
      <c r="BA171" s="1559"/>
      <c r="BB171" s="1559"/>
      <c r="BC171" s="1337" t="s">
        <v>1872</v>
      </c>
      <c r="BD171" s="1334"/>
    </row>
    <row r="172" spans="1:56" s="1338" customFormat="1" ht="30.25" customHeight="1" outlineLevel="1">
      <c r="A172" s="1458">
        <v>5</v>
      </c>
      <c r="B172" s="1459" t="s">
        <v>1742</v>
      </c>
      <c r="C172" s="1458" t="s">
        <v>896</v>
      </c>
      <c r="D172" s="1331"/>
      <c r="E172" s="1332"/>
      <c r="F172" s="1332"/>
      <c r="G172" s="1333">
        <f>SUM(G173:G177)</f>
        <v>35.89</v>
      </c>
      <c r="H172" s="1334"/>
      <c r="I172" s="1335"/>
      <c r="J172" s="1335"/>
      <c r="K172" s="1336"/>
      <c r="L172" s="1336"/>
      <c r="M172" s="1336"/>
      <c r="N172" s="1336"/>
      <c r="O172" s="1337"/>
      <c r="P172" s="1335"/>
      <c r="Q172" s="1335"/>
      <c r="R172" s="1335"/>
      <c r="S172" s="1335"/>
      <c r="T172" s="1511">
        <f t="shared" si="45"/>
        <v>0</v>
      </c>
      <c r="U172" s="1335"/>
      <c r="V172" s="1335"/>
      <c r="W172" s="1335"/>
      <c r="X172" s="1333">
        <f t="shared" ref="X172:BA172" si="61">SUM(X173:X177)</f>
        <v>0</v>
      </c>
      <c r="Y172" s="1333">
        <f t="shared" si="61"/>
        <v>0</v>
      </c>
      <c r="Z172" s="1333"/>
      <c r="AA172" s="1333">
        <f t="shared" si="61"/>
        <v>0</v>
      </c>
      <c r="AB172" s="1333">
        <f t="shared" si="61"/>
        <v>0</v>
      </c>
      <c r="AC172" s="1333"/>
      <c r="AD172" s="1333"/>
      <c r="AE172" s="1333"/>
      <c r="AF172" s="1333"/>
      <c r="AG172" s="1333"/>
      <c r="AH172" s="1333"/>
      <c r="AI172" s="1333">
        <f t="shared" si="61"/>
        <v>0</v>
      </c>
      <c r="AJ172" s="1333">
        <f t="shared" si="61"/>
        <v>0</v>
      </c>
      <c r="AK172" s="1333"/>
      <c r="AL172" s="1333">
        <f t="shared" si="61"/>
        <v>0</v>
      </c>
      <c r="AM172" s="1333">
        <f t="shared" si="61"/>
        <v>0</v>
      </c>
      <c r="AN172" s="1333">
        <f t="shared" si="61"/>
        <v>0</v>
      </c>
      <c r="AO172" s="1333">
        <f t="shared" si="61"/>
        <v>0</v>
      </c>
      <c r="AP172" s="1333"/>
      <c r="AQ172" s="1333"/>
      <c r="AR172" s="1333"/>
      <c r="AS172" s="1511">
        <f t="shared" si="48"/>
        <v>0</v>
      </c>
      <c r="AT172" s="1333"/>
      <c r="AU172" s="1333"/>
      <c r="AV172" s="1333"/>
      <c r="AW172" s="1333">
        <f t="shared" si="61"/>
        <v>0</v>
      </c>
      <c r="AX172" s="1333">
        <f t="shared" si="61"/>
        <v>0</v>
      </c>
      <c r="AY172" s="1333"/>
      <c r="AZ172" s="1333">
        <f t="shared" si="61"/>
        <v>0</v>
      </c>
      <c r="BA172" s="1333">
        <f t="shared" si="61"/>
        <v>0</v>
      </c>
      <c r="BB172" s="1559"/>
      <c r="BC172" s="1337"/>
      <c r="BD172" s="1334"/>
    </row>
    <row r="173" spans="1:56" s="1338" customFormat="1" ht="30.25" customHeight="1" outlineLevel="1">
      <c r="A173" s="1455">
        <v>5.0999999999999996</v>
      </c>
      <c r="B173" s="1455" t="s">
        <v>1743</v>
      </c>
      <c r="C173" s="1455" t="s">
        <v>904</v>
      </c>
      <c r="D173" s="1331"/>
      <c r="E173" s="1332"/>
      <c r="F173" s="1332"/>
      <c r="G173" s="1339">
        <v>13.68</v>
      </c>
      <c r="H173" s="1334"/>
      <c r="I173" s="1335"/>
      <c r="J173" s="1335"/>
      <c r="K173" s="1336"/>
      <c r="L173" s="1336"/>
      <c r="M173" s="1336"/>
      <c r="N173" s="1336"/>
      <c r="O173" s="1337" t="s">
        <v>1888</v>
      </c>
      <c r="P173" s="1335"/>
      <c r="Q173" s="1335"/>
      <c r="R173" s="1335"/>
      <c r="S173" s="1335"/>
      <c r="T173" s="1511">
        <f t="shared" si="45"/>
        <v>0</v>
      </c>
      <c r="U173" s="1335"/>
      <c r="V173" s="1335"/>
      <c r="W173" s="1335"/>
      <c r="X173" s="1559"/>
      <c r="Y173" s="1559"/>
      <c r="Z173" s="1559">
        <f>G173</f>
        <v>13.68</v>
      </c>
      <c r="AA173" s="1559"/>
      <c r="AB173" s="1559"/>
      <c r="AC173" s="1559"/>
      <c r="AD173" s="1559"/>
      <c r="AE173" s="1559"/>
      <c r="AF173" s="1559"/>
      <c r="AG173" s="1559"/>
      <c r="AH173" s="1559"/>
      <c r="AI173" s="1594"/>
      <c r="AJ173" s="1594"/>
      <c r="AK173" s="1593">
        <v>1</v>
      </c>
      <c r="AL173" s="1594"/>
      <c r="AM173" s="1594"/>
      <c r="AN173" s="1594"/>
      <c r="AO173" s="1559"/>
      <c r="AP173" s="1559"/>
      <c r="AQ173" s="1559"/>
      <c r="AR173" s="1559"/>
      <c r="AS173" s="1511">
        <f t="shared" si="48"/>
        <v>0</v>
      </c>
      <c r="AT173" s="1559"/>
      <c r="AU173" s="1559"/>
      <c r="AV173" s="1559"/>
      <c r="AW173" s="1559"/>
      <c r="AX173" s="1559"/>
      <c r="AY173" s="1559">
        <f>Z173</f>
        <v>13.68</v>
      </c>
      <c r="AZ173" s="1559"/>
      <c r="BA173" s="1559"/>
      <c r="BB173" s="1559"/>
      <c r="BC173" s="1832" t="s">
        <v>1872</v>
      </c>
      <c r="BD173" s="1334"/>
    </row>
    <row r="174" spans="1:56" s="1338" customFormat="1" ht="30.25" customHeight="1" outlineLevel="1">
      <c r="A174" s="1455">
        <v>5.2</v>
      </c>
      <c r="B174" s="1455" t="s">
        <v>1744</v>
      </c>
      <c r="C174" s="1455" t="s">
        <v>904</v>
      </c>
      <c r="D174" s="1331"/>
      <c r="E174" s="1332"/>
      <c r="F174" s="1332"/>
      <c r="G174" s="1339">
        <v>5.67</v>
      </c>
      <c r="H174" s="1334"/>
      <c r="I174" s="1335"/>
      <c r="J174" s="1335"/>
      <c r="K174" s="1336"/>
      <c r="L174" s="1336"/>
      <c r="M174" s="1336"/>
      <c r="N174" s="1336"/>
      <c r="O174" s="1337" t="s">
        <v>1889</v>
      </c>
      <c r="P174" s="1335"/>
      <c r="Q174" s="1335"/>
      <c r="R174" s="1335"/>
      <c r="S174" s="1335"/>
      <c r="T174" s="1511">
        <f t="shared" si="45"/>
        <v>0</v>
      </c>
      <c r="U174" s="1335"/>
      <c r="V174" s="1335"/>
      <c r="W174" s="1335"/>
      <c r="X174" s="1559"/>
      <c r="Y174" s="1559"/>
      <c r="Z174" s="1559">
        <f>G174</f>
        <v>5.67</v>
      </c>
      <c r="AA174" s="1559"/>
      <c r="AB174" s="1559"/>
      <c r="AC174" s="1559"/>
      <c r="AD174" s="1559"/>
      <c r="AE174" s="1559"/>
      <c r="AF174" s="1559"/>
      <c r="AG174" s="1559"/>
      <c r="AH174" s="1559"/>
      <c r="AI174" s="1594"/>
      <c r="AJ174" s="1594"/>
      <c r="AK174" s="1593">
        <v>1</v>
      </c>
      <c r="AL174" s="1594"/>
      <c r="AM174" s="1594"/>
      <c r="AN174" s="1594"/>
      <c r="AO174" s="1559"/>
      <c r="AP174" s="1559"/>
      <c r="AQ174" s="1559"/>
      <c r="AR174" s="1559"/>
      <c r="AS174" s="1511">
        <f t="shared" si="48"/>
        <v>0</v>
      </c>
      <c r="AT174" s="1559"/>
      <c r="AU174" s="1559"/>
      <c r="AV174" s="1559"/>
      <c r="AW174" s="1559"/>
      <c r="AX174" s="1559"/>
      <c r="AY174" s="1559">
        <f>Z174</f>
        <v>5.67</v>
      </c>
      <c r="AZ174" s="1559"/>
      <c r="BA174" s="1559"/>
      <c r="BB174" s="1559"/>
      <c r="BC174" s="1833"/>
      <c r="BD174" s="1334"/>
    </row>
    <row r="175" spans="1:56" s="1338" customFormat="1" ht="30.25" customHeight="1" outlineLevel="1">
      <c r="A175" s="1455">
        <v>5.3</v>
      </c>
      <c r="B175" s="1455" t="s">
        <v>1745</v>
      </c>
      <c r="C175" s="1455" t="s">
        <v>904</v>
      </c>
      <c r="D175" s="1331"/>
      <c r="E175" s="1332"/>
      <c r="F175" s="1332"/>
      <c r="G175" s="1339">
        <v>4.72</v>
      </c>
      <c r="H175" s="1334"/>
      <c r="I175" s="1335"/>
      <c r="J175" s="1335"/>
      <c r="K175" s="1336"/>
      <c r="L175" s="1336"/>
      <c r="M175" s="1336"/>
      <c r="N175" s="1336"/>
      <c r="O175" s="1337" t="s">
        <v>1889</v>
      </c>
      <c r="P175" s="1335"/>
      <c r="Q175" s="1335"/>
      <c r="R175" s="1335"/>
      <c r="S175" s="1335"/>
      <c r="T175" s="1511">
        <f t="shared" si="45"/>
        <v>0</v>
      </c>
      <c r="U175" s="1335"/>
      <c r="V175" s="1335"/>
      <c r="W175" s="1335"/>
      <c r="X175" s="1559"/>
      <c r="Y175" s="1559"/>
      <c r="Z175" s="1559">
        <f>G175</f>
        <v>4.72</v>
      </c>
      <c r="AA175" s="1559"/>
      <c r="AB175" s="1559"/>
      <c r="AC175" s="1559"/>
      <c r="AD175" s="1559"/>
      <c r="AE175" s="1559"/>
      <c r="AF175" s="1559"/>
      <c r="AG175" s="1559"/>
      <c r="AH175" s="1559"/>
      <c r="AI175" s="1594"/>
      <c r="AJ175" s="1594"/>
      <c r="AK175" s="1593">
        <v>1</v>
      </c>
      <c r="AL175" s="1594"/>
      <c r="AM175" s="1594"/>
      <c r="AN175" s="1594"/>
      <c r="AO175" s="1559"/>
      <c r="AP175" s="1559"/>
      <c r="AQ175" s="1559"/>
      <c r="AR175" s="1559"/>
      <c r="AS175" s="1511">
        <f t="shared" si="48"/>
        <v>0</v>
      </c>
      <c r="AT175" s="1559"/>
      <c r="AU175" s="1559"/>
      <c r="AV175" s="1559"/>
      <c r="AW175" s="1559"/>
      <c r="AX175" s="1559"/>
      <c r="AY175" s="1559">
        <f>Z175</f>
        <v>4.72</v>
      </c>
      <c r="AZ175" s="1559"/>
      <c r="BA175" s="1559"/>
      <c r="BB175" s="1559"/>
      <c r="BC175" s="1833"/>
      <c r="BD175" s="1334"/>
    </row>
    <row r="176" spans="1:56" s="1338" customFormat="1" ht="30.25" customHeight="1" outlineLevel="1">
      <c r="A176" s="1455">
        <v>5.4</v>
      </c>
      <c r="B176" s="1455" t="s">
        <v>1746</v>
      </c>
      <c r="C176" s="1455" t="s">
        <v>904</v>
      </c>
      <c r="D176" s="1331"/>
      <c r="E176" s="1332"/>
      <c r="F176" s="1332"/>
      <c r="G176" s="1339">
        <v>4.72</v>
      </c>
      <c r="H176" s="1334"/>
      <c r="I176" s="1335"/>
      <c r="J176" s="1335"/>
      <c r="K176" s="1336"/>
      <c r="L176" s="1336"/>
      <c r="M176" s="1336"/>
      <c r="N176" s="1336"/>
      <c r="O176" s="1337" t="s">
        <v>1889</v>
      </c>
      <c r="P176" s="1335"/>
      <c r="Q176" s="1335"/>
      <c r="R176" s="1335"/>
      <c r="S176" s="1335"/>
      <c r="T176" s="1511">
        <f t="shared" si="45"/>
        <v>0</v>
      </c>
      <c r="U176" s="1335"/>
      <c r="V176" s="1335"/>
      <c r="W176" s="1335"/>
      <c r="X176" s="1559"/>
      <c r="Y176" s="1559"/>
      <c r="Z176" s="1559">
        <f>G176</f>
        <v>4.72</v>
      </c>
      <c r="AA176" s="1559"/>
      <c r="AB176" s="1559"/>
      <c r="AC176" s="1559"/>
      <c r="AD176" s="1559"/>
      <c r="AE176" s="1559"/>
      <c r="AF176" s="1559"/>
      <c r="AG176" s="1559"/>
      <c r="AH176" s="1559"/>
      <c r="AI176" s="1594"/>
      <c r="AJ176" s="1594"/>
      <c r="AK176" s="1593">
        <v>1</v>
      </c>
      <c r="AL176" s="1594"/>
      <c r="AM176" s="1594"/>
      <c r="AN176" s="1594"/>
      <c r="AO176" s="1559"/>
      <c r="AP176" s="1559"/>
      <c r="AQ176" s="1559"/>
      <c r="AR176" s="1559"/>
      <c r="AS176" s="1511">
        <f t="shared" si="48"/>
        <v>0</v>
      </c>
      <c r="AT176" s="1559"/>
      <c r="AU176" s="1559"/>
      <c r="AV176" s="1559"/>
      <c r="AW176" s="1559"/>
      <c r="AX176" s="1559"/>
      <c r="AY176" s="1559">
        <f>Z176</f>
        <v>4.72</v>
      </c>
      <c r="AZ176" s="1559"/>
      <c r="BA176" s="1559"/>
      <c r="BB176" s="1559"/>
      <c r="BC176" s="1833"/>
      <c r="BD176" s="1334"/>
    </row>
    <row r="177" spans="1:56" s="1338" customFormat="1" ht="30.25" customHeight="1" outlineLevel="1">
      <c r="A177" s="1455">
        <v>5.5</v>
      </c>
      <c r="B177" s="1455" t="s">
        <v>1747</v>
      </c>
      <c r="C177" s="1455" t="s">
        <v>904</v>
      </c>
      <c r="D177" s="1331"/>
      <c r="E177" s="1332"/>
      <c r="F177" s="1332"/>
      <c r="G177" s="1339">
        <v>7.1</v>
      </c>
      <c r="H177" s="1334"/>
      <c r="I177" s="1335"/>
      <c r="J177" s="1335"/>
      <c r="K177" s="1336"/>
      <c r="L177" s="1336"/>
      <c r="M177" s="1336"/>
      <c r="N177" s="1336"/>
      <c r="O177" s="1337" t="s">
        <v>1890</v>
      </c>
      <c r="P177" s="1335"/>
      <c r="Q177" s="1335"/>
      <c r="R177" s="1335"/>
      <c r="S177" s="1335"/>
      <c r="T177" s="1511">
        <f t="shared" si="45"/>
        <v>0</v>
      </c>
      <c r="U177" s="1335"/>
      <c r="V177" s="1335"/>
      <c r="W177" s="1335"/>
      <c r="X177" s="1559"/>
      <c r="Y177" s="1559"/>
      <c r="Z177" s="1559">
        <f>G177</f>
        <v>7.1</v>
      </c>
      <c r="AA177" s="1559"/>
      <c r="AB177" s="1559"/>
      <c r="AC177" s="1559"/>
      <c r="AD177" s="1559"/>
      <c r="AE177" s="1559"/>
      <c r="AF177" s="1559"/>
      <c r="AG177" s="1559"/>
      <c r="AH177" s="1559"/>
      <c r="AI177" s="1594"/>
      <c r="AJ177" s="1594"/>
      <c r="AK177" s="1593">
        <v>1</v>
      </c>
      <c r="AL177" s="1594"/>
      <c r="AM177" s="1594"/>
      <c r="AN177" s="1594"/>
      <c r="AO177" s="1559"/>
      <c r="AP177" s="1559"/>
      <c r="AQ177" s="1559"/>
      <c r="AR177" s="1559"/>
      <c r="AS177" s="1511">
        <f t="shared" si="48"/>
        <v>0</v>
      </c>
      <c r="AT177" s="1559"/>
      <c r="AU177" s="1559"/>
      <c r="AV177" s="1559"/>
      <c r="AW177" s="1559"/>
      <c r="AX177" s="1559"/>
      <c r="AY177" s="1559">
        <f>Z177</f>
        <v>7.1</v>
      </c>
      <c r="AZ177" s="1559"/>
      <c r="BA177" s="1559"/>
      <c r="BB177" s="1559"/>
      <c r="BC177" s="1834"/>
      <c r="BD177" s="1334"/>
    </row>
    <row r="178" spans="1:56" s="1338" customFormat="1" ht="30.25" customHeight="1" outlineLevel="1">
      <c r="A178" s="1458">
        <v>6</v>
      </c>
      <c r="B178" s="1459" t="s">
        <v>1748</v>
      </c>
      <c r="C178" s="1458" t="s">
        <v>896</v>
      </c>
      <c r="D178" s="1348"/>
      <c r="E178" s="1349"/>
      <c r="F178" s="1349"/>
      <c r="G178" s="1333">
        <f>SUM(G179:G189)</f>
        <v>47.8</v>
      </c>
      <c r="H178" s="1334"/>
      <c r="I178" s="1335"/>
      <c r="J178" s="1335"/>
      <c r="K178" s="1336"/>
      <c r="L178" s="1336"/>
      <c r="M178" s="1336"/>
      <c r="N178" s="1336"/>
      <c r="O178" s="1337"/>
      <c r="P178" s="1335"/>
      <c r="Q178" s="1335"/>
      <c r="R178" s="1335"/>
      <c r="S178" s="1335"/>
      <c r="T178" s="1511">
        <f t="shared" si="45"/>
        <v>0</v>
      </c>
      <c r="U178" s="1335"/>
      <c r="V178" s="1335"/>
      <c r="W178" s="1335"/>
      <c r="X178" s="1333">
        <f t="shared" ref="X178:AJ178" si="62">SUM(X179:X186)</f>
        <v>0</v>
      </c>
      <c r="Y178" s="1333">
        <f t="shared" si="62"/>
        <v>0</v>
      </c>
      <c r="Z178" s="1333"/>
      <c r="AA178" s="1333">
        <f t="shared" si="62"/>
        <v>0</v>
      </c>
      <c r="AB178" s="1333">
        <f t="shared" si="62"/>
        <v>0</v>
      </c>
      <c r="AC178" s="1333"/>
      <c r="AD178" s="1333"/>
      <c r="AE178" s="1333"/>
      <c r="AF178" s="1333"/>
      <c r="AG178" s="1333"/>
      <c r="AH178" s="1333"/>
      <c r="AI178" s="1333">
        <f t="shared" si="62"/>
        <v>0</v>
      </c>
      <c r="AJ178" s="1333">
        <f t="shared" si="62"/>
        <v>0</v>
      </c>
      <c r="AK178" s="1333"/>
      <c r="AL178" s="1333">
        <f t="shared" ref="AL178:BA178" si="63">SUM(AL179:AL186)</f>
        <v>0</v>
      </c>
      <c r="AM178" s="1333">
        <f t="shared" si="63"/>
        <v>0</v>
      </c>
      <c r="AN178" s="1333">
        <f t="shared" si="63"/>
        <v>0</v>
      </c>
      <c r="AO178" s="1333">
        <f t="shared" si="63"/>
        <v>0</v>
      </c>
      <c r="AP178" s="1333"/>
      <c r="AQ178" s="1333"/>
      <c r="AR178" s="1333"/>
      <c r="AS178" s="1511">
        <f t="shared" si="48"/>
        <v>0</v>
      </c>
      <c r="AT178" s="1333"/>
      <c r="AU178" s="1333"/>
      <c r="AV178" s="1333"/>
      <c r="AW178" s="1333">
        <f t="shared" si="63"/>
        <v>0</v>
      </c>
      <c r="AX178" s="1333">
        <f t="shared" si="63"/>
        <v>0</v>
      </c>
      <c r="AY178" s="1333"/>
      <c r="AZ178" s="1333">
        <f t="shared" si="63"/>
        <v>0</v>
      </c>
      <c r="BA178" s="1333">
        <f t="shared" si="63"/>
        <v>0</v>
      </c>
      <c r="BB178" s="1559"/>
      <c r="BC178" s="1337"/>
      <c r="BD178" s="1334"/>
    </row>
    <row r="179" spans="1:56" s="1338" customFormat="1" ht="30.25" customHeight="1" outlineLevel="1">
      <c r="A179" s="1455">
        <v>6.1</v>
      </c>
      <c r="B179" s="1455" t="s">
        <v>1749</v>
      </c>
      <c r="C179" s="1455" t="s">
        <v>904</v>
      </c>
      <c r="D179" s="1348"/>
      <c r="E179" s="1349"/>
      <c r="F179" s="1349"/>
      <c r="G179" s="1350">
        <v>4</v>
      </c>
      <c r="H179" s="1334"/>
      <c r="I179" s="1335"/>
      <c r="J179" s="1335"/>
      <c r="K179" s="1336"/>
      <c r="L179" s="1336"/>
      <c r="M179" s="1336"/>
      <c r="N179" s="1336"/>
      <c r="O179" s="1337" t="s">
        <v>1891</v>
      </c>
      <c r="P179" s="1335"/>
      <c r="Q179" s="1335"/>
      <c r="R179" s="1335"/>
      <c r="S179" s="1335"/>
      <c r="T179" s="1511">
        <f t="shared" si="45"/>
        <v>0</v>
      </c>
      <c r="U179" s="1335"/>
      <c r="V179" s="1335"/>
      <c r="W179" s="1335"/>
      <c r="X179" s="1559"/>
      <c r="Y179" s="1559"/>
      <c r="Z179" s="1559">
        <f t="shared" ref="Z179:Z186" si="64">G179</f>
        <v>4</v>
      </c>
      <c r="AA179" s="1559"/>
      <c r="AB179" s="1559"/>
      <c r="AC179" s="1559"/>
      <c r="AD179" s="1559"/>
      <c r="AE179" s="1559"/>
      <c r="AF179" s="1559"/>
      <c r="AG179" s="1559"/>
      <c r="AH179" s="1559"/>
      <c r="AI179" s="1594"/>
      <c r="AJ179" s="1594"/>
      <c r="AK179" s="1593">
        <v>1</v>
      </c>
      <c r="AL179" s="1594"/>
      <c r="AM179" s="1594"/>
      <c r="AN179" s="1594"/>
      <c r="AO179" s="1559"/>
      <c r="AP179" s="1559"/>
      <c r="AQ179" s="1559"/>
      <c r="AR179" s="1559"/>
      <c r="AS179" s="1511">
        <f t="shared" si="48"/>
        <v>0</v>
      </c>
      <c r="AT179" s="1559"/>
      <c r="AU179" s="1559"/>
      <c r="AV179" s="1559"/>
      <c r="AW179" s="1559"/>
      <c r="AX179" s="1559"/>
      <c r="AY179" s="1559">
        <f t="shared" ref="AY179:AY186" si="65">Z179</f>
        <v>4</v>
      </c>
      <c r="AZ179" s="1559"/>
      <c r="BA179" s="1559"/>
      <c r="BB179" s="1559"/>
      <c r="BC179" s="1832" t="s">
        <v>1872</v>
      </c>
      <c r="BD179" s="1334"/>
    </row>
    <row r="180" spans="1:56" s="1338" customFormat="1" ht="30.25" customHeight="1" outlineLevel="1">
      <c r="A180" s="1455">
        <v>6.2</v>
      </c>
      <c r="B180" s="1455" t="s">
        <v>1750</v>
      </c>
      <c r="C180" s="1455" t="s">
        <v>904</v>
      </c>
      <c r="D180" s="1348"/>
      <c r="E180" s="1349"/>
      <c r="F180" s="1349"/>
      <c r="G180" s="1350">
        <v>4</v>
      </c>
      <c r="H180" s="1334"/>
      <c r="I180" s="1335"/>
      <c r="J180" s="1335"/>
      <c r="K180" s="1336"/>
      <c r="L180" s="1336"/>
      <c r="M180" s="1336"/>
      <c r="N180" s="1336"/>
      <c r="O180" s="1337" t="s">
        <v>1892</v>
      </c>
      <c r="P180" s="1335"/>
      <c r="Q180" s="1335"/>
      <c r="R180" s="1335"/>
      <c r="S180" s="1335"/>
      <c r="T180" s="1511">
        <f t="shared" si="45"/>
        <v>0</v>
      </c>
      <c r="U180" s="1335"/>
      <c r="V180" s="1335"/>
      <c r="W180" s="1335"/>
      <c r="X180" s="1559"/>
      <c r="Y180" s="1559"/>
      <c r="Z180" s="1559">
        <f t="shared" si="64"/>
        <v>4</v>
      </c>
      <c r="AA180" s="1559"/>
      <c r="AB180" s="1559"/>
      <c r="AC180" s="1559"/>
      <c r="AD180" s="1559"/>
      <c r="AE180" s="1559"/>
      <c r="AF180" s="1559"/>
      <c r="AG180" s="1559"/>
      <c r="AH180" s="1559"/>
      <c r="AI180" s="1594"/>
      <c r="AJ180" s="1594"/>
      <c r="AK180" s="1593">
        <v>1</v>
      </c>
      <c r="AL180" s="1594"/>
      <c r="AM180" s="1594"/>
      <c r="AN180" s="1594"/>
      <c r="AO180" s="1559"/>
      <c r="AP180" s="1559"/>
      <c r="AQ180" s="1559"/>
      <c r="AR180" s="1559"/>
      <c r="AS180" s="1511">
        <f t="shared" si="48"/>
        <v>0</v>
      </c>
      <c r="AT180" s="1559"/>
      <c r="AU180" s="1559"/>
      <c r="AV180" s="1559"/>
      <c r="AW180" s="1559"/>
      <c r="AX180" s="1559"/>
      <c r="AY180" s="1559">
        <f t="shared" si="65"/>
        <v>4</v>
      </c>
      <c r="AZ180" s="1559"/>
      <c r="BA180" s="1559"/>
      <c r="BB180" s="1559"/>
      <c r="BC180" s="1833"/>
      <c r="BD180" s="1334"/>
    </row>
    <row r="181" spans="1:56" s="1338" customFormat="1" ht="30.25" customHeight="1" outlineLevel="1">
      <c r="A181" s="1455">
        <v>6.3</v>
      </c>
      <c r="B181" s="1455" t="s">
        <v>1751</v>
      </c>
      <c r="C181" s="1455" t="s">
        <v>904</v>
      </c>
      <c r="D181" s="1348"/>
      <c r="E181" s="1349"/>
      <c r="F181" s="1349"/>
      <c r="G181" s="1350">
        <v>2</v>
      </c>
      <c r="H181" s="1334"/>
      <c r="I181" s="1335"/>
      <c r="J181" s="1335"/>
      <c r="K181" s="1336"/>
      <c r="L181" s="1336"/>
      <c r="M181" s="1336"/>
      <c r="N181" s="1336"/>
      <c r="O181" s="1337" t="s">
        <v>1893</v>
      </c>
      <c r="P181" s="1335"/>
      <c r="Q181" s="1335"/>
      <c r="R181" s="1335"/>
      <c r="S181" s="1335"/>
      <c r="T181" s="1511">
        <f t="shared" si="45"/>
        <v>0</v>
      </c>
      <c r="U181" s="1335"/>
      <c r="V181" s="1335"/>
      <c r="W181" s="1335"/>
      <c r="X181" s="1559"/>
      <c r="Y181" s="1559"/>
      <c r="Z181" s="1559">
        <f t="shared" si="64"/>
        <v>2</v>
      </c>
      <c r="AA181" s="1559"/>
      <c r="AB181" s="1559"/>
      <c r="AC181" s="1559"/>
      <c r="AD181" s="1559"/>
      <c r="AE181" s="1559"/>
      <c r="AF181" s="1559"/>
      <c r="AG181" s="1559"/>
      <c r="AH181" s="1559"/>
      <c r="AI181" s="1594"/>
      <c r="AJ181" s="1594"/>
      <c r="AK181" s="1593">
        <v>1</v>
      </c>
      <c r="AL181" s="1594"/>
      <c r="AM181" s="1594"/>
      <c r="AN181" s="1594"/>
      <c r="AO181" s="1559"/>
      <c r="AP181" s="1559"/>
      <c r="AQ181" s="1559"/>
      <c r="AR181" s="1559"/>
      <c r="AS181" s="1511">
        <f t="shared" si="48"/>
        <v>0</v>
      </c>
      <c r="AT181" s="1559"/>
      <c r="AU181" s="1559"/>
      <c r="AV181" s="1559"/>
      <c r="AW181" s="1559"/>
      <c r="AX181" s="1559"/>
      <c r="AY181" s="1559">
        <f t="shared" si="65"/>
        <v>2</v>
      </c>
      <c r="AZ181" s="1559"/>
      <c r="BA181" s="1559"/>
      <c r="BB181" s="1559"/>
      <c r="BC181" s="1833"/>
      <c r="BD181" s="1334"/>
    </row>
    <row r="182" spans="1:56" s="1338" customFormat="1" ht="30.25" customHeight="1" outlineLevel="1">
      <c r="A182" s="1455">
        <v>6.4</v>
      </c>
      <c r="B182" s="1455" t="s">
        <v>1752</v>
      </c>
      <c r="C182" s="1455" t="s">
        <v>904</v>
      </c>
      <c r="D182" s="1348"/>
      <c r="E182" s="1349"/>
      <c r="F182" s="1349"/>
      <c r="G182" s="1350">
        <v>2.5</v>
      </c>
      <c r="H182" s="1334"/>
      <c r="I182" s="1335"/>
      <c r="J182" s="1335"/>
      <c r="K182" s="1336"/>
      <c r="L182" s="1336"/>
      <c r="M182" s="1336"/>
      <c r="N182" s="1336"/>
      <c r="O182" s="1337" t="s">
        <v>1894</v>
      </c>
      <c r="P182" s="1335"/>
      <c r="Q182" s="1335"/>
      <c r="R182" s="1335"/>
      <c r="S182" s="1335"/>
      <c r="T182" s="1511">
        <f t="shared" si="45"/>
        <v>0</v>
      </c>
      <c r="U182" s="1335"/>
      <c r="V182" s="1335"/>
      <c r="W182" s="1335"/>
      <c r="X182" s="1559"/>
      <c r="Y182" s="1559"/>
      <c r="Z182" s="1559">
        <f t="shared" si="64"/>
        <v>2.5</v>
      </c>
      <c r="AA182" s="1559"/>
      <c r="AB182" s="1559"/>
      <c r="AC182" s="1559"/>
      <c r="AD182" s="1559"/>
      <c r="AE182" s="1559"/>
      <c r="AF182" s="1559"/>
      <c r="AG182" s="1559"/>
      <c r="AH182" s="1559"/>
      <c r="AI182" s="1594"/>
      <c r="AJ182" s="1594"/>
      <c r="AK182" s="1593">
        <v>1</v>
      </c>
      <c r="AL182" s="1594"/>
      <c r="AM182" s="1594"/>
      <c r="AN182" s="1594"/>
      <c r="AO182" s="1559"/>
      <c r="AP182" s="1559"/>
      <c r="AQ182" s="1559"/>
      <c r="AR182" s="1559"/>
      <c r="AS182" s="1511">
        <f t="shared" si="48"/>
        <v>0</v>
      </c>
      <c r="AT182" s="1559"/>
      <c r="AU182" s="1559"/>
      <c r="AV182" s="1559"/>
      <c r="AW182" s="1559"/>
      <c r="AX182" s="1559"/>
      <c r="AY182" s="1559">
        <f t="shared" si="65"/>
        <v>2.5</v>
      </c>
      <c r="AZ182" s="1559"/>
      <c r="BA182" s="1559"/>
      <c r="BB182" s="1559"/>
      <c r="BC182" s="1833"/>
      <c r="BD182" s="1334"/>
    </row>
    <row r="183" spans="1:56" s="1338" customFormat="1" ht="30.25" customHeight="1" outlineLevel="1">
      <c r="A183" s="1455">
        <v>6.5</v>
      </c>
      <c r="B183" s="1455" t="s">
        <v>1753</v>
      </c>
      <c r="C183" s="1455" t="s">
        <v>904</v>
      </c>
      <c r="D183" s="1348"/>
      <c r="E183" s="1349"/>
      <c r="F183" s="1349"/>
      <c r="G183" s="1350">
        <v>4</v>
      </c>
      <c r="H183" s="1334"/>
      <c r="I183" s="1335"/>
      <c r="J183" s="1335"/>
      <c r="K183" s="1336"/>
      <c r="L183" s="1336"/>
      <c r="M183" s="1336"/>
      <c r="N183" s="1336"/>
      <c r="O183" s="1337" t="s">
        <v>1895</v>
      </c>
      <c r="P183" s="1335"/>
      <c r="Q183" s="1335"/>
      <c r="R183" s="1335"/>
      <c r="S183" s="1335"/>
      <c r="T183" s="1511">
        <f t="shared" si="45"/>
        <v>0</v>
      </c>
      <c r="U183" s="1335"/>
      <c r="V183" s="1335"/>
      <c r="W183" s="1335"/>
      <c r="X183" s="1559"/>
      <c r="Y183" s="1559"/>
      <c r="Z183" s="1559">
        <f t="shared" si="64"/>
        <v>4</v>
      </c>
      <c r="AA183" s="1559"/>
      <c r="AB183" s="1559"/>
      <c r="AC183" s="1559"/>
      <c r="AD183" s="1559"/>
      <c r="AE183" s="1559"/>
      <c r="AF183" s="1559"/>
      <c r="AG183" s="1559"/>
      <c r="AH183" s="1559"/>
      <c r="AI183" s="1594"/>
      <c r="AJ183" s="1594"/>
      <c r="AK183" s="1593">
        <v>1</v>
      </c>
      <c r="AL183" s="1594"/>
      <c r="AM183" s="1594"/>
      <c r="AN183" s="1594"/>
      <c r="AO183" s="1559"/>
      <c r="AP183" s="1559"/>
      <c r="AQ183" s="1559"/>
      <c r="AR183" s="1559"/>
      <c r="AS183" s="1511">
        <f t="shared" si="48"/>
        <v>0</v>
      </c>
      <c r="AT183" s="1559"/>
      <c r="AU183" s="1559"/>
      <c r="AV183" s="1559"/>
      <c r="AW183" s="1559"/>
      <c r="AX183" s="1559"/>
      <c r="AY183" s="1559">
        <f t="shared" si="65"/>
        <v>4</v>
      </c>
      <c r="AZ183" s="1559"/>
      <c r="BA183" s="1559"/>
      <c r="BB183" s="1559"/>
      <c r="BC183" s="1833"/>
      <c r="BD183" s="1334"/>
    </row>
    <row r="184" spans="1:56" s="1325" customFormat="1" ht="30.25" customHeight="1" outlineLevel="1">
      <c r="A184" s="1455">
        <v>6.6</v>
      </c>
      <c r="B184" s="1455" t="s">
        <v>1754</v>
      </c>
      <c r="C184" s="1455" t="s">
        <v>904</v>
      </c>
      <c r="D184" s="1348"/>
      <c r="E184" s="1349"/>
      <c r="F184" s="1349"/>
      <c r="G184" s="1350">
        <v>1.05</v>
      </c>
      <c r="H184" s="1351"/>
      <c r="I184" s="1352"/>
      <c r="J184" s="1352"/>
      <c r="K184" s="1353"/>
      <c r="L184" s="1353"/>
      <c r="M184" s="1353"/>
      <c r="N184" s="1353"/>
      <c r="O184" s="1354" t="s">
        <v>1896</v>
      </c>
      <c r="P184" s="1352"/>
      <c r="Q184" s="1352"/>
      <c r="R184" s="1352"/>
      <c r="S184" s="1352"/>
      <c r="T184" s="1511">
        <f t="shared" si="45"/>
        <v>0</v>
      </c>
      <c r="U184" s="1352"/>
      <c r="V184" s="1352"/>
      <c r="W184" s="1352"/>
      <c r="X184" s="1599"/>
      <c r="Y184" s="1599"/>
      <c r="Z184" s="1559">
        <f t="shared" si="64"/>
        <v>1.05</v>
      </c>
      <c r="AA184" s="1599"/>
      <c r="AB184" s="1599"/>
      <c r="AC184" s="1599"/>
      <c r="AD184" s="1599"/>
      <c r="AE184" s="1599"/>
      <c r="AF184" s="1599"/>
      <c r="AG184" s="1599"/>
      <c r="AH184" s="1599"/>
      <c r="AI184" s="1600"/>
      <c r="AJ184" s="1600"/>
      <c r="AK184" s="1593">
        <v>1</v>
      </c>
      <c r="AL184" s="1600"/>
      <c r="AM184" s="1600"/>
      <c r="AN184" s="1600"/>
      <c r="AO184" s="1599"/>
      <c r="AP184" s="1599"/>
      <c r="AQ184" s="1599"/>
      <c r="AR184" s="1599"/>
      <c r="AS184" s="1511">
        <f t="shared" si="48"/>
        <v>0</v>
      </c>
      <c r="AT184" s="1599"/>
      <c r="AU184" s="1599"/>
      <c r="AV184" s="1599"/>
      <c r="AW184" s="1599"/>
      <c r="AX184" s="1599"/>
      <c r="AY184" s="1559">
        <f t="shared" si="65"/>
        <v>1.05</v>
      </c>
      <c r="AZ184" s="1599"/>
      <c r="BA184" s="1599"/>
      <c r="BB184" s="1599"/>
      <c r="BC184" s="1833"/>
      <c r="BD184" s="1351"/>
    </row>
    <row r="185" spans="1:56" s="1325" customFormat="1" ht="30.25" customHeight="1" outlineLevel="1">
      <c r="A185" s="1455">
        <v>6.7</v>
      </c>
      <c r="B185" s="1455" t="s">
        <v>1755</v>
      </c>
      <c r="C185" s="1455" t="s">
        <v>904</v>
      </c>
      <c r="D185" s="1348"/>
      <c r="E185" s="1349"/>
      <c r="F185" s="1349"/>
      <c r="G185" s="1350">
        <v>3.4</v>
      </c>
      <c r="H185" s="1351"/>
      <c r="I185" s="1352"/>
      <c r="J185" s="1352"/>
      <c r="K185" s="1353"/>
      <c r="L185" s="1353"/>
      <c r="M185" s="1353"/>
      <c r="N185" s="1353"/>
      <c r="O185" s="1354" t="s">
        <v>1859</v>
      </c>
      <c r="P185" s="1352"/>
      <c r="Q185" s="1352"/>
      <c r="R185" s="1352"/>
      <c r="S185" s="1352"/>
      <c r="T185" s="1511">
        <f t="shared" si="45"/>
        <v>0</v>
      </c>
      <c r="U185" s="1352"/>
      <c r="V185" s="1352"/>
      <c r="W185" s="1352"/>
      <c r="X185" s="1599"/>
      <c r="Y185" s="1599"/>
      <c r="Z185" s="1559">
        <f t="shared" si="64"/>
        <v>3.4</v>
      </c>
      <c r="AA185" s="1599"/>
      <c r="AB185" s="1599"/>
      <c r="AC185" s="1599"/>
      <c r="AD185" s="1599"/>
      <c r="AE185" s="1599"/>
      <c r="AF185" s="1599"/>
      <c r="AG185" s="1599"/>
      <c r="AH185" s="1599"/>
      <c r="AI185" s="1600"/>
      <c r="AJ185" s="1600"/>
      <c r="AK185" s="1593">
        <v>1</v>
      </c>
      <c r="AL185" s="1600"/>
      <c r="AM185" s="1600"/>
      <c r="AN185" s="1600"/>
      <c r="AO185" s="1599"/>
      <c r="AP185" s="1599"/>
      <c r="AQ185" s="1599"/>
      <c r="AR185" s="1599"/>
      <c r="AS185" s="1511">
        <f t="shared" si="48"/>
        <v>0</v>
      </c>
      <c r="AT185" s="1599"/>
      <c r="AU185" s="1599"/>
      <c r="AV185" s="1599"/>
      <c r="AW185" s="1599"/>
      <c r="AX185" s="1599"/>
      <c r="AY185" s="1559">
        <f t="shared" si="65"/>
        <v>3.4</v>
      </c>
      <c r="AZ185" s="1599"/>
      <c r="BA185" s="1599"/>
      <c r="BB185" s="1599"/>
      <c r="BC185" s="1833"/>
      <c r="BD185" s="1351"/>
    </row>
    <row r="186" spans="1:56" s="1325" customFormat="1" ht="30.25" customHeight="1" outlineLevel="1">
      <c r="A186" s="1455">
        <v>6.8</v>
      </c>
      <c r="B186" s="1455" t="s">
        <v>1756</v>
      </c>
      <c r="C186" s="1455" t="s">
        <v>904</v>
      </c>
      <c r="D186" s="1348"/>
      <c r="E186" s="1349"/>
      <c r="F186" s="1349"/>
      <c r="G186" s="1350">
        <v>5</v>
      </c>
      <c r="H186" s="1351"/>
      <c r="I186" s="1352"/>
      <c r="J186" s="1352"/>
      <c r="K186" s="1353"/>
      <c r="L186" s="1353"/>
      <c r="M186" s="1353"/>
      <c r="N186" s="1353"/>
      <c r="O186" s="1354" t="s">
        <v>1897</v>
      </c>
      <c r="P186" s="1352"/>
      <c r="Q186" s="1352"/>
      <c r="R186" s="1352"/>
      <c r="S186" s="1352"/>
      <c r="T186" s="1511">
        <f t="shared" si="45"/>
        <v>0</v>
      </c>
      <c r="U186" s="1352"/>
      <c r="V186" s="1352"/>
      <c r="W186" s="1352"/>
      <c r="X186" s="1599"/>
      <c r="Y186" s="1599"/>
      <c r="Z186" s="1559">
        <f t="shared" si="64"/>
        <v>5</v>
      </c>
      <c r="AA186" s="1599"/>
      <c r="AB186" s="1599"/>
      <c r="AC186" s="1599"/>
      <c r="AD186" s="1599"/>
      <c r="AE186" s="1599"/>
      <c r="AF186" s="1599"/>
      <c r="AG186" s="1599"/>
      <c r="AH186" s="1599"/>
      <c r="AI186" s="1600"/>
      <c r="AJ186" s="1600"/>
      <c r="AK186" s="1593">
        <v>1</v>
      </c>
      <c r="AL186" s="1600"/>
      <c r="AM186" s="1600"/>
      <c r="AN186" s="1600"/>
      <c r="AO186" s="1599"/>
      <c r="AP186" s="1599"/>
      <c r="AQ186" s="1599"/>
      <c r="AR186" s="1599"/>
      <c r="AS186" s="1511">
        <f t="shared" si="48"/>
        <v>0</v>
      </c>
      <c r="AT186" s="1599"/>
      <c r="AU186" s="1599"/>
      <c r="AV186" s="1599"/>
      <c r="AW186" s="1599"/>
      <c r="AX186" s="1599"/>
      <c r="AY186" s="1559">
        <f t="shared" si="65"/>
        <v>5</v>
      </c>
      <c r="AZ186" s="1599"/>
      <c r="BA186" s="1599"/>
      <c r="BB186" s="1599"/>
      <c r="BC186" s="1833"/>
      <c r="BD186" s="1351"/>
    </row>
    <row r="187" spans="1:56" s="1325" customFormat="1" ht="30.25" customHeight="1" outlineLevel="1">
      <c r="A187" s="1455">
        <v>6.9</v>
      </c>
      <c r="B187" s="1455" t="s">
        <v>1757</v>
      </c>
      <c r="C187" s="1455" t="s">
        <v>904</v>
      </c>
      <c r="D187" s="1341"/>
      <c r="E187" s="1342"/>
      <c r="F187" s="1342"/>
      <c r="G187" s="1343">
        <v>2</v>
      </c>
      <c r="H187" s="1351"/>
      <c r="I187" s="1352"/>
      <c r="J187" s="1352"/>
      <c r="K187" s="1353"/>
      <c r="L187" s="1353"/>
      <c r="M187" s="1353"/>
      <c r="N187" s="1353"/>
      <c r="O187" s="1354" t="s">
        <v>1898</v>
      </c>
      <c r="P187" s="1352"/>
      <c r="Q187" s="1352"/>
      <c r="R187" s="1352"/>
      <c r="S187" s="1352"/>
      <c r="T187" s="1511">
        <f t="shared" si="45"/>
        <v>0</v>
      </c>
      <c r="U187" s="1352"/>
      <c r="V187" s="1352"/>
      <c r="W187" s="1352"/>
      <c r="X187" s="1599"/>
      <c r="Y187" s="1599"/>
      <c r="Z187" s="1339">
        <v>2</v>
      </c>
      <c r="AA187" s="1599"/>
      <c r="AB187" s="1599"/>
      <c r="AC187" s="1599"/>
      <c r="AD187" s="1599"/>
      <c r="AE187" s="1599"/>
      <c r="AF187" s="1599"/>
      <c r="AG187" s="1599"/>
      <c r="AH187" s="1599"/>
      <c r="AI187" s="1600"/>
      <c r="AJ187" s="1600"/>
      <c r="AK187" s="1593"/>
      <c r="AL187" s="1600"/>
      <c r="AM187" s="1600"/>
      <c r="AN187" s="1600"/>
      <c r="AO187" s="1599"/>
      <c r="AP187" s="1599"/>
      <c r="AQ187" s="1599"/>
      <c r="AR187" s="1599"/>
      <c r="AS187" s="1511">
        <f t="shared" si="48"/>
        <v>0</v>
      </c>
      <c r="AT187" s="1599"/>
      <c r="AU187" s="1599"/>
      <c r="AV187" s="1599"/>
      <c r="AW187" s="1599"/>
      <c r="AX187" s="1599"/>
      <c r="AY187" s="1339">
        <v>2</v>
      </c>
      <c r="AZ187" s="1599"/>
      <c r="BA187" s="1599"/>
      <c r="BB187" s="1599"/>
      <c r="BC187" s="1833"/>
      <c r="BD187" s="1351"/>
    </row>
    <row r="188" spans="1:56" s="1325" customFormat="1" ht="30.25" customHeight="1" outlineLevel="1">
      <c r="A188" s="1455">
        <v>6.1</v>
      </c>
      <c r="B188" s="1455" t="s">
        <v>1758</v>
      </c>
      <c r="C188" s="1455" t="s">
        <v>904</v>
      </c>
      <c r="D188" s="1341"/>
      <c r="E188" s="1342"/>
      <c r="F188" s="1342"/>
      <c r="G188" s="1343">
        <v>15.85</v>
      </c>
      <c r="H188" s="1351"/>
      <c r="I188" s="1352"/>
      <c r="J188" s="1352"/>
      <c r="K188" s="1353"/>
      <c r="L188" s="1353"/>
      <c r="M188" s="1353"/>
      <c r="N188" s="1353"/>
      <c r="O188" s="1354" t="s">
        <v>1899</v>
      </c>
      <c r="P188" s="1352"/>
      <c r="Q188" s="1352"/>
      <c r="R188" s="1352"/>
      <c r="S188" s="1352"/>
      <c r="T188" s="1511">
        <f t="shared" si="45"/>
        <v>0</v>
      </c>
      <c r="U188" s="1352"/>
      <c r="V188" s="1352"/>
      <c r="W188" s="1352"/>
      <c r="X188" s="1599"/>
      <c r="Y188" s="1599"/>
      <c r="Z188" s="1339">
        <v>15.85</v>
      </c>
      <c r="AA188" s="1599"/>
      <c r="AB188" s="1599"/>
      <c r="AC188" s="1599"/>
      <c r="AD188" s="1599"/>
      <c r="AE188" s="1599"/>
      <c r="AF188" s="1599"/>
      <c r="AG188" s="1599"/>
      <c r="AH188" s="1599"/>
      <c r="AI188" s="1600"/>
      <c r="AJ188" s="1600"/>
      <c r="AK188" s="1593"/>
      <c r="AL188" s="1600"/>
      <c r="AM188" s="1600"/>
      <c r="AN188" s="1600"/>
      <c r="AO188" s="1599"/>
      <c r="AP188" s="1599"/>
      <c r="AQ188" s="1599"/>
      <c r="AR188" s="1599"/>
      <c r="AS188" s="1511">
        <f t="shared" si="48"/>
        <v>0</v>
      </c>
      <c r="AT188" s="1599"/>
      <c r="AU188" s="1599"/>
      <c r="AV188" s="1599"/>
      <c r="AW188" s="1599"/>
      <c r="AX188" s="1599"/>
      <c r="AY188" s="1339">
        <v>15.85</v>
      </c>
      <c r="AZ188" s="1599"/>
      <c r="BA188" s="1599"/>
      <c r="BB188" s="1599"/>
      <c r="BC188" s="1833"/>
      <c r="BD188" s="1351"/>
    </row>
    <row r="189" spans="1:56" s="1325" customFormat="1" ht="30.25" customHeight="1" outlineLevel="1">
      <c r="A189" s="1455">
        <v>6.11</v>
      </c>
      <c r="B189" s="1455" t="s">
        <v>1759</v>
      </c>
      <c r="C189" s="1455" t="s">
        <v>904</v>
      </c>
      <c r="D189" s="1341"/>
      <c r="E189" s="1342"/>
      <c r="F189" s="1342"/>
      <c r="G189" s="1343">
        <v>4</v>
      </c>
      <c r="H189" s="1351"/>
      <c r="I189" s="1352"/>
      <c r="J189" s="1352"/>
      <c r="K189" s="1353"/>
      <c r="L189" s="1353"/>
      <c r="M189" s="1353"/>
      <c r="N189" s="1353"/>
      <c r="O189" s="1354" t="s">
        <v>1871</v>
      </c>
      <c r="P189" s="1352"/>
      <c r="Q189" s="1352"/>
      <c r="R189" s="1352"/>
      <c r="S189" s="1352"/>
      <c r="T189" s="1511">
        <f t="shared" si="45"/>
        <v>0</v>
      </c>
      <c r="U189" s="1352"/>
      <c r="V189" s="1352"/>
      <c r="W189" s="1352"/>
      <c r="X189" s="1599"/>
      <c r="Y189" s="1599"/>
      <c r="Z189" s="1339">
        <v>4</v>
      </c>
      <c r="AA189" s="1599"/>
      <c r="AB189" s="1599"/>
      <c r="AC189" s="1599"/>
      <c r="AD189" s="1599"/>
      <c r="AE189" s="1599"/>
      <c r="AF189" s="1599"/>
      <c r="AG189" s="1599"/>
      <c r="AH189" s="1599"/>
      <c r="AI189" s="1600"/>
      <c r="AJ189" s="1600"/>
      <c r="AK189" s="1593"/>
      <c r="AL189" s="1600"/>
      <c r="AM189" s="1600"/>
      <c r="AN189" s="1600"/>
      <c r="AO189" s="1599"/>
      <c r="AP189" s="1599"/>
      <c r="AQ189" s="1599"/>
      <c r="AR189" s="1599"/>
      <c r="AS189" s="1511">
        <f t="shared" si="48"/>
        <v>0</v>
      </c>
      <c r="AT189" s="1599"/>
      <c r="AU189" s="1599"/>
      <c r="AV189" s="1599"/>
      <c r="AW189" s="1599"/>
      <c r="AX189" s="1599"/>
      <c r="AY189" s="1339">
        <v>4</v>
      </c>
      <c r="AZ189" s="1599"/>
      <c r="BA189" s="1599"/>
      <c r="BB189" s="1599"/>
      <c r="BC189" s="1834"/>
      <c r="BD189" s="1351"/>
    </row>
    <row r="190" spans="1:56" s="1330" customFormat="1" ht="30.25" customHeight="1" outlineLevel="1">
      <c r="A190" s="1457"/>
      <c r="B190" s="1457" t="s">
        <v>1760</v>
      </c>
      <c r="C190" s="1457"/>
      <c r="D190" s="1344"/>
      <c r="E190" s="1345"/>
      <c r="F190" s="1345"/>
      <c r="G190" s="1344"/>
      <c r="H190" s="1344"/>
      <c r="I190" s="1344"/>
      <c r="J190" s="1344"/>
      <c r="K190" s="1345"/>
      <c r="L190" s="1345"/>
      <c r="M190" s="1345"/>
      <c r="N190" s="1345"/>
      <c r="O190" s="1346"/>
      <c r="P190" s="1344"/>
      <c r="Q190" s="1344"/>
      <c r="R190" s="1344"/>
      <c r="S190" s="1344"/>
      <c r="T190" s="1511">
        <f t="shared" si="45"/>
        <v>0</v>
      </c>
      <c r="U190" s="1344"/>
      <c r="V190" s="1344"/>
      <c r="W190" s="1344"/>
      <c r="X190" s="1596"/>
      <c r="Y190" s="1596"/>
      <c r="Z190" s="1596"/>
      <c r="AA190" s="1596"/>
      <c r="AB190" s="1596"/>
      <c r="AC190" s="1596"/>
      <c r="AD190" s="1596"/>
      <c r="AE190" s="1596"/>
      <c r="AF190" s="1596"/>
      <c r="AG190" s="1596"/>
      <c r="AH190" s="1596"/>
      <c r="AI190" s="1597"/>
      <c r="AJ190" s="1597"/>
      <c r="AK190" s="1597"/>
      <c r="AL190" s="1597"/>
      <c r="AM190" s="1597"/>
      <c r="AN190" s="1597"/>
      <c r="AO190" s="1596"/>
      <c r="AP190" s="1596"/>
      <c r="AQ190" s="1596"/>
      <c r="AR190" s="1596"/>
      <c r="AS190" s="1511">
        <f t="shared" si="48"/>
        <v>0</v>
      </c>
      <c r="AT190" s="1596"/>
      <c r="AU190" s="1596"/>
      <c r="AV190" s="1596"/>
      <c r="AW190" s="1596"/>
      <c r="AX190" s="1596"/>
      <c r="AY190" s="1596"/>
      <c r="AZ190" s="1596"/>
      <c r="BA190" s="1596"/>
      <c r="BB190" s="1596"/>
      <c r="BC190" s="1346"/>
      <c r="BD190" s="1347"/>
    </row>
    <row r="191" spans="1:56" s="1338" customFormat="1" ht="30.25" customHeight="1" outlineLevel="1">
      <c r="A191" s="1458">
        <v>1</v>
      </c>
      <c r="B191" s="1459" t="s">
        <v>1761</v>
      </c>
      <c r="C191" s="1458" t="s">
        <v>896</v>
      </c>
      <c r="D191" s="1331"/>
      <c r="E191" s="1332"/>
      <c r="F191" s="1332"/>
      <c r="G191" s="1333">
        <f>SUM(G192)</f>
        <v>50</v>
      </c>
      <c r="H191" s="1334"/>
      <c r="I191" s="1335"/>
      <c r="J191" s="1335"/>
      <c r="K191" s="1336"/>
      <c r="L191" s="1336"/>
      <c r="M191" s="1336"/>
      <c r="N191" s="1336"/>
      <c r="O191" s="1337"/>
      <c r="P191" s="1335"/>
      <c r="Q191" s="1335"/>
      <c r="R191" s="1335"/>
      <c r="S191" s="1335"/>
      <c r="T191" s="1511">
        <f t="shared" si="45"/>
        <v>0</v>
      </c>
      <c r="U191" s="1335"/>
      <c r="V191" s="1335"/>
      <c r="W191" s="1335"/>
      <c r="X191" s="1333">
        <f t="shared" ref="X191:BA191" si="66">SUM(X192)</f>
        <v>0</v>
      </c>
      <c r="Y191" s="1333">
        <f t="shared" si="66"/>
        <v>0</v>
      </c>
      <c r="Z191" s="1333">
        <f t="shared" si="66"/>
        <v>0</v>
      </c>
      <c r="AA191" s="1333"/>
      <c r="AB191" s="1333">
        <f t="shared" si="66"/>
        <v>0</v>
      </c>
      <c r="AC191" s="1333"/>
      <c r="AD191" s="1333"/>
      <c r="AE191" s="1333"/>
      <c r="AF191" s="1333"/>
      <c r="AG191" s="1333"/>
      <c r="AH191" s="1333"/>
      <c r="AI191" s="1333">
        <f t="shared" si="66"/>
        <v>0</v>
      </c>
      <c r="AJ191" s="1333">
        <f t="shared" si="66"/>
        <v>0</v>
      </c>
      <c r="AK191" s="1333">
        <f t="shared" si="66"/>
        <v>0</v>
      </c>
      <c r="AL191" s="1333"/>
      <c r="AM191" s="1333">
        <f t="shared" si="66"/>
        <v>0</v>
      </c>
      <c r="AN191" s="1333">
        <f t="shared" si="66"/>
        <v>0</v>
      </c>
      <c r="AO191" s="1333">
        <f t="shared" si="66"/>
        <v>0</v>
      </c>
      <c r="AP191" s="1333"/>
      <c r="AQ191" s="1333"/>
      <c r="AR191" s="1333"/>
      <c r="AS191" s="1511">
        <f t="shared" si="48"/>
        <v>0</v>
      </c>
      <c r="AT191" s="1333"/>
      <c r="AU191" s="1333"/>
      <c r="AV191" s="1333"/>
      <c r="AW191" s="1333">
        <f t="shared" si="66"/>
        <v>0</v>
      </c>
      <c r="AX191" s="1333">
        <f t="shared" si="66"/>
        <v>0</v>
      </c>
      <c r="AY191" s="1333">
        <f t="shared" si="66"/>
        <v>0</v>
      </c>
      <c r="AZ191" s="1333"/>
      <c r="BA191" s="1333">
        <f t="shared" si="66"/>
        <v>0</v>
      </c>
      <c r="BB191" s="1559"/>
      <c r="BC191" s="1337"/>
      <c r="BD191" s="1334"/>
    </row>
    <row r="192" spans="1:56" s="1338" customFormat="1" ht="30.25" customHeight="1" outlineLevel="1">
      <c r="A192" s="1455">
        <v>1.1000000000000001</v>
      </c>
      <c r="B192" s="1455" t="s">
        <v>1761</v>
      </c>
      <c r="C192" s="1455" t="s">
        <v>904</v>
      </c>
      <c r="D192" s="1331"/>
      <c r="E192" s="1332"/>
      <c r="F192" s="1332"/>
      <c r="G192" s="1339">
        <v>50</v>
      </c>
      <c r="H192" s="1334"/>
      <c r="I192" s="1335"/>
      <c r="J192" s="1335"/>
      <c r="K192" s="1336"/>
      <c r="L192" s="1336"/>
      <c r="M192" s="1336"/>
      <c r="N192" s="1336"/>
      <c r="O192" s="1337" t="s">
        <v>1843</v>
      </c>
      <c r="P192" s="1335"/>
      <c r="Q192" s="1335"/>
      <c r="R192" s="1335"/>
      <c r="S192" s="1335"/>
      <c r="T192" s="1511">
        <f t="shared" si="45"/>
        <v>0</v>
      </c>
      <c r="U192" s="1335"/>
      <c r="V192" s="1335"/>
      <c r="W192" s="1335"/>
      <c r="X192" s="1559"/>
      <c r="Y192" s="1559"/>
      <c r="Z192" s="1559"/>
      <c r="AA192" s="1559">
        <f>G192</f>
        <v>50</v>
      </c>
      <c r="AB192" s="1559"/>
      <c r="AC192" s="1559"/>
      <c r="AD192" s="1559"/>
      <c r="AE192" s="1559"/>
      <c r="AF192" s="1559"/>
      <c r="AG192" s="1559"/>
      <c r="AH192" s="1559"/>
      <c r="AI192" s="1594"/>
      <c r="AJ192" s="1594"/>
      <c r="AK192" s="1594"/>
      <c r="AL192" s="1593">
        <v>1</v>
      </c>
      <c r="AM192" s="1594"/>
      <c r="AN192" s="1594"/>
      <c r="AO192" s="1559"/>
      <c r="AP192" s="1559"/>
      <c r="AQ192" s="1559"/>
      <c r="AR192" s="1559"/>
      <c r="AS192" s="1511">
        <f t="shared" si="48"/>
        <v>0</v>
      </c>
      <c r="AT192" s="1559"/>
      <c r="AU192" s="1559"/>
      <c r="AV192" s="1559"/>
      <c r="AW192" s="1559"/>
      <c r="AX192" s="1559"/>
      <c r="AY192" s="1559"/>
      <c r="AZ192" s="1559">
        <f>AA192</f>
        <v>50</v>
      </c>
      <c r="BA192" s="1559"/>
      <c r="BB192" s="1559"/>
      <c r="BC192" s="1337" t="s">
        <v>1872</v>
      </c>
      <c r="BD192" s="1334"/>
    </row>
    <row r="193" spans="1:56" s="1338" customFormat="1" ht="30.25" customHeight="1" outlineLevel="1">
      <c r="A193" s="1458">
        <v>2</v>
      </c>
      <c r="B193" s="1459" t="s">
        <v>1762</v>
      </c>
      <c r="C193" s="1458" t="s">
        <v>896</v>
      </c>
      <c r="D193" s="1331"/>
      <c r="E193" s="1332"/>
      <c r="F193" s="1332"/>
      <c r="G193" s="1333">
        <f>SUM(G194)</f>
        <v>118</v>
      </c>
      <c r="H193" s="1334"/>
      <c r="I193" s="1335"/>
      <c r="J193" s="1335"/>
      <c r="K193" s="1336"/>
      <c r="L193" s="1336"/>
      <c r="M193" s="1336"/>
      <c r="N193" s="1336"/>
      <c r="O193" s="1337"/>
      <c r="P193" s="1335"/>
      <c r="Q193" s="1335"/>
      <c r="R193" s="1335"/>
      <c r="S193" s="1335"/>
      <c r="T193" s="1511">
        <f t="shared" si="45"/>
        <v>0</v>
      </c>
      <c r="U193" s="1335"/>
      <c r="V193" s="1335"/>
      <c r="W193" s="1335"/>
      <c r="X193" s="1333">
        <f t="shared" ref="X193:AB193" si="67">SUM(X194)</f>
        <v>0</v>
      </c>
      <c r="Y193" s="1333">
        <f t="shared" si="67"/>
        <v>0</v>
      </c>
      <c r="Z193" s="1333">
        <f t="shared" si="67"/>
        <v>0</v>
      </c>
      <c r="AA193" s="1333"/>
      <c r="AB193" s="1333">
        <f t="shared" si="67"/>
        <v>0</v>
      </c>
      <c r="AC193" s="1333"/>
      <c r="AD193" s="1333"/>
      <c r="AE193" s="1333"/>
      <c r="AF193" s="1333"/>
      <c r="AG193" s="1333"/>
      <c r="AH193" s="1333"/>
      <c r="AI193" s="1333">
        <f t="shared" ref="AI193:AK193" si="68">SUM(AI194)</f>
        <v>0</v>
      </c>
      <c r="AJ193" s="1333">
        <f t="shared" si="68"/>
        <v>0</v>
      </c>
      <c r="AK193" s="1333">
        <f t="shared" si="68"/>
        <v>0</v>
      </c>
      <c r="AL193" s="1333"/>
      <c r="AM193" s="1333">
        <f t="shared" ref="AM193:AO193" si="69">SUM(AM194)</f>
        <v>0</v>
      </c>
      <c r="AN193" s="1333">
        <f t="shared" si="69"/>
        <v>0</v>
      </c>
      <c r="AO193" s="1333">
        <f t="shared" si="69"/>
        <v>0</v>
      </c>
      <c r="AP193" s="1333"/>
      <c r="AQ193" s="1333"/>
      <c r="AR193" s="1333"/>
      <c r="AS193" s="1511">
        <f t="shared" si="48"/>
        <v>0</v>
      </c>
      <c r="AT193" s="1333"/>
      <c r="AU193" s="1333"/>
      <c r="AV193" s="1333"/>
      <c r="AW193" s="1333">
        <f t="shared" ref="AW193:BA193" si="70">SUM(AW194)</f>
        <v>0</v>
      </c>
      <c r="AX193" s="1333">
        <f t="shared" si="70"/>
        <v>0</v>
      </c>
      <c r="AY193" s="1333">
        <f t="shared" si="70"/>
        <v>0</v>
      </c>
      <c r="AZ193" s="1333"/>
      <c r="BA193" s="1333">
        <f t="shared" si="70"/>
        <v>0</v>
      </c>
      <c r="BB193" s="1559"/>
      <c r="BC193" s="1337"/>
      <c r="BD193" s="1334"/>
    </row>
    <row r="194" spans="1:56" s="1338" customFormat="1" ht="30.25" customHeight="1" outlineLevel="1">
      <c r="A194" s="1455">
        <v>2.1</v>
      </c>
      <c r="B194" s="1455" t="s">
        <v>1763</v>
      </c>
      <c r="C194" s="1455" t="s">
        <v>904</v>
      </c>
      <c r="D194" s="1331"/>
      <c r="E194" s="1332"/>
      <c r="F194" s="1332"/>
      <c r="G194" s="1339">
        <v>118</v>
      </c>
      <c r="H194" s="1334"/>
      <c r="I194" s="1335"/>
      <c r="J194" s="1335"/>
      <c r="K194" s="1336"/>
      <c r="L194" s="1336"/>
      <c r="M194" s="1336"/>
      <c r="N194" s="1336"/>
      <c r="O194" s="1337" t="s">
        <v>1900</v>
      </c>
      <c r="P194" s="1335"/>
      <c r="Q194" s="1335"/>
      <c r="R194" s="1335"/>
      <c r="S194" s="1335"/>
      <c r="T194" s="1511">
        <f t="shared" si="45"/>
        <v>0</v>
      </c>
      <c r="U194" s="1335"/>
      <c r="V194" s="1335"/>
      <c r="W194" s="1335"/>
      <c r="X194" s="1559"/>
      <c r="Y194" s="1559"/>
      <c r="Z194" s="1559"/>
      <c r="AA194" s="1559">
        <f>G194</f>
        <v>118</v>
      </c>
      <c r="AB194" s="1559"/>
      <c r="AC194" s="1559"/>
      <c r="AD194" s="1559"/>
      <c r="AE194" s="1559"/>
      <c r="AF194" s="1559"/>
      <c r="AG194" s="1559"/>
      <c r="AH194" s="1559"/>
      <c r="AI194" s="1594"/>
      <c r="AJ194" s="1594"/>
      <c r="AK194" s="1594"/>
      <c r="AL194" s="1593">
        <v>1</v>
      </c>
      <c r="AM194" s="1594"/>
      <c r="AN194" s="1594"/>
      <c r="AO194" s="1559"/>
      <c r="AP194" s="1559"/>
      <c r="AQ194" s="1559"/>
      <c r="AR194" s="1559"/>
      <c r="AS194" s="1511">
        <f t="shared" si="48"/>
        <v>0</v>
      </c>
      <c r="AT194" s="1559"/>
      <c r="AU194" s="1559"/>
      <c r="AV194" s="1559"/>
      <c r="AW194" s="1559"/>
      <c r="AX194" s="1559"/>
      <c r="AY194" s="1559"/>
      <c r="AZ194" s="1559">
        <f>AA194</f>
        <v>118</v>
      </c>
      <c r="BA194" s="1559"/>
      <c r="BB194" s="1559"/>
      <c r="BC194" s="1337" t="s">
        <v>1872</v>
      </c>
      <c r="BD194" s="1334"/>
    </row>
    <row r="195" spans="1:56" s="1338" customFormat="1" ht="30.25" customHeight="1" outlineLevel="1">
      <c r="A195" s="1458">
        <v>3</v>
      </c>
      <c r="B195" s="1459" t="s">
        <v>1764</v>
      </c>
      <c r="C195" s="1458" t="s">
        <v>896</v>
      </c>
      <c r="D195" s="1331"/>
      <c r="E195" s="1332"/>
      <c r="F195" s="1332"/>
      <c r="G195" s="1333">
        <f>SUM(G196:G196)</f>
        <v>89</v>
      </c>
      <c r="H195" s="1334"/>
      <c r="I195" s="1335"/>
      <c r="J195" s="1335"/>
      <c r="K195" s="1336"/>
      <c r="L195" s="1336"/>
      <c r="M195" s="1336"/>
      <c r="N195" s="1336"/>
      <c r="O195" s="1337"/>
      <c r="P195" s="1335"/>
      <c r="Q195" s="1335"/>
      <c r="R195" s="1335"/>
      <c r="S195" s="1335"/>
      <c r="T195" s="1511">
        <f t="shared" si="45"/>
        <v>0</v>
      </c>
      <c r="U195" s="1335"/>
      <c r="V195" s="1335"/>
      <c r="W195" s="1335"/>
      <c r="X195" s="1333">
        <f t="shared" ref="X195:Z195" si="71">SUM(X196)</f>
        <v>0</v>
      </c>
      <c r="Y195" s="1333">
        <f t="shared" si="71"/>
        <v>0</v>
      </c>
      <c r="Z195" s="1333">
        <f t="shared" si="71"/>
        <v>0</v>
      </c>
      <c r="AA195" s="1333"/>
      <c r="AB195" s="1333">
        <f t="shared" ref="AB195:AK195" si="72">SUM(AB196:AB196)</f>
        <v>0</v>
      </c>
      <c r="AC195" s="1333"/>
      <c r="AD195" s="1333"/>
      <c r="AE195" s="1333"/>
      <c r="AF195" s="1333"/>
      <c r="AG195" s="1333"/>
      <c r="AH195" s="1333"/>
      <c r="AI195" s="1333">
        <f t="shared" si="72"/>
        <v>0</v>
      </c>
      <c r="AJ195" s="1333">
        <f t="shared" si="72"/>
        <v>0</v>
      </c>
      <c r="AK195" s="1333">
        <f t="shared" si="72"/>
        <v>0</v>
      </c>
      <c r="AL195" s="1333"/>
      <c r="AM195" s="1333">
        <f t="shared" ref="AM195:AY195" si="73">SUM(AM196:AM196)</f>
        <v>0</v>
      </c>
      <c r="AN195" s="1333">
        <f t="shared" si="73"/>
        <v>0</v>
      </c>
      <c r="AO195" s="1333">
        <f t="shared" si="73"/>
        <v>0</v>
      </c>
      <c r="AP195" s="1333"/>
      <c r="AQ195" s="1333"/>
      <c r="AR195" s="1333"/>
      <c r="AS195" s="1511">
        <f t="shared" si="48"/>
        <v>0</v>
      </c>
      <c r="AT195" s="1333"/>
      <c r="AU195" s="1333"/>
      <c r="AV195" s="1333"/>
      <c r="AW195" s="1333">
        <f t="shared" si="73"/>
        <v>0</v>
      </c>
      <c r="AX195" s="1333">
        <f t="shared" si="73"/>
        <v>0</v>
      </c>
      <c r="AY195" s="1333">
        <f t="shared" si="73"/>
        <v>0</v>
      </c>
      <c r="AZ195" s="1333"/>
      <c r="BA195" s="1333">
        <f t="shared" ref="BA195" si="74">SUM(BA196)</f>
        <v>0</v>
      </c>
      <c r="BB195" s="1559"/>
      <c r="BC195" s="1337"/>
      <c r="BD195" s="1334"/>
    </row>
    <row r="196" spans="1:56" s="1338" customFormat="1" ht="30.25" customHeight="1" outlineLevel="1">
      <c r="A196" s="1455">
        <v>3.1</v>
      </c>
      <c r="B196" s="1455" t="s">
        <v>1765</v>
      </c>
      <c r="C196" s="1455" t="s">
        <v>904</v>
      </c>
      <c r="D196" s="1331"/>
      <c r="E196" s="1332"/>
      <c r="F196" s="1332"/>
      <c r="G196" s="1339">
        <v>89</v>
      </c>
      <c r="H196" s="1334"/>
      <c r="I196" s="1335"/>
      <c r="J196" s="1335"/>
      <c r="K196" s="1336"/>
      <c r="L196" s="1336"/>
      <c r="M196" s="1336"/>
      <c r="N196" s="1336"/>
      <c r="O196" s="1337" t="s">
        <v>1901</v>
      </c>
      <c r="P196" s="1335"/>
      <c r="Q196" s="1335"/>
      <c r="R196" s="1335"/>
      <c r="S196" s="1335"/>
      <c r="T196" s="1511">
        <f t="shared" si="45"/>
        <v>0</v>
      </c>
      <c r="U196" s="1335"/>
      <c r="V196" s="1335"/>
      <c r="W196" s="1335"/>
      <c r="X196" s="1559"/>
      <c r="Y196" s="1559"/>
      <c r="Z196" s="1559"/>
      <c r="AA196" s="1339">
        <v>89</v>
      </c>
      <c r="AB196" s="1559"/>
      <c r="AC196" s="1559"/>
      <c r="AD196" s="1559"/>
      <c r="AE196" s="1559"/>
      <c r="AF196" s="1559"/>
      <c r="AG196" s="1559"/>
      <c r="AH196" s="1559"/>
      <c r="AI196" s="1594"/>
      <c r="AJ196" s="1594"/>
      <c r="AK196" s="1594"/>
      <c r="AL196" s="1593">
        <v>1</v>
      </c>
      <c r="AM196" s="1594"/>
      <c r="AN196" s="1594"/>
      <c r="AO196" s="1559"/>
      <c r="AP196" s="1559"/>
      <c r="AQ196" s="1559"/>
      <c r="AR196" s="1559"/>
      <c r="AS196" s="1511">
        <f t="shared" si="48"/>
        <v>0</v>
      </c>
      <c r="AT196" s="1559"/>
      <c r="AU196" s="1559"/>
      <c r="AV196" s="1559"/>
      <c r="AW196" s="1559"/>
      <c r="AX196" s="1559"/>
      <c r="AY196" s="1559"/>
      <c r="AZ196" s="1559">
        <f>AA196</f>
        <v>89</v>
      </c>
      <c r="BA196" s="1559"/>
      <c r="BB196" s="1559"/>
      <c r="BC196" s="1337" t="s">
        <v>1872</v>
      </c>
      <c r="BD196" s="1334"/>
    </row>
    <row r="197" spans="1:56" s="1330" customFormat="1" ht="30.25" customHeight="1" outlineLevel="1">
      <c r="A197" s="1457"/>
      <c r="B197" s="1457" t="s">
        <v>951</v>
      </c>
      <c r="C197" s="1457"/>
      <c r="D197" s="1344"/>
      <c r="E197" s="1345"/>
      <c r="F197" s="1345"/>
      <c r="G197" s="1344"/>
      <c r="H197" s="1344"/>
      <c r="I197" s="1344"/>
      <c r="J197" s="1344"/>
      <c r="K197" s="1345"/>
      <c r="L197" s="1345"/>
      <c r="M197" s="1345"/>
      <c r="N197" s="1345"/>
      <c r="O197" s="1346"/>
      <c r="P197" s="1344"/>
      <c r="Q197" s="1344"/>
      <c r="R197" s="1344"/>
      <c r="S197" s="1344"/>
      <c r="T197" s="1511">
        <f t="shared" si="45"/>
        <v>0</v>
      </c>
      <c r="U197" s="1344"/>
      <c r="V197" s="1344"/>
      <c r="W197" s="1344"/>
      <c r="X197" s="1596"/>
      <c r="Y197" s="1596"/>
      <c r="Z197" s="1596"/>
      <c r="AA197" s="1596"/>
      <c r="AB197" s="1596"/>
      <c r="AC197" s="1596"/>
      <c r="AD197" s="1596"/>
      <c r="AE197" s="1596"/>
      <c r="AF197" s="1596"/>
      <c r="AG197" s="1596"/>
      <c r="AH197" s="1596"/>
      <c r="AI197" s="1597"/>
      <c r="AJ197" s="1597"/>
      <c r="AK197" s="1597"/>
      <c r="AL197" s="1597"/>
      <c r="AM197" s="1597"/>
      <c r="AN197" s="1597"/>
      <c r="AO197" s="1596"/>
      <c r="AP197" s="1596"/>
      <c r="AQ197" s="1596"/>
      <c r="AR197" s="1596"/>
      <c r="AS197" s="1511">
        <f t="shared" si="48"/>
        <v>0</v>
      </c>
      <c r="AT197" s="1596"/>
      <c r="AU197" s="1596"/>
      <c r="AV197" s="1596"/>
      <c r="AW197" s="1596"/>
      <c r="AX197" s="1596"/>
      <c r="AY197" s="1596"/>
      <c r="AZ197" s="1596"/>
      <c r="BA197" s="1596"/>
      <c r="BB197" s="1596"/>
      <c r="BC197" s="1346"/>
      <c r="BD197" s="1347"/>
    </row>
    <row r="198" spans="1:56" s="1338" customFormat="1" ht="30.25" customHeight="1" outlineLevel="1">
      <c r="A198" s="1458">
        <v>1</v>
      </c>
      <c r="B198" s="1459" t="s">
        <v>1704</v>
      </c>
      <c r="C198" s="1458" t="s">
        <v>896</v>
      </c>
      <c r="D198" s="1331"/>
      <c r="E198" s="1332"/>
      <c r="F198" s="1332"/>
      <c r="G198" s="1333">
        <f>SUM(G199)</f>
        <v>70</v>
      </c>
      <c r="H198" s="1334"/>
      <c r="I198" s="1335"/>
      <c r="J198" s="1335"/>
      <c r="K198" s="1336"/>
      <c r="L198" s="1336"/>
      <c r="M198" s="1336"/>
      <c r="N198" s="1336"/>
      <c r="O198" s="1337"/>
      <c r="P198" s="1335"/>
      <c r="Q198" s="1335"/>
      <c r="R198" s="1335"/>
      <c r="S198" s="1335"/>
      <c r="T198" s="1511">
        <f t="shared" si="45"/>
        <v>0</v>
      </c>
      <c r="U198" s="1335"/>
      <c r="V198" s="1335"/>
      <c r="W198" s="1335"/>
      <c r="X198" s="1333">
        <f t="shared" ref="X198:AA198" si="75">SUM(X199)</f>
        <v>0</v>
      </c>
      <c r="Y198" s="1333">
        <f t="shared" si="75"/>
        <v>0</v>
      </c>
      <c r="Z198" s="1333">
        <f t="shared" si="75"/>
        <v>0</v>
      </c>
      <c r="AA198" s="1333">
        <f t="shared" si="75"/>
        <v>0</v>
      </c>
      <c r="AB198" s="1333"/>
      <c r="AC198" s="1333"/>
      <c r="AD198" s="1333"/>
      <c r="AE198" s="1333"/>
      <c r="AF198" s="1333"/>
      <c r="AG198" s="1333"/>
      <c r="AH198" s="1333"/>
      <c r="AI198" s="1333">
        <f t="shared" ref="AI198:AL198" si="76">SUM(AI199)</f>
        <v>0</v>
      </c>
      <c r="AJ198" s="1333">
        <f t="shared" si="76"/>
        <v>0</v>
      </c>
      <c r="AK198" s="1333">
        <f t="shared" si="76"/>
        <v>0</v>
      </c>
      <c r="AL198" s="1333">
        <f t="shared" si="76"/>
        <v>0</v>
      </c>
      <c r="AM198" s="1333"/>
      <c r="AN198" s="1333">
        <f t="shared" ref="AN198:AO198" si="77">SUM(AN199)</f>
        <v>0</v>
      </c>
      <c r="AO198" s="1333">
        <f t="shared" si="77"/>
        <v>0</v>
      </c>
      <c r="AP198" s="1333"/>
      <c r="AQ198" s="1333"/>
      <c r="AR198" s="1333"/>
      <c r="AS198" s="1511">
        <f t="shared" si="48"/>
        <v>0</v>
      </c>
      <c r="AT198" s="1333"/>
      <c r="AU198" s="1333"/>
      <c r="AV198" s="1333"/>
      <c r="AW198" s="1333">
        <f t="shared" ref="AW198:AZ198" si="78">SUM(AW199)</f>
        <v>0</v>
      </c>
      <c r="AX198" s="1333">
        <f t="shared" si="78"/>
        <v>0</v>
      </c>
      <c r="AY198" s="1333">
        <f t="shared" si="78"/>
        <v>0</v>
      </c>
      <c r="AZ198" s="1333">
        <f t="shared" si="78"/>
        <v>0</v>
      </c>
      <c r="BA198" s="1333"/>
      <c r="BB198" s="1559"/>
      <c r="BC198" s="1337"/>
      <c r="BD198" s="1334"/>
    </row>
    <row r="199" spans="1:56" s="1338" customFormat="1" ht="30.25" customHeight="1" outlineLevel="1">
      <c r="A199" s="1455">
        <v>1.1000000000000001</v>
      </c>
      <c r="B199" s="1455" t="s">
        <v>1704</v>
      </c>
      <c r="C199" s="1455" t="s">
        <v>904</v>
      </c>
      <c r="D199" s="1331"/>
      <c r="E199" s="1332"/>
      <c r="F199" s="1332"/>
      <c r="G199" s="1339">
        <v>70</v>
      </c>
      <c r="H199" s="1334"/>
      <c r="I199" s="1335"/>
      <c r="J199" s="1335"/>
      <c r="K199" s="1336"/>
      <c r="L199" s="1336"/>
      <c r="M199" s="1336"/>
      <c r="N199" s="1336"/>
      <c r="O199" s="1337" t="s">
        <v>1902</v>
      </c>
      <c r="P199" s="1335"/>
      <c r="Q199" s="1335"/>
      <c r="R199" s="1335"/>
      <c r="S199" s="1335"/>
      <c r="T199" s="1511">
        <f t="shared" si="45"/>
        <v>0</v>
      </c>
      <c r="U199" s="1335"/>
      <c r="V199" s="1335"/>
      <c r="W199" s="1335"/>
      <c r="X199" s="1559"/>
      <c r="Y199" s="1559"/>
      <c r="Z199" s="1559"/>
      <c r="AA199" s="1559"/>
      <c r="AB199" s="1559">
        <f>G199</f>
        <v>70</v>
      </c>
      <c r="AC199" s="1559"/>
      <c r="AD199" s="1559"/>
      <c r="AE199" s="1559"/>
      <c r="AF199" s="1559"/>
      <c r="AG199" s="1559"/>
      <c r="AH199" s="1559"/>
      <c r="AI199" s="1594"/>
      <c r="AJ199" s="1594"/>
      <c r="AK199" s="1594"/>
      <c r="AL199" s="1594"/>
      <c r="AM199" s="1593">
        <v>1</v>
      </c>
      <c r="AN199" s="1594"/>
      <c r="AO199" s="1559"/>
      <c r="AP199" s="1559"/>
      <c r="AQ199" s="1559"/>
      <c r="AR199" s="1559"/>
      <c r="AS199" s="1511">
        <f t="shared" si="48"/>
        <v>0</v>
      </c>
      <c r="AT199" s="1559"/>
      <c r="AU199" s="1559"/>
      <c r="AV199" s="1559"/>
      <c r="AW199" s="1559"/>
      <c r="AX199" s="1559"/>
      <c r="AY199" s="1559"/>
      <c r="AZ199" s="1559"/>
      <c r="BA199" s="1559">
        <f>AB199</f>
        <v>70</v>
      </c>
      <c r="BB199" s="1559"/>
      <c r="BC199" s="1337" t="s">
        <v>1872</v>
      </c>
      <c r="BD199" s="1334"/>
    </row>
    <row r="200" spans="1:56" s="1338" customFormat="1" ht="30.25" customHeight="1" outlineLevel="1">
      <c r="A200" s="1458">
        <v>2</v>
      </c>
      <c r="B200" s="1459" t="s">
        <v>1766</v>
      </c>
      <c r="C200" s="1458" t="s">
        <v>896</v>
      </c>
      <c r="D200" s="1331"/>
      <c r="E200" s="1332"/>
      <c r="F200" s="1332"/>
      <c r="G200" s="1333">
        <f>SUM(G201)</f>
        <v>75</v>
      </c>
      <c r="H200" s="1334"/>
      <c r="I200" s="1335"/>
      <c r="J200" s="1335"/>
      <c r="K200" s="1336"/>
      <c r="L200" s="1336"/>
      <c r="M200" s="1336"/>
      <c r="N200" s="1336"/>
      <c r="O200" s="1337"/>
      <c r="P200" s="1335"/>
      <c r="Q200" s="1335"/>
      <c r="R200" s="1335"/>
      <c r="S200" s="1335"/>
      <c r="T200" s="1511">
        <f t="shared" si="45"/>
        <v>0</v>
      </c>
      <c r="U200" s="1335"/>
      <c r="V200" s="1335"/>
      <c r="W200" s="1335"/>
      <c r="X200" s="1333">
        <f t="shared" ref="X200:AA200" si="79">SUM(X201)</f>
        <v>0</v>
      </c>
      <c r="Y200" s="1333">
        <f t="shared" si="79"/>
        <v>0</v>
      </c>
      <c r="Z200" s="1333">
        <f t="shared" si="79"/>
        <v>0</v>
      </c>
      <c r="AA200" s="1333">
        <f t="shared" si="79"/>
        <v>0</v>
      </c>
      <c r="AB200" s="1333"/>
      <c r="AC200" s="1333"/>
      <c r="AD200" s="1333"/>
      <c r="AE200" s="1333"/>
      <c r="AF200" s="1333"/>
      <c r="AG200" s="1333"/>
      <c r="AH200" s="1333"/>
      <c r="AI200" s="1333">
        <f t="shared" ref="AI200:AL200" si="80">SUM(AI201)</f>
        <v>0</v>
      </c>
      <c r="AJ200" s="1333">
        <f t="shared" si="80"/>
        <v>0</v>
      </c>
      <c r="AK200" s="1333">
        <f t="shared" si="80"/>
        <v>0</v>
      </c>
      <c r="AL200" s="1333">
        <f t="shared" si="80"/>
        <v>0</v>
      </c>
      <c r="AM200" s="1333"/>
      <c r="AN200" s="1333">
        <f t="shared" ref="AN200:AO200" si="81">SUM(AN201)</f>
        <v>0</v>
      </c>
      <c r="AO200" s="1333">
        <f t="shared" si="81"/>
        <v>0</v>
      </c>
      <c r="AP200" s="1333"/>
      <c r="AQ200" s="1333"/>
      <c r="AR200" s="1333"/>
      <c r="AS200" s="1511">
        <f t="shared" si="48"/>
        <v>0</v>
      </c>
      <c r="AT200" s="1333"/>
      <c r="AU200" s="1333"/>
      <c r="AV200" s="1333"/>
      <c r="AW200" s="1333">
        <f t="shared" ref="AW200:AZ200" si="82">SUM(AW201)</f>
        <v>0</v>
      </c>
      <c r="AX200" s="1333">
        <f t="shared" si="82"/>
        <v>0</v>
      </c>
      <c r="AY200" s="1333">
        <f t="shared" si="82"/>
        <v>0</v>
      </c>
      <c r="AZ200" s="1333">
        <f t="shared" si="82"/>
        <v>0</v>
      </c>
      <c r="BA200" s="1333"/>
      <c r="BB200" s="1559"/>
      <c r="BC200" s="1337"/>
      <c r="BD200" s="1334"/>
    </row>
    <row r="201" spans="1:56" s="1338" customFormat="1" ht="30.25" customHeight="1" outlineLevel="1">
      <c r="A201" s="1455">
        <v>2.1</v>
      </c>
      <c r="B201" s="1455" t="s">
        <v>1767</v>
      </c>
      <c r="C201" s="1455" t="s">
        <v>904</v>
      </c>
      <c r="D201" s="1331"/>
      <c r="E201" s="1332"/>
      <c r="F201" s="1332"/>
      <c r="G201" s="1339">
        <v>75</v>
      </c>
      <c r="H201" s="1334"/>
      <c r="I201" s="1335"/>
      <c r="J201" s="1335"/>
      <c r="K201" s="1336"/>
      <c r="L201" s="1336"/>
      <c r="M201" s="1336"/>
      <c r="N201" s="1336"/>
      <c r="O201" s="1337" t="s">
        <v>1903</v>
      </c>
      <c r="P201" s="1335"/>
      <c r="Q201" s="1335"/>
      <c r="R201" s="1335"/>
      <c r="S201" s="1335"/>
      <c r="T201" s="1511">
        <f t="shared" si="45"/>
        <v>0</v>
      </c>
      <c r="U201" s="1335"/>
      <c r="V201" s="1335"/>
      <c r="W201" s="1335"/>
      <c r="X201" s="1559"/>
      <c r="Y201" s="1559"/>
      <c r="Z201" s="1559"/>
      <c r="AA201" s="1559"/>
      <c r="AB201" s="1339">
        <v>75</v>
      </c>
      <c r="AC201" s="1559"/>
      <c r="AD201" s="1559"/>
      <c r="AE201" s="1559"/>
      <c r="AF201" s="1559"/>
      <c r="AG201" s="1559"/>
      <c r="AH201" s="1559"/>
      <c r="AI201" s="1594"/>
      <c r="AJ201" s="1594"/>
      <c r="AK201" s="1594"/>
      <c r="AL201" s="1594"/>
      <c r="AM201" s="1593">
        <v>1</v>
      </c>
      <c r="AN201" s="1594"/>
      <c r="AO201" s="1559"/>
      <c r="AP201" s="1559"/>
      <c r="AQ201" s="1559"/>
      <c r="AR201" s="1559"/>
      <c r="AS201" s="1511">
        <f t="shared" si="48"/>
        <v>0</v>
      </c>
      <c r="AT201" s="1559"/>
      <c r="AU201" s="1559"/>
      <c r="AV201" s="1559"/>
      <c r="AW201" s="1559"/>
      <c r="AX201" s="1559"/>
      <c r="AY201" s="1559"/>
      <c r="AZ201" s="1559"/>
      <c r="BA201" s="1559">
        <f>AB201</f>
        <v>75</v>
      </c>
      <c r="BB201" s="1559"/>
      <c r="BC201" s="1337" t="s">
        <v>1872</v>
      </c>
      <c r="BD201" s="1334"/>
    </row>
    <row r="202" spans="1:56" ht="30.25" customHeight="1">
      <c r="A202" s="1455"/>
      <c r="B202" s="1455"/>
      <c r="C202" s="1455"/>
      <c r="D202" s="1335"/>
      <c r="E202" s="1336"/>
      <c r="F202" s="1336"/>
      <c r="G202" s="1335"/>
      <c r="H202" s="1352"/>
      <c r="I202" s="1352"/>
      <c r="J202" s="1352"/>
      <c r="K202" s="1353"/>
      <c r="L202" s="1353"/>
      <c r="M202" s="1336"/>
      <c r="N202" s="1336"/>
      <c r="O202" s="1337"/>
      <c r="P202" s="1559"/>
      <c r="Q202" s="1559"/>
      <c r="R202" s="1559"/>
      <c r="S202" s="1559"/>
      <c r="T202" s="1511">
        <f t="shared" si="45"/>
        <v>0</v>
      </c>
      <c r="U202" s="1559"/>
      <c r="V202" s="1559"/>
      <c r="W202" s="1559"/>
      <c r="X202" s="1559"/>
      <c r="Y202" s="1559"/>
      <c r="Z202" s="1559"/>
      <c r="AA202" s="1559"/>
      <c r="AB202" s="1559"/>
      <c r="AC202" s="1594"/>
      <c r="AD202" s="1594"/>
      <c r="AE202" s="1594"/>
      <c r="AF202" s="1594"/>
      <c r="AG202" s="1594"/>
      <c r="AH202" s="1594"/>
      <c r="AI202" s="1594"/>
      <c r="AJ202" s="1559"/>
      <c r="AK202" s="1559"/>
      <c r="AL202" s="1559"/>
      <c r="AM202" s="1559"/>
      <c r="AN202" s="1559"/>
      <c r="AO202" s="1559"/>
      <c r="AP202" s="1559"/>
      <c r="AQ202" s="1559"/>
      <c r="AR202" s="1559"/>
      <c r="AS202" s="1511">
        <f t="shared" si="48"/>
        <v>0</v>
      </c>
      <c r="AT202" s="1559"/>
      <c r="AU202" s="1559"/>
      <c r="AV202" s="1559"/>
      <c r="AW202" s="1559"/>
      <c r="AX202" s="1559"/>
      <c r="AY202" s="1559"/>
      <c r="AZ202" s="1559"/>
      <c r="BA202" s="1559"/>
      <c r="BB202" s="1601"/>
      <c r="BC202" s="1337"/>
      <c r="BD202" s="1555"/>
    </row>
    <row r="203" spans="1:56" ht="30.25" customHeight="1" outlineLevel="1">
      <c r="A203" s="1456"/>
      <c r="B203" s="1456" t="s">
        <v>929</v>
      </c>
      <c r="C203" s="1456"/>
      <c r="D203" s="1352"/>
      <c r="E203" s="1353"/>
      <c r="F203" s="1353"/>
      <c r="G203" s="1352"/>
      <c r="H203" s="1352"/>
      <c r="I203" s="1352"/>
      <c r="J203" s="1352"/>
      <c r="K203" s="1353"/>
      <c r="L203" s="1353"/>
      <c r="M203" s="1353"/>
      <c r="N203" s="1353"/>
      <c r="O203" s="1354"/>
      <c r="P203" s="1599"/>
      <c r="Q203" s="1599"/>
      <c r="R203" s="1599"/>
      <c r="S203" s="1599"/>
      <c r="T203" s="1511">
        <f t="shared" ref="T203:T234" si="83">SUM(P203:S203)</f>
        <v>0</v>
      </c>
      <c r="U203" s="1599"/>
      <c r="V203" s="1599"/>
      <c r="W203" s="1599"/>
      <c r="X203" s="1599"/>
      <c r="Y203" s="1599"/>
      <c r="Z203" s="1599"/>
      <c r="AA203" s="1599"/>
      <c r="AB203" s="1599"/>
      <c r="AC203" s="1600"/>
      <c r="AD203" s="1600"/>
      <c r="AE203" s="1600"/>
      <c r="AF203" s="1600"/>
      <c r="AG203" s="1600"/>
      <c r="AH203" s="1600"/>
      <c r="AI203" s="1600"/>
      <c r="AJ203" s="1599"/>
      <c r="AK203" s="1599"/>
      <c r="AL203" s="1599"/>
      <c r="AM203" s="1599"/>
      <c r="AN203" s="1599"/>
      <c r="AO203" s="1599"/>
      <c r="AP203" s="1599"/>
      <c r="AQ203" s="1599"/>
      <c r="AR203" s="1599"/>
      <c r="AS203" s="1511">
        <f t="shared" ref="AS203:AS234" si="84">SUM(AO203:AR203)</f>
        <v>0</v>
      </c>
      <c r="AT203" s="1599"/>
      <c r="AU203" s="1599"/>
      <c r="AV203" s="1599"/>
      <c r="AW203" s="1599"/>
      <c r="AX203" s="1599"/>
      <c r="AY203" s="1599"/>
      <c r="AZ203" s="1599"/>
      <c r="BA203" s="1599"/>
      <c r="BB203" s="1599"/>
      <c r="BC203" s="1354"/>
      <c r="BD203" s="1351"/>
    </row>
    <row r="204" spans="1:56" ht="30.25" customHeight="1" outlineLevel="1">
      <c r="A204" s="1454">
        <v>1</v>
      </c>
      <c r="B204" s="1454" t="s">
        <v>1768</v>
      </c>
      <c r="C204" s="1454" t="s">
        <v>907</v>
      </c>
      <c r="D204" s="1355"/>
      <c r="E204" s="1356"/>
      <c r="F204" s="1356"/>
      <c r="G204" s="1355"/>
      <c r="H204" s="1355"/>
      <c r="I204" s="1355"/>
      <c r="J204" s="1355"/>
      <c r="K204" s="1356"/>
      <c r="L204" s="1356"/>
      <c r="M204" s="1356"/>
      <c r="N204" s="1356"/>
      <c r="O204" s="1357"/>
      <c r="P204" s="1602"/>
      <c r="Q204" s="1602">
        <v>1.473342572</v>
      </c>
      <c r="R204" s="1602"/>
      <c r="S204" s="1602"/>
      <c r="T204" s="1511">
        <f t="shared" si="83"/>
        <v>1.473342572</v>
      </c>
      <c r="U204" s="1602"/>
      <c r="V204" s="1602"/>
      <c r="W204" s="1524"/>
      <c r="X204" s="1524"/>
      <c r="Y204" s="1524"/>
      <c r="Z204" s="1524"/>
      <c r="AA204" s="1524"/>
      <c r="AB204" s="1524"/>
      <c r="AC204" s="1603"/>
      <c r="AD204" s="1603"/>
      <c r="AE204" s="1603"/>
      <c r="AF204" s="1603"/>
      <c r="AG204" s="1603"/>
      <c r="AH204" s="1603"/>
      <c r="AI204" s="1603"/>
      <c r="AJ204" s="1524"/>
      <c r="AK204" s="1524"/>
      <c r="AL204" s="1524"/>
      <c r="AM204" s="1524"/>
      <c r="AN204" s="1524"/>
      <c r="AO204" s="1602"/>
      <c r="AP204" s="1602">
        <v>1.473342572</v>
      </c>
      <c r="AQ204" s="1602"/>
      <c r="AR204" s="1602"/>
      <c r="AS204" s="1511">
        <f t="shared" si="84"/>
        <v>1.473342572</v>
      </c>
      <c r="AT204" s="1602"/>
      <c r="AU204" s="1602"/>
      <c r="AV204" s="1524"/>
      <c r="AW204" s="1524"/>
      <c r="AX204" s="1524"/>
      <c r="AY204" s="1524"/>
      <c r="AZ204" s="1524"/>
      <c r="BA204" s="1524"/>
      <c r="BB204" s="1602"/>
      <c r="BC204" s="1357"/>
      <c r="BD204" s="1522" t="s">
        <v>908</v>
      </c>
    </row>
    <row r="205" spans="1:56" ht="30.25" customHeight="1" outlineLevel="1">
      <c r="A205" s="1454">
        <v>2</v>
      </c>
      <c r="B205" s="1454" t="s">
        <v>1769</v>
      </c>
      <c r="C205" s="1454" t="s">
        <v>907</v>
      </c>
      <c r="D205" s="1355"/>
      <c r="E205" s="1356"/>
      <c r="F205" s="1356"/>
      <c r="G205" s="1355"/>
      <c r="H205" s="1355"/>
      <c r="I205" s="1355"/>
      <c r="J205" s="1355"/>
      <c r="K205" s="1356"/>
      <c r="L205" s="1356"/>
      <c r="M205" s="1356"/>
      <c r="N205" s="1356"/>
      <c r="O205" s="1357"/>
      <c r="P205" s="1602"/>
      <c r="Q205" s="1602">
        <v>2.3246000000000002</v>
      </c>
      <c r="R205" s="1602"/>
      <c r="S205" s="1602"/>
      <c r="T205" s="1511">
        <f t="shared" si="83"/>
        <v>2.3246000000000002</v>
      </c>
      <c r="U205" s="1602"/>
      <c r="V205" s="1602"/>
      <c r="W205" s="1524"/>
      <c r="X205" s="1524"/>
      <c r="Y205" s="1524"/>
      <c r="Z205" s="1524"/>
      <c r="AA205" s="1524"/>
      <c r="AB205" s="1524"/>
      <c r="AC205" s="1603"/>
      <c r="AD205" s="1603"/>
      <c r="AE205" s="1603"/>
      <c r="AF205" s="1603"/>
      <c r="AG205" s="1603"/>
      <c r="AH205" s="1603"/>
      <c r="AI205" s="1603"/>
      <c r="AJ205" s="1524"/>
      <c r="AK205" s="1524"/>
      <c r="AL205" s="1524"/>
      <c r="AM205" s="1524"/>
      <c r="AN205" s="1524"/>
      <c r="AO205" s="1602"/>
      <c r="AP205" s="1602">
        <v>2.3246000000000002</v>
      </c>
      <c r="AQ205" s="1602"/>
      <c r="AR205" s="1602"/>
      <c r="AS205" s="1511">
        <f t="shared" si="84"/>
        <v>2.3246000000000002</v>
      </c>
      <c r="AT205" s="1602"/>
      <c r="AU205" s="1602"/>
      <c r="AV205" s="1524"/>
      <c r="AW205" s="1524"/>
      <c r="AX205" s="1524"/>
      <c r="AY205" s="1524"/>
      <c r="AZ205" s="1524"/>
      <c r="BA205" s="1524"/>
      <c r="BB205" s="1602"/>
      <c r="BC205" s="1357"/>
      <c r="BD205" s="1522" t="s">
        <v>908</v>
      </c>
    </row>
    <row r="206" spans="1:56" ht="30.25" customHeight="1" outlineLevel="1">
      <c r="A206" s="1454">
        <v>3</v>
      </c>
      <c r="B206" s="1454" t="s">
        <v>1770</v>
      </c>
      <c r="C206" s="1454" t="s">
        <v>907</v>
      </c>
      <c r="D206" s="1355"/>
      <c r="E206" s="1356"/>
      <c r="F206" s="1356"/>
      <c r="G206" s="1355"/>
      <c r="H206" s="1355"/>
      <c r="I206" s="1355"/>
      <c r="J206" s="1355"/>
      <c r="K206" s="1356"/>
      <c r="L206" s="1356"/>
      <c r="M206" s="1356"/>
      <c r="N206" s="1356"/>
      <c r="O206" s="1357"/>
      <c r="P206" s="1602"/>
      <c r="Q206" s="1602">
        <v>0.57024680000000005</v>
      </c>
      <c r="R206" s="1602"/>
      <c r="S206" s="1602"/>
      <c r="T206" s="1511">
        <f t="shared" si="83"/>
        <v>0.57024680000000005</v>
      </c>
      <c r="U206" s="1602"/>
      <c r="V206" s="1602"/>
      <c r="W206" s="1524"/>
      <c r="X206" s="1524"/>
      <c r="Y206" s="1524"/>
      <c r="Z206" s="1524"/>
      <c r="AA206" s="1524"/>
      <c r="AB206" s="1524"/>
      <c r="AC206" s="1603"/>
      <c r="AD206" s="1603"/>
      <c r="AE206" s="1603"/>
      <c r="AF206" s="1603"/>
      <c r="AG206" s="1603"/>
      <c r="AH206" s="1603"/>
      <c r="AI206" s="1603"/>
      <c r="AJ206" s="1524"/>
      <c r="AK206" s="1524"/>
      <c r="AL206" s="1524"/>
      <c r="AM206" s="1524"/>
      <c r="AN206" s="1524"/>
      <c r="AO206" s="1602"/>
      <c r="AP206" s="1602">
        <v>0.57024680000000005</v>
      </c>
      <c r="AQ206" s="1602"/>
      <c r="AR206" s="1602"/>
      <c r="AS206" s="1511">
        <f t="shared" si="84"/>
        <v>0.57024680000000005</v>
      </c>
      <c r="AT206" s="1602"/>
      <c r="AU206" s="1602"/>
      <c r="AV206" s="1524"/>
      <c r="AW206" s="1524"/>
      <c r="AX206" s="1524"/>
      <c r="AY206" s="1524"/>
      <c r="AZ206" s="1524"/>
      <c r="BA206" s="1524"/>
      <c r="BB206" s="1602"/>
      <c r="BC206" s="1357"/>
      <c r="BD206" s="1522" t="s">
        <v>908</v>
      </c>
    </row>
    <row r="207" spans="1:56" ht="30.25" customHeight="1" outlineLevel="1">
      <c r="A207" s="1454">
        <v>4</v>
      </c>
      <c r="B207" s="1454" t="s">
        <v>1771</v>
      </c>
      <c r="C207" s="1454" t="s">
        <v>907</v>
      </c>
      <c r="D207" s="1355"/>
      <c r="E207" s="1356"/>
      <c r="F207" s="1356"/>
      <c r="G207" s="1355"/>
      <c r="H207" s="1355"/>
      <c r="I207" s="1355"/>
      <c r="J207" s="1355"/>
      <c r="K207" s="1356"/>
      <c r="L207" s="1356"/>
      <c r="M207" s="1356"/>
      <c r="N207" s="1356"/>
      <c r="O207" s="1357"/>
      <c r="P207" s="1602"/>
      <c r="Q207" s="1602">
        <v>0.57796400000000003</v>
      </c>
      <c r="R207" s="1602"/>
      <c r="S207" s="1602"/>
      <c r="T207" s="1511">
        <f t="shared" si="83"/>
        <v>0.57796400000000003</v>
      </c>
      <c r="U207" s="1602"/>
      <c r="V207" s="1602"/>
      <c r="W207" s="1524"/>
      <c r="X207" s="1524"/>
      <c r="Y207" s="1524"/>
      <c r="Z207" s="1524"/>
      <c r="AA207" s="1524"/>
      <c r="AB207" s="1524"/>
      <c r="AC207" s="1603"/>
      <c r="AD207" s="1603"/>
      <c r="AE207" s="1603"/>
      <c r="AF207" s="1603"/>
      <c r="AG207" s="1603"/>
      <c r="AH207" s="1603"/>
      <c r="AI207" s="1603"/>
      <c r="AJ207" s="1524"/>
      <c r="AK207" s="1524"/>
      <c r="AL207" s="1524"/>
      <c r="AM207" s="1524"/>
      <c r="AN207" s="1524"/>
      <c r="AO207" s="1602"/>
      <c r="AP207" s="1602">
        <v>0.57796400000000003</v>
      </c>
      <c r="AQ207" s="1602"/>
      <c r="AR207" s="1602"/>
      <c r="AS207" s="1511">
        <f t="shared" si="84"/>
        <v>0.57796400000000003</v>
      </c>
      <c r="AT207" s="1602"/>
      <c r="AU207" s="1602"/>
      <c r="AV207" s="1524"/>
      <c r="AW207" s="1524"/>
      <c r="AX207" s="1524"/>
      <c r="AY207" s="1524"/>
      <c r="AZ207" s="1524"/>
      <c r="BA207" s="1524"/>
      <c r="BB207" s="1602"/>
      <c r="BC207" s="1357"/>
      <c r="BD207" s="1522" t="s">
        <v>908</v>
      </c>
    </row>
    <row r="208" spans="1:56" ht="30.25" customHeight="1" outlineLevel="1">
      <c r="A208" s="1454">
        <v>5</v>
      </c>
      <c r="B208" s="1454" t="s">
        <v>1772</v>
      </c>
      <c r="C208" s="1454" t="s">
        <v>907</v>
      </c>
      <c r="D208" s="1355"/>
      <c r="E208" s="1356"/>
      <c r="F208" s="1356"/>
      <c r="G208" s="1355"/>
      <c r="H208" s="1355"/>
      <c r="I208" s="1355"/>
      <c r="J208" s="1355"/>
      <c r="K208" s="1356"/>
      <c r="L208" s="1356"/>
      <c r="M208" s="1356"/>
      <c r="N208" s="1356"/>
      <c r="O208" s="1357"/>
      <c r="P208" s="1602"/>
      <c r="Q208" s="1602">
        <v>2.0319305000000001</v>
      </c>
      <c r="R208" s="1602"/>
      <c r="S208" s="1602"/>
      <c r="T208" s="1511">
        <f t="shared" si="83"/>
        <v>2.0319305000000001</v>
      </c>
      <c r="U208" s="1602"/>
      <c r="V208" s="1602"/>
      <c r="W208" s="1524"/>
      <c r="X208" s="1524"/>
      <c r="Y208" s="1524"/>
      <c r="Z208" s="1524"/>
      <c r="AA208" s="1524"/>
      <c r="AB208" s="1524"/>
      <c r="AC208" s="1603"/>
      <c r="AD208" s="1603"/>
      <c r="AE208" s="1603"/>
      <c r="AF208" s="1603"/>
      <c r="AG208" s="1603"/>
      <c r="AH208" s="1603"/>
      <c r="AI208" s="1603"/>
      <c r="AJ208" s="1524"/>
      <c r="AK208" s="1524"/>
      <c r="AL208" s="1524"/>
      <c r="AM208" s="1524"/>
      <c r="AN208" s="1524"/>
      <c r="AO208" s="1602"/>
      <c r="AP208" s="1602">
        <v>2.0319305000000001</v>
      </c>
      <c r="AQ208" s="1602"/>
      <c r="AR208" s="1602"/>
      <c r="AS208" s="1511">
        <f t="shared" si="84"/>
        <v>2.0319305000000001</v>
      </c>
      <c r="AT208" s="1602"/>
      <c r="AU208" s="1602"/>
      <c r="AV208" s="1524"/>
      <c r="AW208" s="1524"/>
      <c r="AX208" s="1524"/>
      <c r="AY208" s="1524"/>
      <c r="AZ208" s="1524"/>
      <c r="BA208" s="1524"/>
      <c r="BB208" s="1602"/>
      <c r="BC208" s="1357"/>
      <c r="BD208" s="1358" t="s">
        <v>908</v>
      </c>
    </row>
    <row r="209" spans="1:56" ht="30.25" customHeight="1" outlineLevel="1">
      <c r="A209" s="1454">
        <v>6</v>
      </c>
      <c r="B209" s="1454" t="s">
        <v>1773</v>
      </c>
      <c r="C209" s="1454" t="s">
        <v>907</v>
      </c>
      <c r="D209" s="1355"/>
      <c r="E209" s="1356"/>
      <c r="F209" s="1356"/>
      <c r="G209" s="1355"/>
      <c r="H209" s="1355"/>
      <c r="I209" s="1355"/>
      <c r="J209" s="1355"/>
      <c r="K209" s="1356"/>
      <c r="L209" s="1356"/>
      <c r="M209" s="1356"/>
      <c r="N209" s="1356"/>
      <c r="O209" s="1357"/>
      <c r="P209" s="1602"/>
      <c r="Q209" s="1602">
        <v>5.8625346629999999</v>
      </c>
      <c r="R209" s="1602"/>
      <c r="S209" s="1602"/>
      <c r="T209" s="1511">
        <f t="shared" si="83"/>
        <v>5.8625346629999999</v>
      </c>
      <c r="U209" s="1602"/>
      <c r="V209" s="1602"/>
      <c r="W209" s="1524"/>
      <c r="X209" s="1524"/>
      <c r="Y209" s="1524"/>
      <c r="Z209" s="1524"/>
      <c r="AA209" s="1524"/>
      <c r="AB209" s="1524"/>
      <c r="AC209" s="1603"/>
      <c r="AD209" s="1603"/>
      <c r="AE209" s="1603"/>
      <c r="AF209" s="1603"/>
      <c r="AG209" s="1603"/>
      <c r="AH209" s="1603"/>
      <c r="AI209" s="1603"/>
      <c r="AJ209" s="1524"/>
      <c r="AK209" s="1524"/>
      <c r="AL209" s="1524"/>
      <c r="AM209" s="1524"/>
      <c r="AN209" s="1524"/>
      <c r="AO209" s="1602"/>
      <c r="AP209" s="1602">
        <v>5.8625346629999999</v>
      </c>
      <c r="AQ209" s="1602"/>
      <c r="AR209" s="1602"/>
      <c r="AS209" s="1511">
        <f t="shared" si="84"/>
        <v>5.8625346629999999</v>
      </c>
      <c r="AT209" s="1602"/>
      <c r="AU209" s="1602"/>
      <c r="AV209" s="1524"/>
      <c r="AW209" s="1524"/>
      <c r="AX209" s="1524"/>
      <c r="AY209" s="1524"/>
      <c r="AZ209" s="1524"/>
      <c r="BA209" s="1524"/>
      <c r="BB209" s="1602"/>
      <c r="BC209" s="1357"/>
      <c r="BD209" s="1522" t="s">
        <v>908</v>
      </c>
    </row>
    <row r="210" spans="1:56" ht="30.25" customHeight="1" outlineLevel="1">
      <c r="A210" s="1454">
        <v>7</v>
      </c>
      <c r="B210" s="1454" t="s">
        <v>1774</v>
      </c>
      <c r="C210" s="1454" t="s">
        <v>907</v>
      </c>
      <c r="D210" s="1355"/>
      <c r="E210" s="1356"/>
      <c r="F210" s="1356"/>
      <c r="G210" s="1355"/>
      <c r="H210" s="1355"/>
      <c r="I210" s="1355"/>
      <c r="J210" s="1355"/>
      <c r="K210" s="1356"/>
      <c r="L210" s="1356"/>
      <c r="M210" s="1356"/>
      <c r="N210" s="1356"/>
      <c r="O210" s="1357"/>
      <c r="P210" s="1602"/>
      <c r="Q210" s="1602">
        <v>1.6478699999999999</v>
      </c>
      <c r="R210" s="1602"/>
      <c r="S210" s="1602"/>
      <c r="T210" s="1511">
        <f t="shared" si="83"/>
        <v>1.6478699999999999</v>
      </c>
      <c r="U210" s="1602"/>
      <c r="V210" s="1602"/>
      <c r="W210" s="1524"/>
      <c r="X210" s="1524"/>
      <c r="Y210" s="1524"/>
      <c r="Z210" s="1524"/>
      <c r="AA210" s="1524"/>
      <c r="AB210" s="1524"/>
      <c r="AC210" s="1603"/>
      <c r="AD210" s="1603"/>
      <c r="AE210" s="1603"/>
      <c r="AF210" s="1603"/>
      <c r="AG210" s="1603"/>
      <c r="AH210" s="1603"/>
      <c r="AI210" s="1603"/>
      <c r="AJ210" s="1524"/>
      <c r="AK210" s="1524"/>
      <c r="AL210" s="1524"/>
      <c r="AM210" s="1524"/>
      <c r="AN210" s="1524"/>
      <c r="AO210" s="1602"/>
      <c r="AP210" s="1602">
        <v>1.6478699999999999</v>
      </c>
      <c r="AQ210" s="1602"/>
      <c r="AR210" s="1602"/>
      <c r="AS210" s="1511">
        <f t="shared" si="84"/>
        <v>1.6478699999999999</v>
      </c>
      <c r="AT210" s="1602"/>
      <c r="AU210" s="1602"/>
      <c r="AV210" s="1524"/>
      <c r="AW210" s="1524"/>
      <c r="AX210" s="1524"/>
      <c r="AY210" s="1524"/>
      <c r="AZ210" s="1524"/>
      <c r="BA210" s="1524"/>
      <c r="BB210" s="1602"/>
      <c r="BC210" s="1357"/>
      <c r="BD210" s="1522" t="s">
        <v>908</v>
      </c>
    </row>
    <row r="211" spans="1:56" ht="30.25" customHeight="1" outlineLevel="1">
      <c r="A211" s="1454">
        <v>8</v>
      </c>
      <c r="B211" s="1454" t="s">
        <v>1775</v>
      </c>
      <c r="C211" s="1454" t="s">
        <v>907</v>
      </c>
      <c r="D211" s="1355"/>
      <c r="E211" s="1356"/>
      <c r="F211" s="1356"/>
      <c r="G211" s="1355"/>
      <c r="H211" s="1355"/>
      <c r="I211" s="1355"/>
      <c r="J211" s="1355"/>
      <c r="K211" s="1356"/>
      <c r="L211" s="1356"/>
      <c r="M211" s="1356"/>
      <c r="N211" s="1356"/>
      <c r="O211" s="1357"/>
      <c r="P211" s="1602"/>
      <c r="Q211" s="1602">
        <v>2.218399056</v>
      </c>
      <c r="R211" s="1602"/>
      <c r="S211" s="1602"/>
      <c r="T211" s="1511">
        <f t="shared" si="83"/>
        <v>2.218399056</v>
      </c>
      <c r="U211" s="1602"/>
      <c r="V211" s="1602"/>
      <c r="W211" s="1524"/>
      <c r="X211" s="1524"/>
      <c r="Y211" s="1524"/>
      <c r="Z211" s="1524"/>
      <c r="AA211" s="1524"/>
      <c r="AB211" s="1524"/>
      <c r="AC211" s="1603"/>
      <c r="AD211" s="1603"/>
      <c r="AE211" s="1603"/>
      <c r="AF211" s="1603"/>
      <c r="AG211" s="1603"/>
      <c r="AH211" s="1603"/>
      <c r="AI211" s="1603"/>
      <c r="AJ211" s="1524"/>
      <c r="AK211" s="1524"/>
      <c r="AL211" s="1524"/>
      <c r="AM211" s="1524"/>
      <c r="AN211" s="1524"/>
      <c r="AO211" s="1602"/>
      <c r="AP211" s="1602">
        <v>2.218399056</v>
      </c>
      <c r="AQ211" s="1602"/>
      <c r="AR211" s="1602"/>
      <c r="AS211" s="1511">
        <f t="shared" si="84"/>
        <v>2.218399056</v>
      </c>
      <c r="AT211" s="1602"/>
      <c r="AU211" s="1602"/>
      <c r="AV211" s="1524"/>
      <c r="AW211" s="1524"/>
      <c r="AX211" s="1524"/>
      <c r="AY211" s="1524"/>
      <c r="AZ211" s="1524"/>
      <c r="BA211" s="1524"/>
      <c r="BB211" s="1602"/>
      <c r="BC211" s="1357"/>
      <c r="BD211" s="1522" t="s">
        <v>908</v>
      </c>
    </row>
    <row r="212" spans="1:56" ht="30.25" customHeight="1" outlineLevel="1">
      <c r="A212" s="1454">
        <v>9</v>
      </c>
      <c r="B212" s="1454" t="s">
        <v>1776</v>
      </c>
      <c r="C212" s="1454" t="s">
        <v>907</v>
      </c>
      <c r="D212" s="1355"/>
      <c r="E212" s="1356"/>
      <c r="F212" s="1356"/>
      <c r="G212" s="1355"/>
      <c r="H212" s="1355"/>
      <c r="I212" s="1355"/>
      <c r="J212" s="1355"/>
      <c r="K212" s="1356"/>
      <c r="L212" s="1356"/>
      <c r="M212" s="1356"/>
      <c r="N212" s="1356"/>
      <c r="O212" s="1357"/>
      <c r="P212" s="1602"/>
      <c r="Q212" s="1602">
        <v>0.58051280000000005</v>
      </c>
      <c r="R212" s="1602"/>
      <c r="S212" s="1602"/>
      <c r="T212" s="1511">
        <f t="shared" si="83"/>
        <v>0.58051280000000005</v>
      </c>
      <c r="U212" s="1602"/>
      <c r="V212" s="1602"/>
      <c r="W212" s="1524"/>
      <c r="X212" s="1524"/>
      <c r="Y212" s="1524"/>
      <c r="Z212" s="1524"/>
      <c r="AA212" s="1524"/>
      <c r="AB212" s="1524"/>
      <c r="AC212" s="1603"/>
      <c r="AD212" s="1603"/>
      <c r="AE212" s="1603"/>
      <c r="AF212" s="1603"/>
      <c r="AG212" s="1603"/>
      <c r="AH212" s="1603"/>
      <c r="AI212" s="1603"/>
      <c r="AJ212" s="1524"/>
      <c r="AK212" s="1524"/>
      <c r="AL212" s="1524"/>
      <c r="AM212" s="1524"/>
      <c r="AN212" s="1524"/>
      <c r="AO212" s="1602"/>
      <c r="AP212" s="1602">
        <v>0.58051280000000005</v>
      </c>
      <c r="AQ212" s="1602"/>
      <c r="AR212" s="1602"/>
      <c r="AS212" s="1511">
        <f t="shared" si="84"/>
        <v>0.58051280000000005</v>
      </c>
      <c r="AT212" s="1602"/>
      <c r="AU212" s="1602"/>
      <c r="AV212" s="1524"/>
      <c r="AW212" s="1524"/>
      <c r="AX212" s="1524"/>
      <c r="AY212" s="1524"/>
      <c r="AZ212" s="1524"/>
      <c r="BA212" s="1524"/>
      <c r="BB212" s="1602"/>
      <c r="BC212" s="1357"/>
      <c r="BD212" s="1358" t="s">
        <v>908</v>
      </c>
    </row>
    <row r="213" spans="1:56" ht="30.25" customHeight="1" outlineLevel="1">
      <c r="A213" s="1454">
        <v>10</v>
      </c>
      <c r="B213" s="1454" t="s">
        <v>1777</v>
      </c>
      <c r="C213" s="1454" t="s">
        <v>907</v>
      </c>
      <c r="D213" s="1355"/>
      <c r="E213" s="1356"/>
      <c r="F213" s="1356"/>
      <c r="G213" s="1355"/>
      <c r="H213" s="1355"/>
      <c r="I213" s="1355"/>
      <c r="J213" s="1355"/>
      <c r="K213" s="1356"/>
      <c r="L213" s="1356"/>
      <c r="M213" s="1356"/>
      <c r="N213" s="1356"/>
      <c r="O213" s="1357"/>
      <c r="P213" s="1602"/>
      <c r="Q213" s="1602"/>
      <c r="R213" s="1602">
        <v>1.50150162</v>
      </c>
      <c r="S213" s="1602"/>
      <c r="T213" s="1511">
        <f t="shared" si="83"/>
        <v>1.50150162</v>
      </c>
      <c r="U213" s="1602"/>
      <c r="V213" s="1602"/>
      <c r="W213" s="1524"/>
      <c r="X213" s="1524"/>
      <c r="Y213" s="1524"/>
      <c r="Z213" s="1524"/>
      <c r="AA213" s="1524"/>
      <c r="AB213" s="1524"/>
      <c r="AC213" s="1603"/>
      <c r="AD213" s="1603"/>
      <c r="AE213" s="1603"/>
      <c r="AF213" s="1603"/>
      <c r="AG213" s="1603"/>
      <c r="AH213" s="1603"/>
      <c r="AI213" s="1603"/>
      <c r="AJ213" s="1524"/>
      <c r="AK213" s="1524"/>
      <c r="AL213" s="1524"/>
      <c r="AM213" s="1524"/>
      <c r="AN213" s="1524"/>
      <c r="AO213" s="1602"/>
      <c r="AP213" s="1602"/>
      <c r="AQ213" s="1602">
        <v>1.50150162</v>
      </c>
      <c r="AR213" s="1602"/>
      <c r="AS213" s="1511">
        <f t="shared" si="84"/>
        <v>1.50150162</v>
      </c>
      <c r="AT213" s="1602"/>
      <c r="AU213" s="1602"/>
      <c r="AV213" s="1524"/>
      <c r="AW213" s="1524"/>
      <c r="AX213" s="1524"/>
      <c r="AY213" s="1524"/>
      <c r="AZ213" s="1524"/>
      <c r="BA213" s="1524"/>
      <c r="BB213" s="1602"/>
      <c r="BC213" s="1357"/>
      <c r="BD213" s="1522" t="s">
        <v>908</v>
      </c>
    </row>
    <row r="214" spans="1:56" ht="30.25" customHeight="1" outlineLevel="1">
      <c r="A214" s="1454">
        <v>11</v>
      </c>
      <c r="B214" s="1454" t="s">
        <v>1778</v>
      </c>
      <c r="C214" s="1454" t="s">
        <v>907</v>
      </c>
      <c r="D214" s="1355"/>
      <c r="E214" s="1356"/>
      <c r="F214" s="1356"/>
      <c r="G214" s="1355"/>
      <c r="H214" s="1355"/>
      <c r="I214" s="1355"/>
      <c r="J214" s="1355"/>
      <c r="K214" s="1356"/>
      <c r="L214" s="1356"/>
      <c r="M214" s="1356"/>
      <c r="N214" s="1356"/>
      <c r="O214" s="1357"/>
      <c r="P214" s="1602"/>
      <c r="Q214" s="1602"/>
      <c r="R214" s="1602"/>
      <c r="S214" s="1602"/>
      <c r="T214" s="1511">
        <f t="shared" si="83"/>
        <v>0</v>
      </c>
      <c r="U214" s="1602"/>
      <c r="V214" s="1602"/>
      <c r="W214" s="1524"/>
      <c r="X214" s="1524"/>
      <c r="Y214" s="1524"/>
      <c r="Z214" s="1524"/>
      <c r="AA214" s="1524"/>
      <c r="AB214" s="1524"/>
      <c r="AC214" s="1603"/>
      <c r="AD214" s="1603"/>
      <c r="AE214" s="1603"/>
      <c r="AF214" s="1603"/>
      <c r="AG214" s="1603"/>
      <c r="AH214" s="1603"/>
      <c r="AI214" s="1603"/>
      <c r="AJ214" s="1524"/>
      <c r="AK214" s="1524"/>
      <c r="AL214" s="1524"/>
      <c r="AM214" s="1524"/>
      <c r="AN214" s="1524"/>
      <c r="AO214" s="1602"/>
      <c r="AP214" s="1602"/>
      <c r="AQ214" s="1602"/>
      <c r="AR214" s="1602"/>
      <c r="AS214" s="1511">
        <f t="shared" si="84"/>
        <v>0</v>
      </c>
      <c r="AT214" s="1602"/>
      <c r="AU214" s="1602"/>
      <c r="AV214" s="1524"/>
      <c r="AW214" s="1524"/>
      <c r="AX214" s="1524"/>
      <c r="AY214" s="1524"/>
      <c r="AZ214" s="1524"/>
      <c r="BA214" s="1524"/>
      <c r="BB214" s="1602"/>
      <c r="BC214" s="1357"/>
      <c r="BD214" s="1522" t="s">
        <v>908</v>
      </c>
    </row>
    <row r="215" spans="1:56" ht="30.25" customHeight="1" outlineLevel="1">
      <c r="A215" s="1454">
        <v>12</v>
      </c>
      <c r="B215" s="1454" t="s">
        <v>1779</v>
      </c>
      <c r="C215" s="1454" t="s">
        <v>907</v>
      </c>
      <c r="D215" s="1355"/>
      <c r="E215" s="1356"/>
      <c r="F215" s="1356"/>
      <c r="G215" s="1355"/>
      <c r="H215" s="1355"/>
      <c r="I215" s="1355"/>
      <c r="J215" s="1355"/>
      <c r="K215" s="1356"/>
      <c r="L215" s="1356"/>
      <c r="M215" s="1356"/>
      <c r="N215" s="1356"/>
      <c r="O215" s="1357"/>
      <c r="P215" s="1602"/>
      <c r="Q215" s="1602"/>
      <c r="R215" s="1602"/>
      <c r="S215" s="1602">
        <v>2.4539</v>
      </c>
      <c r="T215" s="1511">
        <f t="shared" si="83"/>
        <v>2.4539</v>
      </c>
      <c r="U215" s="1602"/>
      <c r="V215" s="1602"/>
      <c r="W215" s="1524"/>
      <c r="X215" s="1524"/>
      <c r="Y215" s="1524"/>
      <c r="Z215" s="1524"/>
      <c r="AA215" s="1524"/>
      <c r="AB215" s="1524"/>
      <c r="AC215" s="1603"/>
      <c r="AD215" s="1603"/>
      <c r="AE215" s="1603"/>
      <c r="AF215" s="1603"/>
      <c r="AG215" s="1603"/>
      <c r="AH215" s="1603"/>
      <c r="AI215" s="1603"/>
      <c r="AJ215" s="1524"/>
      <c r="AK215" s="1524"/>
      <c r="AL215" s="1524"/>
      <c r="AM215" s="1524"/>
      <c r="AN215" s="1524"/>
      <c r="AO215" s="1602"/>
      <c r="AP215" s="1602"/>
      <c r="AQ215" s="1602"/>
      <c r="AR215" s="1602">
        <v>2.4539</v>
      </c>
      <c r="AS215" s="1511">
        <f t="shared" si="84"/>
        <v>2.4539</v>
      </c>
      <c r="AT215" s="1602"/>
      <c r="AU215" s="1602"/>
      <c r="AV215" s="1524"/>
      <c r="AW215" s="1524"/>
      <c r="AX215" s="1524"/>
      <c r="AY215" s="1524"/>
      <c r="AZ215" s="1524"/>
      <c r="BA215" s="1524"/>
      <c r="BB215" s="1602"/>
      <c r="BC215" s="1357"/>
      <c r="BD215" s="1522" t="s">
        <v>908</v>
      </c>
    </row>
    <row r="216" spans="1:56" ht="30.25" customHeight="1" outlineLevel="1">
      <c r="A216" s="1454">
        <v>13</v>
      </c>
      <c r="B216" s="1454" t="s">
        <v>930</v>
      </c>
      <c r="C216" s="1454" t="s">
        <v>907</v>
      </c>
      <c r="D216" s="1355"/>
      <c r="E216" s="1356"/>
      <c r="F216" s="1356"/>
      <c r="G216" s="1355"/>
      <c r="H216" s="1355"/>
      <c r="I216" s="1355"/>
      <c r="J216" s="1355"/>
      <c r="K216" s="1356"/>
      <c r="L216" s="1356"/>
      <c r="M216" s="1356"/>
      <c r="N216" s="1356"/>
      <c r="O216" s="1357"/>
      <c r="P216" s="1602"/>
      <c r="Q216" s="1602">
        <v>0.21333523199999999</v>
      </c>
      <c r="R216" s="1602"/>
      <c r="S216" s="1602"/>
      <c r="T216" s="1511">
        <f t="shared" si="83"/>
        <v>0.21333523199999999</v>
      </c>
      <c r="U216" s="1602"/>
      <c r="V216" s="1602"/>
      <c r="W216" s="1524"/>
      <c r="X216" s="1524"/>
      <c r="Y216" s="1524"/>
      <c r="Z216" s="1524"/>
      <c r="AA216" s="1524"/>
      <c r="AB216" s="1524"/>
      <c r="AC216" s="1603"/>
      <c r="AD216" s="1603"/>
      <c r="AE216" s="1603"/>
      <c r="AF216" s="1603"/>
      <c r="AG216" s="1603"/>
      <c r="AH216" s="1603"/>
      <c r="AI216" s="1603"/>
      <c r="AJ216" s="1524"/>
      <c r="AK216" s="1524"/>
      <c r="AL216" s="1524"/>
      <c r="AM216" s="1524"/>
      <c r="AN216" s="1524"/>
      <c r="AO216" s="1602"/>
      <c r="AP216" s="1602">
        <v>0.21333523199999999</v>
      </c>
      <c r="AQ216" s="1602"/>
      <c r="AR216" s="1602"/>
      <c r="AS216" s="1511">
        <f t="shared" si="84"/>
        <v>0.21333523199999999</v>
      </c>
      <c r="AT216" s="1602"/>
      <c r="AU216" s="1602"/>
      <c r="AV216" s="1524"/>
      <c r="AW216" s="1524"/>
      <c r="AX216" s="1524"/>
      <c r="AY216" s="1524"/>
      <c r="AZ216" s="1524"/>
      <c r="BA216" s="1524"/>
      <c r="BB216" s="1602"/>
      <c r="BC216" s="1357"/>
      <c r="BD216" s="1522" t="s">
        <v>908</v>
      </c>
    </row>
    <row r="217" spans="1:56" ht="30.25" customHeight="1" outlineLevel="1">
      <c r="A217" s="1454">
        <v>14</v>
      </c>
      <c r="B217" s="1454" t="s">
        <v>931</v>
      </c>
      <c r="C217" s="1454" t="s">
        <v>907</v>
      </c>
      <c r="D217" s="1355"/>
      <c r="E217" s="1356"/>
      <c r="F217" s="1356"/>
      <c r="G217" s="1355"/>
      <c r="H217" s="1355"/>
      <c r="I217" s="1355"/>
      <c r="J217" s="1355"/>
      <c r="K217" s="1356"/>
      <c r="L217" s="1356"/>
      <c r="M217" s="1356"/>
      <c r="N217" s="1356"/>
      <c r="O217" s="1357"/>
      <c r="P217" s="1602"/>
      <c r="Q217" s="1602">
        <v>0.22996406</v>
      </c>
      <c r="R217" s="1602"/>
      <c r="S217" s="1602"/>
      <c r="T217" s="1511">
        <f t="shared" si="83"/>
        <v>0.22996406</v>
      </c>
      <c r="U217" s="1602"/>
      <c r="V217" s="1602"/>
      <c r="W217" s="1524"/>
      <c r="X217" s="1524"/>
      <c r="Y217" s="1524"/>
      <c r="Z217" s="1524"/>
      <c r="AA217" s="1524"/>
      <c r="AB217" s="1524"/>
      <c r="AC217" s="1603"/>
      <c r="AD217" s="1603"/>
      <c r="AE217" s="1603"/>
      <c r="AF217" s="1603"/>
      <c r="AG217" s="1603"/>
      <c r="AH217" s="1603"/>
      <c r="AI217" s="1603"/>
      <c r="AJ217" s="1524"/>
      <c r="AK217" s="1524"/>
      <c r="AL217" s="1524"/>
      <c r="AM217" s="1524"/>
      <c r="AN217" s="1524"/>
      <c r="AO217" s="1602"/>
      <c r="AP217" s="1602">
        <v>0.22996406</v>
      </c>
      <c r="AQ217" s="1602"/>
      <c r="AR217" s="1602"/>
      <c r="AS217" s="1511">
        <f t="shared" si="84"/>
        <v>0.22996406</v>
      </c>
      <c r="AT217" s="1602"/>
      <c r="AU217" s="1602"/>
      <c r="AV217" s="1524"/>
      <c r="AW217" s="1524"/>
      <c r="AX217" s="1524"/>
      <c r="AY217" s="1524"/>
      <c r="AZ217" s="1524"/>
      <c r="BA217" s="1524"/>
      <c r="BB217" s="1602"/>
      <c r="BC217" s="1357"/>
      <c r="BD217" s="1522" t="s">
        <v>908</v>
      </c>
    </row>
    <row r="218" spans="1:56" s="1607" customFormat="1" ht="30.25" customHeight="1" outlineLevel="1">
      <c r="A218" s="1454">
        <v>15</v>
      </c>
      <c r="B218" s="1454" t="s">
        <v>1780</v>
      </c>
      <c r="C218" s="1454" t="s">
        <v>907</v>
      </c>
      <c r="D218" s="1359"/>
      <c r="E218" s="1360"/>
      <c r="F218" s="1360"/>
      <c r="G218" s="1359"/>
      <c r="H218" s="1359"/>
      <c r="I218" s="1359"/>
      <c r="J218" s="1359"/>
      <c r="K218" s="1360"/>
      <c r="L218" s="1360"/>
      <c r="M218" s="1360"/>
      <c r="N218" s="1360"/>
      <c r="O218" s="1361"/>
      <c r="P218" s="1604"/>
      <c r="Q218" s="1604"/>
      <c r="R218" s="1604">
        <v>0.5280705</v>
      </c>
      <c r="S218" s="1604"/>
      <c r="T218" s="1511">
        <f t="shared" si="83"/>
        <v>0.5280705</v>
      </c>
      <c r="U218" s="1604"/>
      <c r="V218" s="1604"/>
      <c r="W218" s="1605"/>
      <c r="X218" s="1605"/>
      <c r="Y218" s="1605"/>
      <c r="Z218" s="1605"/>
      <c r="AA218" s="1605"/>
      <c r="AB218" s="1605"/>
      <c r="AC218" s="1606"/>
      <c r="AD218" s="1606"/>
      <c r="AE218" s="1606"/>
      <c r="AF218" s="1606"/>
      <c r="AG218" s="1606"/>
      <c r="AH218" s="1606"/>
      <c r="AI218" s="1606"/>
      <c r="AJ218" s="1605"/>
      <c r="AK218" s="1605"/>
      <c r="AL218" s="1605"/>
      <c r="AM218" s="1605"/>
      <c r="AN218" s="1605"/>
      <c r="AO218" s="1604"/>
      <c r="AP218" s="1604"/>
      <c r="AQ218" s="1604">
        <v>0.2780705</v>
      </c>
      <c r="AR218" s="1604"/>
      <c r="AS218" s="1511">
        <f t="shared" si="84"/>
        <v>0.2780705</v>
      </c>
      <c r="AT218" s="1604"/>
      <c r="AU218" s="1604"/>
      <c r="AV218" s="1605"/>
      <c r="AW218" s="1605"/>
      <c r="AX218" s="1605"/>
      <c r="AY218" s="1605"/>
      <c r="AZ218" s="1605"/>
      <c r="BA218" s="1605"/>
      <c r="BB218" s="1604"/>
      <c r="BC218" s="1361"/>
      <c r="BD218" s="1362" t="s">
        <v>908</v>
      </c>
    </row>
    <row r="219" spans="1:56" ht="30.25" customHeight="1" outlineLevel="1">
      <c r="A219" s="1454">
        <v>16</v>
      </c>
      <c r="B219" s="1454" t="s">
        <v>1781</v>
      </c>
      <c r="C219" s="1454" t="s">
        <v>907</v>
      </c>
      <c r="D219" s="1355"/>
      <c r="E219" s="1356"/>
      <c r="F219" s="1356"/>
      <c r="G219" s="1355"/>
      <c r="H219" s="1355"/>
      <c r="I219" s="1355"/>
      <c r="J219" s="1355"/>
      <c r="K219" s="1356"/>
      <c r="L219" s="1356"/>
      <c r="M219" s="1356"/>
      <c r="N219" s="1356"/>
      <c r="O219" s="1357"/>
      <c r="P219" s="1602"/>
      <c r="Q219" s="1602"/>
      <c r="R219" s="1602">
        <v>0.1014328</v>
      </c>
      <c r="S219" s="1602"/>
      <c r="T219" s="1511">
        <f t="shared" si="83"/>
        <v>0.1014328</v>
      </c>
      <c r="U219" s="1602"/>
      <c r="V219" s="1602"/>
      <c r="W219" s="1524"/>
      <c r="X219" s="1524"/>
      <c r="Y219" s="1524"/>
      <c r="Z219" s="1524"/>
      <c r="AA219" s="1524"/>
      <c r="AB219" s="1524"/>
      <c r="AC219" s="1603"/>
      <c r="AD219" s="1603"/>
      <c r="AE219" s="1603"/>
      <c r="AF219" s="1603"/>
      <c r="AG219" s="1603"/>
      <c r="AH219" s="1603"/>
      <c r="AI219" s="1603"/>
      <c r="AJ219" s="1524"/>
      <c r="AK219" s="1524"/>
      <c r="AL219" s="1524"/>
      <c r="AM219" s="1524"/>
      <c r="AN219" s="1524"/>
      <c r="AO219" s="1602"/>
      <c r="AP219" s="1602"/>
      <c r="AQ219" s="1602">
        <v>0.1014328</v>
      </c>
      <c r="AR219" s="1602"/>
      <c r="AS219" s="1511">
        <f t="shared" si="84"/>
        <v>0.1014328</v>
      </c>
      <c r="AT219" s="1602"/>
      <c r="AU219" s="1602"/>
      <c r="AV219" s="1524"/>
      <c r="AW219" s="1524"/>
      <c r="AX219" s="1524"/>
      <c r="AY219" s="1524"/>
      <c r="AZ219" s="1524"/>
      <c r="BA219" s="1524"/>
      <c r="BB219" s="1602"/>
      <c r="BC219" s="1357"/>
      <c r="BD219" s="1522" t="s">
        <v>908</v>
      </c>
    </row>
    <row r="220" spans="1:56" ht="30.25" customHeight="1" outlineLevel="1">
      <c r="A220" s="1454">
        <v>17</v>
      </c>
      <c r="B220" s="1454" t="s">
        <v>1782</v>
      </c>
      <c r="C220" s="1454" t="s">
        <v>907</v>
      </c>
      <c r="D220" s="1355"/>
      <c r="E220" s="1356"/>
      <c r="F220" s="1356"/>
      <c r="G220" s="1355"/>
      <c r="H220" s="1355"/>
      <c r="I220" s="1355"/>
      <c r="J220" s="1355"/>
      <c r="K220" s="1356"/>
      <c r="L220" s="1356"/>
      <c r="M220" s="1356"/>
      <c r="N220" s="1356"/>
      <c r="O220" s="1357"/>
      <c r="P220" s="1602"/>
      <c r="Q220" s="1602"/>
      <c r="R220" s="1602">
        <v>0.23453750000000001</v>
      </c>
      <c r="S220" s="1602"/>
      <c r="T220" s="1511">
        <f t="shared" si="83"/>
        <v>0.23453750000000001</v>
      </c>
      <c r="U220" s="1602"/>
      <c r="V220" s="1602"/>
      <c r="W220" s="1524"/>
      <c r="X220" s="1524"/>
      <c r="Y220" s="1524"/>
      <c r="Z220" s="1524"/>
      <c r="AA220" s="1524"/>
      <c r="AB220" s="1524"/>
      <c r="AC220" s="1603"/>
      <c r="AD220" s="1603"/>
      <c r="AE220" s="1603"/>
      <c r="AF220" s="1603"/>
      <c r="AG220" s="1603"/>
      <c r="AH220" s="1603"/>
      <c r="AI220" s="1603"/>
      <c r="AJ220" s="1524"/>
      <c r="AK220" s="1524"/>
      <c r="AL220" s="1524"/>
      <c r="AM220" s="1524"/>
      <c r="AN220" s="1524"/>
      <c r="AO220" s="1602"/>
      <c r="AP220" s="1602"/>
      <c r="AQ220" s="1602">
        <v>0.23453750000000001</v>
      </c>
      <c r="AR220" s="1602"/>
      <c r="AS220" s="1511">
        <f t="shared" si="84"/>
        <v>0.23453750000000001</v>
      </c>
      <c r="AT220" s="1602"/>
      <c r="AU220" s="1602"/>
      <c r="AV220" s="1524"/>
      <c r="AW220" s="1524"/>
      <c r="AX220" s="1524"/>
      <c r="AY220" s="1524"/>
      <c r="AZ220" s="1524"/>
      <c r="BA220" s="1524"/>
      <c r="BB220" s="1602"/>
      <c r="BC220" s="1357"/>
      <c r="BD220" s="1522" t="s">
        <v>908</v>
      </c>
    </row>
    <row r="221" spans="1:56" ht="30.25" customHeight="1" outlineLevel="1">
      <c r="A221" s="1454">
        <v>18</v>
      </c>
      <c r="B221" s="1454" t="s">
        <v>1783</v>
      </c>
      <c r="C221" s="1454" t="s">
        <v>907</v>
      </c>
      <c r="D221" s="1355"/>
      <c r="E221" s="1356"/>
      <c r="F221" s="1356"/>
      <c r="G221" s="1355"/>
      <c r="H221" s="1355"/>
      <c r="I221" s="1355"/>
      <c r="J221" s="1355"/>
      <c r="K221" s="1356"/>
      <c r="L221" s="1356"/>
      <c r="M221" s="1356"/>
      <c r="N221" s="1356"/>
      <c r="O221" s="1357"/>
      <c r="P221" s="1602"/>
      <c r="Q221" s="1602"/>
      <c r="R221" s="1602">
        <v>0.55035469999999997</v>
      </c>
      <c r="S221" s="1602"/>
      <c r="T221" s="1511">
        <f t="shared" si="83"/>
        <v>0.55035469999999997</v>
      </c>
      <c r="U221" s="1602"/>
      <c r="V221" s="1602"/>
      <c r="W221" s="1524"/>
      <c r="X221" s="1524"/>
      <c r="Y221" s="1524"/>
      <c r="Z221" s="1524"/>
      <c r="AA221" s="1524"/>
      <c r="AB221" s="1524"/>
      <c r="AC221" s="1603"/>
      <c r="AD221" s="1603"/>
      <c r="AE221" s="1603"/>
      <c r="AF221" s="1603"/>
      <c r="AG221" s="1603"/>
      <c r="AH221" s="1603"/>
      <c r="AI221" s="1603"/>
      <c r="AJ221" s="1524"/>
      <c r="AK221" s="1524"/>
      <c r="AL221" s="1524"/>
      <c r="AM221" s="1524"/>
      <c r="AN221" s="1524"/>
      <c r="AO221" s="1602"/>
      <c r="AP221" s="1602"/>
      <c r="AQ221" s="1602">
        <v>0.55035469999999997</v>
      </c>
      <c r="AR221" s="1602"/>
      <c r="AS221" s="1511">
        <f t="shared" si="84"/>
        <v>0.55035469999999997</v>
      </c>
      <c r="AT221" s="1602"/>
      <c r="AU221" s="1602"/>
      <c r="AV221" s="1524"/>
      <c r="AW221" s="1524"/>
      <c r="AX221" s="1524"/>
      <c r="AY221" s="1524"/>
      <c r="AZ221" s="1524"/>
      <c r="BA221" s="1524"/>
      <c r="BB221" s="1602"/>
      <c r="BC221" s="1357"/>
      <c r="BD221" s="1522" t="s">
        <v>908</v>
      </c>
    </row>
    <row r="222" spans="1:56" ht="30.25" customHeight="1" outlineLevel="1">
      <c r="A222" s="1454">
        <v>19</v>
      </c>
      <c r="B222" s="1454" t="s">
        <v>1784</v>
      </c>
      <c r="C222" s="1454" t="s">
        <v>907</v>
      </c>
      <c r="D222" s="1355"/>
      <c r="E222" s="1356"/>
      <c r="F222" s="1356"/>
      <c r="G222" s="1355"/>
      <c r="H222" s="1355"/>
      <c r="I222" s="1355"/>
      <c r="J222" s="1355"/>
      <c r="K222" s="1356"/>
      <c r="L222" s="1356"/>
      <c r="M222" s="1356"/>
      <c r="N222" s="1356"/>
      <c r="O222" s="1357"/>
      <c r="P222" s="1602"/>
      <c r="Q222" s="1602"/>
      <c r="R222" s="1602"/>
      <c r="S222" s="1602">
        <v>5.0490047999999996E-2</v>
      </c>
      <c r="T222" s="1511">
        <f t="shared" si="83"/>
        <v>5.0490047999999996E-2</v>
      </c>
      <c r="U222" s="1602"/>
      <c r="V222" s="1602"/>
      <c r="W222" s="1524"/>
      <c r="X222" s="1524"/>
      <c r="Y222" s="1524"/>
      <c r="Z222" s="1524"/>
      <c r="AA222" s="1524"/>
      <c r="AB222" s="1524"/>
      <c r="AC222" s="1603"/>
      <c r="AD222" s="1603"/>
      <c r="AE222" s="1603"/>
      <c r="AF222" s="1603"/>
      <c r="AG222" s="1603"/>
      <c r="AH222" s="1603"/>
      <c r="AI222" s="1603"/>
      <c r="AJ222" s="1524"/>
      <c r="AK222" s="1524"/>
      <c r="AL222" s="1524"/>
      <c r="AM222" s="1524"/>
      <c r="AN222" s="1524"/>
      <c r="AO222" s="1602"/>
      <c r="AP222" s="1602"/>
      <c r="AQ222" s="1602"/>
      <c r="AR222" s="1602">
        <v>5.0490047999999996E-2</v>
      </c>
      <c r="AS222" s="1511">
        <f t="shared" si="84"/>
        <v>5.0490047999999996E-2</v>
      </c>
      <c r="AT222" s="1602"/>
      <c r="AU222" s="1602"/>
      <c r="AV222" s="1524"/>
      <c r="AW222" s="1524"/>
      <c r="AX222" s="1524"/>
      <c r="AY222" s="1524"/>
      <c r="AZ222" s="1524"/>
      <c r="BA222" s="1524"/>
      <c r="BB222" s="1602"/>
      <c r="BC222" s="1357"/>
      <c r="BD222" s="1522" t="s">
        <v>908</v>
      </c>
    </row>
    <row r="223" spans="1:56" ht="30.25" customHeight="1" outlineLevel="1">
      <c r="A223" s="1454">
        <v>20</v>
      </c>
      <c r="B223" s="1454" t="s">
        <v>1785</v>
      </c>
      <c r="C223" s="1454" t="s">
        <v>907</v>
      </c>
      <c r="D223" s="1355"/>
      <c r="E223" s="1356"/>
      <c r="F223" s="1356"/>
      <c r="G223" s="1355"/>
      <c r="H223" s="1355"/>
      <c r="I223" s="1355"/>
      <c r="J223" s="1355"/>
      <c r="K223" s="1356"/>
      <c r="L223" s="1356"/>
      <c r="M223" s="1356"/>
      <c r="N223" s="1356"/>
      <c r="O223" s="1357"/>
      <c r="P223" s="1602"/>
      <c r="Q223" s="1602"/>
      <c r="R223" s="1602"/>
      <c r="S223" s="1602">
        <v>0.57868969999999997</v>
      </c>
      <c r="T223" s="1511">
        <f t="shared" si="83"/>
        <v>0.57868969999999997</v>
      </c>
      <c r="U223" s="1602"/>
      <c r="V223" s="1602"/>
      <c r="W223" s="1524"/>
      <c r="X223" s="1524"/>
      <c r="Y223" s="1524"/>
      <c r="Z223" s="1524"/>
      <c r="AA223" s="1524"/>
      <c r="AB223" s="1524"/>
      <c r="AC223" s="1603"/>
      <c r="AD223" s="1603"/>
      <c r="AE223" s="1603"/>
      <c r="AF223" s="1603"/>
      <c r="AG223" s="1603"/>
      <c r="AH223" s="1603"/>
      <c r="AI223" s="1603"/>
      <c r="AJ223" s="1524"/>
      <c r="AK223" s="1524"/>
      <c r="AL223" s="1524"/>
      <c r="AM223" s="1524"/>
      <c r="AN223" s="1524"/>
      <c r="AO223" s="1602"/>
      <c r="AP223" s="1602"/>
      <c r="AQ223" s="1602"/>
      <c r="AR223" s="1602">
        <v>0.57868969999999997</v>
      </c>
      <c r="AS223" s="1511">
        <f t="shared" si="84"/>
        <v>0.57868969999999997</v>
      </c>
      <c r="AT223" s="1602"/>
      <c r="AU223" s="1602"/>
      <c r="AV223" s="1524"/>
      <c r="AW223" s="1524"/>
      <c r="AX223" s="1524"/>
      <c r="AY223" s="1524"/>
      <c r="AZ223" s="1524"/>
      <c r="BA223" s="1524"/>
      <c r="BB223" s="1602"/>
      <c r="BC223" s="1357"/>
      <c r="BD223" s="1522" t="s">
        <v>908</v>
      </c>
    </row>
    <row r="224" spans="1:56" ht="31" outlineLevel="1">
      <c r="A224" s="1454">
        <v>21</v>
      </c>
      <c r="B224" s="1454" t="s">
        <v>1786</v>
      </c>
      <c r="C224" s="1454" t="s">
        <v>907</v>
      </c>
      <c r="D224" s="1355"/>
      <c r="E224" s="1356"/>
      <c r="F224" s="1356"/>
      <c r="G224" s="1355"/>
      <c r="H224" s="1355"/>
      <c r="I224" s="1355"/>
      <c r="J224" s="1355"/>
      <c r="K224" s="1356"/>
      <c r="L224" s="1356"/>
      <c r="M224" s="1356"/>
      <c r="N224" s="1356"/>
      <c r="O224" s="1357"/>
      <c r="P224" s="1602"/>
      <c r="Q224" s="1602"/>
      <c r="R224" s="1602"/>
      <c r="S224" s="1602">
        <v>3.8467899999999999E-2</v>
      </c>
      <c r="T224" s="1511">
        <f t="shared" si="83"/>
        <v>3.8467899999999999E-2</v>
      </c>
      <c r="U224" s="1602"/>
      <c r="V224" s="1602"/>
      <c r="W224" s="1524"/>
      <c r="X224" s="1524"/>
      <c r="Y224" s="1524"/>
      <c r="Z224" s="1524"/>
      <c r="AA224" s="1524"/>
      <c r="AB224" s="1524"/>
      <c r="AC224" s="1603"/>
      <c r="AD224" s="1603"/>
      <c r="AE224" s="1603"/>
      <c r="AF224" s="1603"/>
      <c r="AG224" s="1603"/>
      <c r="AH224" s="1603"/>
      <c r="AI224" s="1603"/>
      <c r="AJ224" s="1524"/>
      <c r="AK224" s="1524"/>
      <c r="AL224" s="1524"/>
      <c r="AM224" s="1524"/>
      <c r="AN224" s="1524"/>
      <c r="AO224" s="1602"/>
      <c r="AP224" s="1602"/>
      <c r="AQ224" s="1602"/>
      <c r="AR224" s="1602">
        <v>3.8467899999999999E-2</v>
      </c>
      <c r="AS224" s="1511">
        <f t="shared" si="84"/>
        <v>3.8467899999999999E-2</v>
      </c>
      <c r="AT224" s="1602"/>
      <c r="AU224" s="1602"/>
      <c r="AV224" s="1524"/>
      <c r="AW224" s="1524"/>
      <c r="AX224" s="1524"/>
      <c r="AY224" s="1524"/>
      <c r="AZ224" s="1524"/>
      <c r="BA224" s="1524"/>
      <c r="BB224" s="1602"/>
      <c r="BC224" s="1357"/>
      <c r="BD224" s="1522" t="s">
        <v>908</v>
      </c>
    </row>
    <row r="225" spans="1:56" ht="31" outlineLevel="1">
      <c r="A225" s="1454">
        <v>22</v>
      </c>
      <c r="B225" s="1454" t="s">
        <v>1787</v>
      </c>
      <c r="C225" s="1454" t="s">
        <v>907</v>
      </c>
      <c r="D225" s="1355"/>
      <c r="E225" s="1356"/>
      <c r="F225" s="1356"/>
      <c r="G225" s="1355"/>
      <c r="H225" s="1355"/>
      <c r="I225" s="1355"/>
      <c r="J225" s="1355"/>
      <c r="K225" s="1356"/>
      <c r="L225" s="1356"/>
      <c r="M225" s="1356"/>
      <c r="N225" s="1356"/>
      <c r="O225" s="1357"/>
      <c r="P225" s="1602"/>
      <c r="Q225" s="1602">
        <v>2.4644665859999999</v>
      </c>
      <c r="R225" s="1602"/>
      <c r="S225" s="1602"/>
      <c r="T225" s="1511">
        <f t="shared" si="83"/>
        <v>2.4644665859999999</v>
      </c>
      <c r="U225" s="1602"/>
      <c r="V225" s="1602"/>
      <c r="W225" s="1524"/>
      <c r="X225" s="1524"/>
      <c r="Y225" s="1524"/>
      <c r="Z225" s="1524"/>
      <c r="AA225" s="1524"/>
      <c r="AB225" s="1524"/>
      <c r="AC225" s="1603"/>
      <c r="AD225" s="1603"/>
      <c r="AE225" s="1603"/>
      <c r="AF225" s="1603"/>
      <c r="AG225" s="1603"/>
      <c r="AH225" s="1603"/>
      <c r="AI225" s="1603"/>
      <c r="AJ225" s="1524"/>
      <c r="AK225" s="1524"/>
      <c r="AL225" s="1524"/>
      <c r="AM225" s="1524"/>
      <c r="AN225" s="1524"/>
      <c r="AO225" s="1602"/>
      <c r="AP225" s="1602">
        <v>2.4644665859999999</v>
      </c>
      <c r="AQ225" s="1602"/>
      <c r="AR225" s="1602"/>
      <c r="AS225" s="1511">
        <f t="shared" si="84"/>
        <v>2.4644665859999999</v>
      </c>
      <c r="AT225" s="1602"/>
      <c r="AU225" s="1602"/>
      <c r="AV225" s="1524"/>
      <c r="AW225" s="1524"/>
      <c r="AX225" s="1524"/>
      <c r="AY225" s="1524"/>
      <c r="AZ225" s="1524"/>
      <c r="BA225" s="1524"/>
      <c r="BB225" s="1602"/>
      <c r="BC225" s="1357"/>
      <c r="BD225" s="1522" t="s">
        <v>908</v>
      </c>
    </row>
    <row r="226" spans="1:56" ht="31" outlineLevel="1">
      <c r="A226" s="1454">
        <v>23</v>
      </c>
      <c r="B226" s="1454" t="s">
        <v>1788</v>
      </c>
      <c r="C226" s="1454" t="s">
        <v>907</v>
      </c>
      <c r="D226" s="1355"/>
      <c r="E226" s="1356"/>
      <c r="F226" s="1356"/>
      <c r="G226" s="1355"/>
      <c r="H226" s="1355"/>
      <c r="I226" s="1355"/>
      <c r="J226" s="1355"/>
      <c r="K226" s="1356"/>
      <c r="L226" s="1356"/>
      <c r="M226" s="1356"/>
      <c r="N226" s="1356"/>
      <c r="O226" s="1357"/>
      <c r="P226" s="1602"/>
      <c r="Q226" s="1602">
        <v>0.98448907899999993</v>
      </c>
      <c r="R226" s="1602"/>
      <c r="S226" s="1602"/>
      <c r="T226" s="1511">
        <f t="shared" si="83"/>
        <v>0.98448907899999993</v>
      </c>
      <c r="U226" s="1602"/>
      <c r="V226" s="1602"/>
      <c r="W226" s="1524"/>
      <c r="X226" s="1524"/>
      <c r="Y226" s="1524"/>
      <c r="Z226" s="1524"/>
      <c r="AA226" s="1524"/>
      <c r="AB226" s="1524"/>
      <c r="AC226" s="1603"/>
      <c r="AD226" s="1603"/>
      <c r="AE226" s="1603"/>
      <c r="AF226" s="1603"/>
      <c r="AG226" s="1603"/>
      <c r="AH226" s="1603"/>
      <c r="AI226" s="1603"/>
      <c r="AJ226" s="1524"/>
      <c r="AK226" s="1524"/>
      <c r="AL226" s="1524"/>
      <c r="AM226" s="1524"/>
      <c r="AN226" s="1524"/>
      <c r="AO226" s="1602"/>
      <c r="AP226" s="1602">
        <v>0.98448907899999993</v>
      </c>
      <c r="AQ226" s="1602"/>
      <c r="AR226" s="1602"/>
      <c r="AS226" s="1511">
        <f t="shared" si="84"/>
        <v>0.98448907899999993</v>
      </c>
      <c r="AT226" s="1602"/>
      <c r="AU226" s="1602"/>
      <c r="AV226" s="1524"/>
      <c r="AW226" s="1524"/>
      <c r="AX226" s="1524"/>
      <c r="AY226" s="1524"/>
      <c r="AZ226" s="1524"/>
      <c r="BA226" s="1524"/>
      <c r="BB226" s="1602"/>
      <c r="BC226" s="1357"/>
      <c r="BD226" s="1522" t="s">
        <v>908</v>
      </c>
    </row>
    <row r="227" spans="1:56" ht="46.5" outlineLevel="1">
      <c r="A227" s="1454">
        <v>24</v>
      </c>
      <c r="B227" s="1454" t="s">
        <v>1789</v>
      </c>
      <c r="C227" s="1454"/>
      <c r="D227" s="1363"/>
      <c r="E227" s="1364"/>
      <c r="F227" s="1364"/>
      <c r="G227" s="1363"/>
      <c r="H227" s="1363"/>
      <c r="I227" s="1363"/>
      <c r="J227" s="1363"/>
      <c r="K227" s="1364"/>
      <c r="L227" s="1364"/>
      <c r="M227" s="1364"/>
      <c r="N227" s="1364"/>
      <c r="O227" s="1608"/>
      <c r="P227" s="1602">
        <f>517500/10^7</f>
        <v>5.1749999999999997E-2</v>
      </c>
      <c r="Q227" s="1609"/>
      <c r="R227" s="1609"/>
      <c r="S227" s="1609"/>
      <c r="T227" s="1511">
        <f t="shared" si="83"/>
        <v>5.1749999999999997E-2</v>
      </c>
      <c r="U227" s="1609"/>
      <c r="V227" s="1609"/>
      <c r="W227" s="1610"/>
      <c r="X227" s="1610"/>
      <c r="Y227" s="1610"/>
      <c r="Z227" s="1610"/>
      <c r="AA227" s="1610"/>
      <c r="AB227" s="1610"/>
      <c r="AC227" s="1611">
        <v>0</v>
      </c>
      <c r="AD227" s="1611"/>
      <c r="AE227" s="1611"/>
      <c r="AF227" s="1611"/>
      <c r="AG227" s="1611"/>
      <c r="AH227" s="1611">
        <v>0</v>
      </c>
      <c r="AI227" s="1611"/>
      <c r="AJ227" s="1610"/>
      <c r="AK227" s="1610"/>
      <c r="AL227" s="1610"/>
      <c r="AM227" s="1610"/>
      <c r="AN227" s="1610"/>
      <c r="AO227" s="1609"/>
      <c r="AP227" s="1609"/>
      <c r="AQ227" s="1609"/>
      <c r="AR227" s="1609"/>
      <c r="AS227" s="1511">
        <f t="shared" si="84"/>
        <v>0</v>
      </c>
      <c r="AT227" s="1609"/>
      <c r="AU227" s="1609"/>
      <c r="AV227" s="1610"/>
      <c r="AW227" s="1610"/>
      <c r="AX227" s="1610"/>
      <c r="AY227" s="1610"/>
      <c r="AZ227" s="1610"/>
      <c r="BA227" s="1610"/>
      <c r="BB227" s="1602"/>
      <c r="BC227" s="1365" t="s">
        <v>1790</v>
      </c>
      <c r="BD227" s="1522" t="s">
        <v>905</v>
      </c>
    </row>
    <row r="228" spans="1:56" ht="77.5" outlineLevel="1">
      <c r="A228" s="1455">
        <v>25</v>
      </c>
      <c r="B228" s="1455" t="s">
        <v>1791</v>
      </c>
      <c r="C228" s="1455"/>
      <c r="D228" s="1366"/>
      <c r="E228" s="1367"/>
      <c r="F228" s="1367"/>
      <c r="G228" s="1366"/>
      <c r="H228" s="1366"/>
      <c r="I228" s="1366"/>
      <c r="J228" s="1366"/>
      <c r="K228" s="1367"/>
      <c r="L228" s="1367"/>
      <c r="M228" s="1367"/>
      <c r="N228" s="1367"/>
      <c r="O228" s="1612"/>
      <c r="P228" s="1613"/>
      <c r="Q228" s="1613"/>
      <c r="R228" s="1613"/>
      <c r="S228" s="1613"/>
      <c r="T228" s="1511">
        <f t="shared" si="83"/>
        <v>0</v>
      </c>
      <c r="U228" s="1614">
        <f>1371209/10^7</f>
        <v>0.13712089999999999</v>
      </c>
      <c r="V228" s="1613"/>
      <c r="W228" s="1615"/>
      <c r="X228" s="1615"/>
      <c r="Y228" s="1615"/>
      <c r="Z228" s="1615"/>
      <c r="AA228" s="1615"/>
      <c r="AB228" s="1615"/>
      <c r="AC228" s="1616"/>
      <c r="AD228" s="1616"/>
      <c r="AE228" s="1616"/>
      <c r="AF228" s="1616"/>
      <c r="AG228" s="1616"/>
      <c r="AH228" s="1616"/>
      <c r="AI228" s="1616"/>
      <c r="AJ228" s="1615"/>
      <c r="AK228" s="1615"/>
      <c r="AL228" s="1615"/>
      <c r="AM228" s="1615"/>
      <c r="AN228" s="1615"/>
      <c r="AO228" s="1613"/>
      <c r="AP228" s="1613"/>
      <c r="AQ228" s="1613"/>
      <c r="AR228" s="1617"/>
      <c r="AS228" s="1511">
        <f t="shared" si="84"/>
        <v>0</v>
      </c>
      <c r="AT228" s="1613">
        <v>0.13712089999999999</v>
      </c>
      <c r="AU228" s="1613"/>
      <c r="AV228" s="1615"/>
      <c r="AW228" s="1615"/>
      <c r="AX228" s="1615"/>
      <c r="AY228" s="1615"/>
      <c r="AZ228" s="1615"/>
      <c r="BA228" s="1615"/>
      <c r="BB228" s="1614"/>
      <c r="BC228" s="1618" t="s">
        <v>1792</v>
      </c>
      <c r="BD228" s="1619" t="s">
        <v>908</v>
      </c>
    </row>
    <row r="229" spans="1:56" ht="31" outlineLevel="1">
      <c r="A229" s="1455">
        <v>26</v>
      </c>
      <c r="B229" s="1455" t="s">
        <v>261</v>
      </c>
      <c r="C229" s="1455"/>
      <c r="D229" s="1366"/>
      <c r="E229" s="1367"/>
      <c r="F229" s="1367"/>
      <c r="G229" s="1366"/>
      <c r="H229" s="1366"/>
      <c r="I229" s="1366"/>
      <c r="J229" s="1366"/>
      <c r="K229" s="1367"/>
      <c r="L229" s="1367"/>
      <c r="M229" s="1367"/>
      <c r="N229" s="1367"/>
      <c r="O229" s="1612"/>
      <c r="P229" s="1613"/>
      <c r="Q229" s="1613"/>
      <c r="R229" s="1613"/>
      <c r="S229" s="1613"/>
      <c r="T229" s="1511">
        <f t="shared" si="83"/>
        <v>0</v>
      </c>
      <c r="U229" s="1614">
        <f>(88000+1354355.4)/10^7</f>
        <v>0.14423554</v>
      </c>
      <c r="V229" s="1613"/>
      <c r="W229" s="1615"/>
      <c r="X229" s="1615"/>
      <c r="Y229" s="1615"/>
      <c r="Z229" s="1615"/>
      <c r="AA229" s="1615"/>
      <c r="AB229" s="1615"/>
      <c r="AC229" s="1616"/>
      <c r="AD229" s="1616"/>
      <c r="AE229" s="1616"/>
      <c r="AF229" s="1616"/>
      <c r="AG229" s="1616"/>
      <c r="AH229" s="1616"/>
      <c r="AI229" s="1616"/>
      <c r="AJ229" s="1615"/>
      <c r="AK229" s="1615"/>
      <c r="AL229" s="1615"/>
      <c r="AM229" s="1615"/>
      <c r="AN229" s="1615"/>
      <c r="AO229" s="1613"/>
      <c r="AP229" s="1613"/>
      <c r="AQ229" s="1613"/>
      <c r="AR229" s="1613"/>
      <c r="AS229" s="1511">
        <f t="shared" si="84"/>
        <v>0</v>
      </c>
      <c r="AT229" s="1613">
        <v>0.14423554</v>
      </c>
      <c r="AU229" s="1613"/>
      <c r="AV229" s="1615"/>
      <c r="AW229" s="1615"/>
      <c r="AX229" s="1615"/>
      <c r="AY229" s="1615"/>
      <c r="AZ229" s="1615"/>
      <c r="BA229" s="1615"/>
      <c r="BB229" s="1614"/>
      <c r="BC229" s="1618" t="s">
        <v>1793</v>
      </c>
      <c r="BD229" s="1619" t="s">
        <v>908</v>
      </c>
    </row>
    <row r="230" spans="1:56" ht="31" outlineLevel="1">
      <c r="A230" s="1455">
        <v>27</v>
      </c>
      <c r="B230" s="1455" t="s">
        <v>1791</v>
      </c>
      <c r="C230" s="1455"/>
      <c r="D230" s="1366"/>
      <c r="E230" s="1367"/>
      <c r="F230" s="1367"/>
      <c r="G230" s="1366"/>
      <c r="H230" s="1366"/>
      <c r="I230" s="1366"/>
      <c r="J230" s="1366"/>
      <c r="K230" s="1367"/>
      <c r="L230" s="1367"/>
      <c r="M230" s="1367"/>
      <c r="N230" s="1367"/>
      <c r="O230" s="1612"/>
      <c r="P230" s="1613"/>
      <c r="Q230" s="1613"/>
      <c r="R230" s="1613"/>
      <c r="S230" s="1613"/>
      <c r="T230" s="1511">
        <f t="shared" si="83"/>
        <v>0</v>
      </c>
      <c r="U230" s="1613"/>
      <c r="V230" s="1613">
        <f>739683/10^7</f>
        <v>7.3968300000000001E-2</v>
      </c>
      <c r="W230" s="1615"/>
      <c r="X230" s="1615"/>
      <c r="Y230" s="1615"/>
      <c r="Z230" s="1615"/>
      <c r="AA230" s="1615"/>
      <c r="AB230" s="1615"/>
      <c r="AC230" s="1616"/>
      <c r="AD230" s="1616"/>
      <c r="AE230" s="1616"/>
      <c r="AF230" s="1616"/>
      <c r="AG230" s="1616"/>
      <c r="AH230" s="1616"/>
      <c r="AI230" s="1616"/>
      <c r="AJ230" s="1615"/>
      <c r="AK230" s="1615"/>
      <c r="AL230" s="1615"/>
      <c r="AM230" s="1615"/>
      <c r="AN230" s="1615"/>
      <c r="AO230" s="1613"/>
      <c r="AP230" s="1613"/>
      <c r="AQ230" s="1613"/>
      <c r="AR230" s="1613"/>
      <c r="AS230" s="1511">
        <f t="shared" si="84"/>
        <v>0</v>
      </c>
      <c r="AT230" s="1613">
        <v>0</v>
      </c>
      <c r="AU230" s="1613">
        <v>7.3968300000000001E-2</v>
      </c>
      <c r="AV230" s="1620">
        <v>0</v>
      </c>
      <c r="AW230" s="1615"/>
      <c r="AX230" s="1615"/>
      <c r="AY230" s="1615"/>
      <c r="AZ230" s="1615"/>
      <c r="BA230" s="1615"/>
      <c r="BB230" s="1614"/>
      <c r="BC230" s="1618" t="s">
        <v>1794</v>
      </c>
      <c r="BD230" s="1619" t="s">
        <v>908</v>
      </c>
    </row>
    <row r="231" spans="1:56" ht="46.5" outlineLevel="1">
      <c r="A231" s="1455">
        <v>28</v>
      </c>
      <c r="B231" s="1455" t="s">
        <v>261</v>
      </c>
      <c r="C231" s="1455"/>
      <c r="D231" s="1366"/>
      <c r="E231" s="1367"/>
      <c r="F231" s="1367"/>
      <c r="G231" s="1366"/>
      <c r="H231" s="1366"/>
      <c r="I231" s="1366"/>
      <c r="J231" s="1366"/>
      <c r="K231" s="1367"/>
      <c r="L231" s="1367"/>
      <c r="M231" s="1367"/>
      <c r="N231" s="1367"/>
      <c r="O231" s="1612"/>
      <c r="P231" s="1613"/>
      <c r="Q231" s="1613"/>
      <c r="R231" s="1613"/>
      <c r="S231" s="1613"/>
      <c r="T231" s="1511">
        <f t="shared" si="83"/>
        <v>0</v>
      </c>
      <c r="U231" s="1613"/>
      <c r="V231" s="1613">
        <f>1589055.93/10^7</f>
        <v>0.15890559299999998</v>
      </c>
      <c r="W231" s="1615"/>
      <c r="X231" s="1615"/>
      <c r="Y231" s="1615"/>
      <c r="Z231" s="1615"/>
      <c r="AA231" s="1615"/>
      <c r="AB231" s="1615"/>
      <c r="AC231" s="1616"/>
      <c r="AD231" s="1616"/>
      <c r="AE231" s="1616"/>
      <c r="AF231" s="1616"/>
      <c r="AG231" s="1616"/>
      <c r="AH231" s="1616"/>
      <c r="AI231" s="1616"/>
      <c r="AJ231" s="1615"/>
      <c r="AK231" s="1615"/>
      <c r="AL231" s="1615"/>
      <c r="AM231" s="1615"/>
      <c r="AN231" s="1615"/>
      <c r="AO231" s="1613"/>
      <c r="AP231" s="1613"/>
      <c r="AQ231" s="1613"/>
      <c r="AR231" s="1613"/>
      <c r="AS231" s="1511">
        <f t="shared" si="84"/>
        <v>0</v>
      </c>
      <c r="AT231" s="1613">
        <v>0</v>
      </c>
      <c r="AU231" s="1613">
        <v>0.15890559299999998</v>
      </c>
      <c r="AV231" s="1620">
        <v>0</v>
      </c>
      <c r="AW231" s="1615"/>
      <c r="AX231" s="1615"/>
      <c r="AY231" s="1615"/>
      <c r="AZ231" s="1615"/>
      <c r="BA231" s="1615"/>
      <c r="BB231" s="1614"/>
      <c r="BC231" s="1618" t="s">
        <v>1795</v>
      </c>
      <c r="BD231" s="1619" t="s">
        <v>908</v>
      </c>
    </row>
    <row r="232" spans="1:56" ht="78.75" customHeight="1" outlineLevel="1">
      <c r="A232" s="1455">
        <v>29</v>
      </c>
      <c r="B232" s="1455" t="s">
        <v>1796</v>
      </c>
      <c r="C232" s="1455" t="s">
        <v>907</v>
      </c>
      <c r="D232" s="1366"/>
      <c r="E232" s="1367"/>
      <c r="F232" s="1367"/>
      <c r="G232" s="1366"/>
      <c r="H232" s="1366"/>
      <c r="I232" s="1366"/>
      <c r="J232" s="1366"/>
      <c r="K232" s="1367"/>
      <c r="L232" s="1367"/>
      <c r="M232" s="1367"/>
      <c r="N232" s="1367"/>
      <c r="O232" s="1618" t="s">
        <v>1797</v>
      </c>
      <c r="P232" s="1613"/>
      <c r="Q232" s="1613"/>
      <c r="R232" s="1613"/>
      <c r="S232" s="1613"/>
      <c r="T232" s="1511">
        <f t="shared" si="83"/>
        <v>0</v>
      </c>
      <c r="U232" s="1613"/>
      <c r="V232" s="1613">
        <f>48465386.76/10^7</f>
        <v>4.8465386759999998</v>
      </c>
      <c r="W232" s="1615"/>
      <c r="X232" s="1615"/>
      <c r="Y232" s="1615"/>
      <c r="Z232" s="1615"/>
      <c r="AA232" s="1615"/>
      <c r="AB232" s="1615"/>
      <c r="AC232" s="1616"/>
      <c r="AD232" s="1616"/>
      <c r="AE232" s="1616"/>
      <c r="AF232" s="1616"/>
      <c r="AG232" s="1616"/>
      <c r="AH232" s="1616"/>
      <c r="AI232" s="1616"/>
      <c r="AJ232" s="1615"/>
      <c r="AK232" s="1615"/>
      <c r="AL232" s="1615"/>
      <c r="AM232" s="1615"/>
      <c r="AN232" s="1615"/>
      <c r="AO232" s="1613"/>
      <c r="AP232" s="1613"/>
      <c r="AQ232" s="1613"/>
      <c r="AR232" s="1613"/>
      <c r="AS232" s="1511">
        <f t="shared" si="84"/>
        <v>0</v>
      </c>
      <c r="AT232" s="1613">
        <v>0</v>
      </c>
      <c r="AU232" s="1613">
        <v>4.8465386759999998</v>
      </c>
      <c r="AV232" s="1620">
        <v>0</v>
      </c>
      <c r="AW232" s="1615"/>
      <c r="AX232" s="1615"/>
      <c r="AY232" s="1615"/>
      <c r="AZ232" s="1615"/>
      <c r="BA232" s="1615"/>
      <c r="BB232" s="1614"/>
      <c r="BC232" s="1618" t="s">
        <v>1798</v>
      </c>
      <c r="BD232" s="1522" t="s">
        <v>908</v>
      </c>
    </row>
    <row r="233" spans="1:56" ht="31" outlineLevel="1">
      <c r="A233" s="1455">
        <v>30</v>
      </c>
      <c r="B233" s="1455" t="s">
        <v>1799</v>
      </c>
      <c r="C233" s="1455" t="s">
        <v>907</v>
      </c>
      <c r="D233" s="1366"/>
      <c r="E233" s="1367"/>
      <c r="F233" s="1367"/>
      <c r="G233" s="1366"/>
      <c r="H233" s="1366"/>
      <c r="I233" s="1366"/>
      <c r="J233" s="1366"/>
      <c r="K233" s="1367"/>
      <c r="L233" s="1367"/>
      <c r="M233" s="1367"/>
      <c r="N233" s="1367"/>
      <c r="O233" s="1618" t="s">
        <v>1800</v>
      </c>
      <c r="P233" s="1613"/>
      <c r="Q233" s="1613"/>
      <c r="R233" s="1613"/>
      <c r="S233" s="1613"/>
      <c r="T233" s="1511">
        <f t="shared" si="83"/>
        <v>0</v>
      </c>
      <c r="U233" s="1613"/>
      <c r="V233" s="1613">
        <f>5854799.56/10^7</f>
        <v>0.58547995599999991</v>
      </c>
      <c r="W233" s="1615"/>
      <c r="X233" s="1615"/>
      <c r="Y233" s="1615"/>
      <c r="Z233" s="1615"/>
      <c r="AA233" s="1615"/>
      <c r="AB233" s="1615"/>
      <c r="AC233" s="1616"/>
      <c r="AD233" s="1616"/>
      <c r="AE233" s="1616"/>
      <c r="AF233" s="1616"/>
      <c r="AG233" s="1616"/>
      <c r="AH233" s="1616"/>
      <c r="AI233" s="1616"/>
      <c r="AJ233" s="1615"/>
      <c r="AK233" s="1615"/>
      <c r="AL233" s="1615"/>
      <c r="AM233" s="1615"/>
      <c r="AN233" s="1615"/>
      <c r="AO233" s="1613"/>
      <c r="AP233" s="1613"/>
      <c r="AQ233" s="1613"/>
      <c r="AR233" s="1613"/>
      <c r="AS233" s="1511">
        <f t="shared" si="84"/>
        <v>0</v>
      </c>
      <c r="AT233" s="1613">
        <v>0</v>
      </c>
      <c r="AU233" s="1613">
        <v>0.58547995599999991</v>
      </c>
      <c r="AV233" s="1620">
        <v>0</v>
      </c>
      <c r="AW233" s="1615"/>
      <c r="AX233" s="1615"/>
      <c r="AY233" s="1615"/>
      <c r="AZ233" s="1615"/>
      <c r="BA233" s="1615"/>
      <c r="BB233" s="1614"/>
      <c r="BC233" s="1618" t="s">
        <v>1801</v>
      </c>
      <c r="BD233" s="1522" t="s">
        <v>908</v>
      </c>
    </row>
    <row r="234" spans="1:56" ht="31" outlineLevel="1">
      <c r="A234" s="1455">
        <v>31</v>
      </c>
      <c r="B234" s="1455" t="s">
        <v>1802</v>
      </c>
      <c r="C234" s="1455"/>
      <c r="D234" s="1366"/>
      <c r="E234" s="1367"/>
      <c r="F234" s="1367"/>
      <c r="G234" s="1366"/>
      <c r="H234" s="1366"/>
      <c r="I234" s="1366"/>
      <c r="J234" s="1366"/>
      <c r="K234" s="1367"/>
      <c r="L234" s="1367"/>
      <c r="M234" s="1367"/>
      <c r="N234" s="1367"/>
      <c r="O234" s="1612"/>
      <c r="P234" s="1613"/>
      <c r="Q234" s="1613"/>
      <c r="R234" s="1613"/>
      <c r="S234" s="1613"/>
      <c r="T234" s="1511">
        <f t="shared" si="83"/>
        <v>0</v>
      </c>
      <c r="U234" s="1613"/>
      <c r="V234" s="1613"/>
      <c r="W234" s="1615"/>
      <c r="X234" s="1615"/>
      <c r="Y234" s="1615"/>
      <c r="Z234" s="1615"/>
      <c r="AA234" s="1615"/>
      <c r="AB234" s="1615"/>
      <c r="AC234" s="1616"/>
      <c r="AD234" s="1616"/>
      <c r="AE234" s="1616"/>
      <c r="AF234" s="1616"/>
      <c r="AG234" s="1616"/>
      <c r="AH234" s="1616"/>
      <c r="AI234" s="1616"/>
      <c r="AJ234" s="1615"/>
      <c r="AK234" s="1615"/>
      <c r="AL234" s="1615"/>
      <c r="AM234" s="1615"/>
      <c r="AN234" s="1615"/>
      <c r="AO234" s="1613"/>
      <c r="AP234" s="1613"/>
      <c r="AQ234" s="1613"/>
      <c r="AR234" s="1613"/>
      <c r="AS234" s="1511">
        <f t="shared" si="84"/>
        <v>0</v>
      </c>
      <c r="AT234" s="1617">
        <v>-0.138988</v>
      </c>
      <c r="AU234" s="1613"/>
      <c r="AV234" s="1615"/>
      <c r="AW234" s="1615"/>
      <c r="AX234" s="1615"/>
      <c r="AY234" s="1615"/>
      <c r="AZ234" s="1615"/>
      <c r="BA234" s="1615"/>
      <c r="BB234" s="1614"/>
      <c r="BC234" s="1368" t="s">
        <v>1803</v>
      </c>
      <c r="BD234" s="1621"/>
    </row>
    <row r="235" spans="1:56" ht="15.5">
      <c r="A235" s="1369"/>
      <c r="B235" s="1370" t="s">
        <v>272</v>
      </c>
      <c r="C235" s="1371"/>
      <c r="D235" s="1372"/>
      <c r="E235" s="1622"/>
      <c r="F235" s="1622"/>
      <c r="G235" s="1623"/>
      <c r="H235" s="1623">
        <f>SUMIF(C10:C226,BE1,H10:O234)</f>
        <v>1255.275126163046</v>
      </c>
      <c r="I235" s="1623"/>
      <c r="J235" s="1623"/>
      <c r="K235" s="1624"/>
      <c r="L235" s="1624"/>
      <c r="M235" s="1624"/>
      <c r="N235" s="1624"/>
      <c r="O235" s="1373"/>
      <c r="P235" s="1623">
        <f t="shared" ref="P235:AI235" si="85">SUM(P10:P234)</f>
        <v>96.182543061024802</v>
      </c>
      <c r="Q235" s="1623">
        <f t="shared" si="85"/>
        <v>55.406865452634705</v>
      </c>
      <c r="R235" s="1623">
        <f t="shared" si="85"/>
        <v>3.1858971199999999</v>
      </c>
      <c r="S235" s="1623">
        <f t="shared" si="85"/>
        <v>29.543731111</v>
      </c>
      <c r="T235" s="1623">
        <f t="shared" si="85"/>
        <v>184.31903674465951</v>
      </c>
      <c r="U235" s="1623">
        <f t="shared" si="85"/>
        <v>14.829008506000003</v>
      </c>
      <c r="V235" s="1623">
        <f t="shared" si="85"/>
        <v>10.833911637</v>
      </c>
      <c r="W235" s="1623">
        <f t="shared" si="85"/>
        <v>164.51849636200001</v>
      </c>
      <c r="X235" s="1623">
        <f t="shared" si="85"/>
        <v>811.30999999999983</v>
      </c>
      <c r="Y235" s="1623">
        <f t="shared" si="85"/>
        <v>532.60000000000014</v>
      </c>
      <c r="Z235" s="1623">
        <f t="shared" si="85"/>
        <v>243</v>
      </c>
      <c r="AA235" s="1623">
        <f t="shared" si="85"/>
        <v>257</v>
      </c>
      <c r="AB235" s="1623">
        <f t="shared" si="85"/>
        <v>145</v>
      </c>
      <c r="AC235" s="1623">
        <f t="shared" si="85"/>
        <v>7.51</v>
      </c>
      <c r="AD235" s="1623">
        <f t="shared" si="85"/>
        <v>8.25</v>
      </c>
      <c r="AE235" s="1623">
        <f t="shared" si="85"/>
        <v>0</v>
      </c>
      <c r="AF235" s="1623">
        <f t="shared" si="85"/>
        <v>6.9</v>
      </c>
      <c r="AG235" s="1623">
        <f t="shared" si="85"/>
        <v>5</v>
      </c>
      <c r="AH235" s="1623">
        <f t="shared" si="85"/>
        <v>2.5</v>
      </c>
      <c r="AI235" s="1623">
        <f t="shared" si="85"/>
        <v>19.5</v>
      </c>
      <c r="AJ235" s="1623"/>
      <c r="AK235" s="1623"/>
      <c r="AL235" s="1623"/>
      <c r="AM235" s="1623"/>
      <c r="AN235" s="1623"/>
      <c r="AO235" s="1623">
        <f t="shared" ref="AO235:BB235" si="86">SUM(AO10:AO234)</f>
        <v>12.181985108024792</v>
      </c>
      <c r="AP235" s="1623">
        <f t="shared" si="86"/>
        <v>131.03022207663471</v>
      </c>
      <c r="AQ235" s="1623">
        <f t="shared" si="86"/>
        <v>2.6658971200000003</v>
      </c>
      <c r="AR235" s="1623">
        <f t="shared" si="86"/>
        <v>38.211119851999996</v>
      </c>
      <c r="AS235" s="1623">
        <f t="shared" si="86"/>
        <v>184.08922415665953</v>
      </c>
      <c r="AT235" s="1623">
        <f t="shared" si="86"/>
        <v>13.919354170000002</v>
      </c>
      <c r="AU235" s="1623">
        <f t="shared" si="86"/>
        <v>16.577969744000001</v>
      </c>
      <c r="AV235" s="1623">
        <f t="shared" si="86"/>
        <v>24.413145507999999</v>
      </c>
      <c r="AW235" s="1623">
        <f t="shared" si="86"/>
        <v>176.73000000000005</v>
      </c>
      <c r="AX235" s="1623">
        <f t="shared" si="86"/>
        <v>702.43000000000006</v>
      </c>
      <c r="AY235" s="1623">
        <f t="shared" si="86"/>
        <v>667.57999999999993</v>
      </c>
      <c r="AZ235" s="1623">
        <f t="shared" si="86"/>
        <v>257</v>
      </c>
      <c r="BA235" s="1623">
        <f t="shared" si="86"/>
        <v>145</v>
      </c>
      <c r="BB235" s="1623">
        <f t="shared" si="86"/>
        <v>-7.7263418999999995</v>
      </c>
      <c r="BC235" s="1374"/>
      <c r="BD235" s="1625"/>
    </row>
    <row r="236" spans="1:56" ht="15.5">
      <c r="BD236" s="1626"/>
    </row>
    <row r="238" spans="1:56" ht="15.5">
      <c r="AT238" s="320">
        <f>SUM(AT204:AT233)</f>
        <v>0.28135643999999999</v>
      </c>
      <c r="AU238" s="320">
        <f>SUM(AU204:AU233)</f>
        <v>5.6648925249999991</v>
      </c>
      <c r="AV238" s="320">
        <f>SUM(AV204:AV233)</f>
        <v>0</v>
      </c>
      <c r="BD238" s="1626"/>
    </row>
    <row r="239" spans="1:56" ht="15.5">
      <c r="BD239" s="1626"/>
    </row>
    <row r="240" spans="1:56" ht="15.5">
      <c r="BD240" s="1626"/>
    </row>
    <row r="241" spans="56:56" ht="15.5">
      <c r="BD241" s="1626"/>
    </row>
    <row r="243" spans="56:56" ht="15.5">
      <c r="BD243" s="1626"/>
    </row>
    <row r="244" spans="56:56" ht="15.5">
      <c r="BD244" s="1626"/>
    </row>
    <row r="245" spans="56:56" ht="15.5">
      <c r="BD245" s="1626"/>
    </row>
    <row r="246" spans="56:56" ht="15.5">
      <c r="BD246" s="1626"/>
    </row>
    <row r="248" spans="56:56" ht="15.5">
      <c r="BD248" s="1626"/>
    </row>
    <row r="250" spans="56:56" ht="15.5">
      <c r="BD250" s="1626"/>
    </row>
    <row r="252" spans="56:56" ht="15.5">
      <c r="BD252" s="1626"/>
    </row>
    <row r="253" spans="56:56" ht="15.5">
      <c r="BD253" s="1626"/>
    </row>
    <row r="254" spans="56:56" ht="15.5">
      <c r="BD254" s="1626"/>
    </row>
    <row r="256" spans="56:56" ht="15.5">
      <c r="BD256" s="1626"/>
    </row>
    <row r="257" spans="56:56" ht="15.5">
      <c r="BD257" s="1626"/>
    </row>
    <row r="258" spans="56:56" ht="15.5">
      <c r="BD258" s="1626"/>
    </row>
    <row r="259" spans="56:56" ht="15.5">
      <c r="BD259" s="1626"/>
    </row>
    <row r="261" spans="56:56" ht="15.5">
      <c r="BD261" s="1626"/>
    </row>
    <row r="262" spans="56:56" ht="15.5">
      <c r="BD262" s="1626"/>
    </row>
    <row r="263" spans="56:56" ht="15.5">
      <c r="BD263" s="1626"/>
    </row>
    <row r="264" spans="56:56" ht="15.5">
      <c r="BD264" s="1626"/>
    </row>
    <row r="266" spans="56:56" ht="15.5">
      <c r="BD266" s="1626"/>
    </row>
    <row r="267" spans="56:56" ht="15.5">
      <c r="BD267" s="1626"/>
    </row>
    <row r="268" spans="56:56" ht="15.5">
      <c r="BD268" s="1626"/>
    </row>
    <row r="269" spans="56:56" ht="15.5">
      <c r="BD269" s="1626"/>
    </row>
    <row r="270" spans="56:56" ht="15.5">
      <c r="BD270" s="1626"/>
    </row>
    <row r="272" spans="56:56" ht="15.5">
      <c r="BD272" s="1626"/>
    </row>
    <row r="273" spans="56:56" ht="15.5">
      <c r="BD273" s="1626"/>
    </row>
    <row r="274" spans="56:56" ht="15.5">
      <c r="BD274" s="1626"/>
    </row>
    <row r="275" spans="56:56" ht="15.5">
      <c r="BD275" s="1626"/>
    </row>
    <row r="276" spans="56:56" ht="15.5">
      <c r="BD276" s="1626"/>
    </row>
    <row r="277" spans="56:56" ht="15.5">
      <c r="BD277" s="1626"/>
    </row>
    <row r="278" spans="56:56" ht="15.5">
      <c r="BD278" s="1626"/>
    </row>
    <row r="279" spans="56:56" ht="15.5">
      <c r="BD279" s="1626"/>
    </row>
    <row r="280" spans="56:56" ht="15.5">
      <c r="BD280" s="1626"/>
    </row>
    <row r="281" spans="56:56" ht="15.5">
      <c r="BD281" s="1626"/>
    </row>
    <row r="282" spans="56:56" ht="15.5">
      <c r="BD282" s="1626"/>
    </row>
    <row r="283" spans="56:56" ht="15.5">
      <c r="BD283" s="1626"/>
    </row>
    <row r="285" spans="56:56" ht="15.5">
      <c r="BD285" s="1626"/>
    </row>
    <row r="286" spans="56:56" ht="15.5">
      <c r="BD286" s="1626"/>
    </row>
    <row r="287" spans="56:56" ht="15.5">
      <c r="BD287" s="1626"/>
    </row>
    <row r="289" spans="56:56" ht="15.5">
      <c r="BD289" s="1626"/>
    </row>
    <row r="290" spans="56:56" ht="15.5">
      <c r="BD290" s="1626"/>
    </row>
    <row r="292" spans="56:56" ht="15.5">
      <c r="BD292" s="1626"/>
    </row>
    <row r="293" spans="56:56" ht="15.5">
      <c r="BD293" s="1626"/>
    </row>
    <row r="295" spans="56:56" ht="15.5">
      <c r="BD295" s="1626"/>
    </row>
    <row r="296" spans="56:56" ht="15.5">
      <c r="BD296" s="1626"/>
    </row>
    <row r="298" spans="56:56" ht="15.5">
      <c r="BD298" s="1626"/>
    </row>
    <row r="299" spans="56:56" ht="15.5">
      <c r="BD299" s="1626"/>
    </row>
    <row r="300" spans="56:56" ht="15.5">
      <c r="BD300" s="1626"/>
    </row>
    <row r="302" spans="56:56" ht="15.5">
      <c r="BD302" s="1626"/>
    </row>
    <row r="303" spans="56:56" ht="15.5">
      <c r="BD303" s="1626"/>
    </row>
    <row r="305" spans="56:56" ht="15.5">
      <c r="BD305" s="1626"/>
    </row>
    <row r="306" spans="56:56" ht="15.5">
      <c r="BD306" s="1626"/>
    </row>
    <row r="308" spans="56:56" ht="15.5">
      <c r="BD308" s="1626"/>
    </row>
    <row r="309" spans="56:56" ht="15.5">
      <c r="BD309" s="1626"/>
    </row>
    <row r="311" spans="56:56" ht="15.5">
      <c r="BD311" s="1626"/>
    </row>
    <row r="312" spans="56:56" ht="15.5">
      <c r="BD312" s="1626"/>
    </row>
    <row r="313" spans="56:56" ht="15.5">
      <c r="BD313" s="1626"/>
    </row>
    <row r="315" spans="56:56" ht="15.5">
      <c r="BD315" s="1626"/>
    </row>
    <row r="316" spans="56:56" ht="15.5">
      <c r="BD316" s="1626"/>
    </row>
    <row r="318" spans="56:56" ht="15.5">
      <c r="BD318" s="1626"/>
    </row>
    <row r="320" spans="56:56" ht="15.5">
      <c r="BD320" s="1626"/>
    </row>
    <row r="321" spans="56:56" ht="15.5">
      <c r="BD321" s="1626"/>
    </row>
    <row r="323" spans="56:56" ht="15.5">
      <c r="BD323" s="1626"/>
    </row>
    <row r="324" spans="56:56" ht="15.5">
      <c r="BD324" s="1626"/>
    </row>
    <row r="326" spans="56:56" ht="15.5">
      <c r="BD326" s="1626"/>
    </row>
    <row r="328" spans="56:56" ht="15.5">
      <c r="BD328" s="1626"/>
    </row>
    <row r="330" spans="56:56" ht="15.5">
      <c r="BD330" s="1626"/>
    </row>
    <row r="331" spans="56:56" ht="15.5">
      <c r="BD331" s="1626"/>
    </row>
    <row r="332" spans="56:56" ht="15.5">
      <c r="BD332" s="1626"/>
    </row>
    <row r="334" spans="56:56" ht="15.5">
      <c r="BD334" s="1626"/>
    </row>
    <row r="336" spans="56:56" ht="15.5">
      <c r="BD336" s="1626"/>
    </row>
    <row r="337" spans="56:56" ht="15.5">
      <c r="BD337" s="1626"/>
    </row>
    <row r="338" spans="56:56" ht="15.5">
      <c r="BD338" s="1626"/>
    </row>
    <row r="340" spans="56:56" ht="15.5">
      <c r="BD340" s="1626"/>
    </row>
    <row r="341" spans="56:56" ht="15.5">
      <c r="BD341" s="1626"/>
    </row>
    <row r="342" spans="56:56" ht="15.5">
      <c r="BD342" s="1626"/>
    </row>
    <row r="344" spans="56:56" ht="15.5">
      <c r="BD344" s="1626"/>
    </row>
    <row r="345" spans="56:56" ht="15.5">
      <c r="BD345" s="1626"/>
    </row>
    <row r="346" spans="56:56" ht="15.5">
      <c r="BD346" s="1626"/>
    </row>
    <row r="348" spans="56:56" ht="15.5">
      <c r="BD348" s="1626"/>
    </row>
    <row r="349" spans="56:56" ht="15.5">
      <c r="BD349" s="1626"/>
    </row>
    <row r="350" spans="56:56" ht="15.5">
      <c r="BD350" s="1626"/>
    </row>
    <row r="351" spans="56:56" ht="15.5">
      <c r="BD351" s="1626"/>
    </row>
    <row r="353" spans="56:56" ht="15.5">
      <c r="BD353" s="1626"/>
    </row>
    <row r="354" spans="56:56" ht="15.5">
      <c r="BD354" s="1626"/>
    </row>
    <row r="356" spans="56:56" ht="15.5">
      <c r="BD356" s="1626"/>
    </row>
    <row r="357" spans="56:56" ht="15.5">
      <c r="BD357" s="1626"/>
    </row>
    <row r="359" spans="56:56" ht="15.5">
      <c r="BD359" s="1626"/>
    </row>
    <row r="360" spans="56:56" ht="15.5">
      <c r="BD360" s="1626"/>
    </row>
    <row r="362" spans="56:56" ht="15.5">
      <c r="BD362" s="1626"/>
    </row>
    <row r="363" spans="56:56" ht="15.5">
      <c r="BD363" s="1626"/>
    </row>
    <row r="365" spans="56:56" ht="15.5">
      <c r="BD365" s="1626"/>
    </row>
    <row r="366" spans="56:56" ht="15.5">
      <c r="BD366" s="1626"/>
    </row>
    <row r="367" spans="56:56" ht="15.5">
      <c r="BD367" s="1626"/>
    </row>
    <row r="368" spans="56:56" ht="15.5">
      <c r="BD368" s="1626"/>
    </row>
    <row r="369" spans="56:56" ht="15.5">
      <c r="BD369" s="1626"/>
    </row>
    <row r="371" spans="56:56" ht="15.5">
      <c r="BD371" s="1626"/>
    </row>
    <row r="372" spans="56:56" ht="15.5">
      <c r="BD372" s="1626"/>
    </row>
    <row r="373" spans="56:56" ht="15.5">
      <c r="BD373" s="1626"/>
    </row>
    <row r="375" spans="56:56" ht="15.5">
      <c r="BD375" s="1626"/>
    </row>
    <row r="376" spans="56:56" ht="15.5">
      <c r="BD376" s="1626"/>
    </row>
    <row r="377" spans="56:56" ht="15.5">
      <c r="BD377" s="1626"/>
    </row>
    <row r="378" spans="56:56" ht="15.5">
      <c r="BD378" s="1626"/>
    </row>
    <row r="382" spans="56:56" ht="15.5">
      <c r="BD382" s="1626"/>
    </row>
    <row r="383" spans="56:56" ht="15.5">
      <c r="BD383" s="1626"/>
    </row>
    <row r="384" spans="56:56" ht="15.5">
      <c r="BD384" s="1626"/>
    </row>
    <row r="385" spans="56:56" ht="15.5">
      <c r="BD385" s="1626"/>
    </row>
    <row r="386" spans="56:56" ht="15.5">
      <c r="BD386" s="1626"/>
    </row>
    <row r="387" spans="56:56" ht="15.5">
      <c r="BD387" s="1626"/>
    </row>
    <row r="388" spans="56:56" ht="15.5">
      <c r="BD388" s="1626"/>
    </row>
    <row r="390" spans="56:56" ht="15.5">
      <c r="BD390" s="1626"/>
    </row>
    <row r="391" spans="56:56" ht="15.5">
      <c r="BD391" s="1626"/>
    </row>
    <row r="392" spans="56:56" ht="15.5">
      <c r="BD392" s="1626"/>
    </row>
    <row r="393" spans="56:56" ht="15.5">
      <c r="BD393" s="1626"/>
    </row>
    <row r="394" spans="56:56" ht="15.5">
      <c r="BD394" s="1626"/>
    </row>
    <row r="395" spans="56:56" ht="15.5">
      <c r="BD395" s="1626"/>
    </row>
    <row r="396" spans="56:56" ht="15.5">
      <c r="BD396" s="1626"/>
    </row>
    <row r="397" spans="56:56" ht="15.5">
      <c r="BD397" s="1626"/>
    </row>
    <row r="398" spans="56:56" ht="15.5">
      <c r="BD398" s="1626"/>
    </row>
    <row r="399" spans="56:56" ht="15.5">
      <c r="BD399" s="1626"/>
    </row>
    <row r="402" spans="56:56" ht="15.5">
      <c r="BD402" s="1626"/>
    </row>
    <row r="403" spans="56:56" ht="15.5">
      <c r="BD403" s="1626"/>
    </row>
    <row r="404" spans="56:56" ht="15.5">
      <c r="BD404" s="1626"/>
    </row>
    <row r="405" spans="56:56" ht="15.5">
      <c r="BD405" s="1626"/>
    </row>
    <row r="406" spans="56:56" ht="15.5">
      <c r="BD406" s="1626"/>
    </row>
    <row r="407" spans="56:56" ht="15.5">
      <c r="BD407" s="1626"/>
    </row>
    <row r="408" spans="56:56" ht="15.5">
      <c r="BD408" s="1626"/>
    </row>
    <row r="409" spans="56:56" ht="15.5">
      <c r="BD409" s="1626"/>
    </row>
    <row r="410" spans="56:56" ht="15.5">
      <c r="BD410" s="1626"/>
    </row>
    <row r="411" spans="56:56" ht="15.5">
      <c r="BD411" s="1626"/>
    </row>
    <row r="412" spans="56:56" ht="15.5">
      <c r="BD412" s="1626"/>
    </row>
    <row r="413" spans="56:56" ht="15.5">
      <c r="BD413" s="1626"/>
    </row>
    <row r="414" spans="56:56" ht="15.5">
      <c r="BD414" s="1626"/>
    </row>
    <row r="415" spans="56:56" ht="15.5">
      <c r="BD415" s="1626"/>
    </row>
    <row r="416" spans="56:56" ht="15.5">
      <c r="BD416" s="1626"/>
    </row>
    <row r="417" spans="56:56" ht="15.5">
      <c r="BD417" s="1626"/>
    </row>
    <row r="418" spans="56:56" ht="15.5">
      <c r="BD418" s="1626"/>
    </row>
    <row r="419" spans="56:56" ht="15.5">
      <c r="BD419" s="1626"/>
    </row>
    <row r="420" spans="56:56" ht="15.5">
      <c r="BD420" s="1626"/>
    </row>
    <row r="421" spans="56:56" ht="15.5">
      <c r="BD421" s="1626"/>
    </row>
    <row r="422" spans="56:56" ht="15.5">
      <c r="BD422" s="1627"/>
    </row>
  </sheetData>
  <autoFilter ref="A6:BK101" xr:uid="{00000000-0009-0000-0000-000013000000}"/>
  <mergeCells count="31">
    <mergeCell ref="BC125:BC129"/>
    <mergeCell ref="BC140:BC145"/>
    <mergeCell ref="BC158:BC160"/>
    <mergeCell ref="BC173:BC177"/>
    <mergeCell ref="BC179:BC189"/>
    <mergeCell ref="L4:L6"/>
    <mergeCell ref="A4:A6"/>
    <mergeCell ref="B4:B6"/>
    <mergeCell ref="C4:C6"/>
    <mergeCell ref="D4:D6"/>
    <mergeCell ref="E4:E6"/>
    <mergeCell ref="F4:F6"/>
    <mergeCell ref="G4:G6"/>
    <mergeCell ref="H4:H6"/>
    <mergeCell ref="I4:I6"/>
    <mergeCell ref="J4:J6"/>
    <mergeCell ref="K4:K6"/>
    <mergeCell ref="M4:M6"/>
    <mergeCell ref="N4:N6"/>
    <mergeCell ref="O4:O6"/>
    <mergeCell ref="P4:W4"/>
    <mergeCell ref="AC4:AI4"/>
    <mergeCell ref="BB4:BB6"/>
    <mergeCell ref="BC4:BC6"/>
    <mergeCell ref="BD4:BD6"/>
    <mergeCell ref="P5:P6"/>
    <mergeCell ref="T5:T6"/>
    <mergeCell ref="AC5:AC6"/>
    <mergeCell ref="AO5:AO6"/>
    <mergeCell ref="AS5:AS6"/>
    <mergeCell ref="AO4:AV4"/>
  </mergeCells>
  <conditionalFormatting sqref="D10:D61">
    <cfRule type="containsText" dxfId="132" priority="50" operator="containsText" text="DPR not submitted">
      <formula>NOT(ISERROR(SEARCH("DPR not submitted",D10)))</formula>
    </cfRule>
    <cfRule type="containsText" dxfId="131" priority="51" operator="containsText" text="Yet to be approved">
      <formula>NOT(ISERROR(SEARCH("Yet to be approved",D10)))</formula>
    </cfRule>
  </conditionalFormatting>
  <conditionalFormatting sqref="D63">
    <cfRule type="containsText" dxfId="130" priority="54" operator="containsText" text="DPR not submitted">
      <formula>NOT(ISERROR(SEARCH("DPR not submitted",D63)))</formula>
    </cfRule>
    <cfRule type="containsText" dxfId="129" priority="55" operator="containsText" text="Yet to be approved">
      <formula>NOT(ISERROR(SEARCH("Yet to be approved",D63)))</formula>
    </cfRule>
  </conditionalFormatting>
  <conditionalFormatting sqref="D65">
    <cfRule type="containsText" dxfId="128" priority="58" operator="containsText" text="DPR not submitted">
      <formula>NOT(ISERROR(SEARCH("DPR not submitted",D65)))</formula>
    </cfRule>
    <cfRule type="containsText" dxfId="127" priority="59" operator="containsText" text="Yet to be approved">
      <formula>NOT(ISERROR(SEARCH("Yet to be approved",D65)))</formula>
    </cfRule>
  </conditionalFormatting>
  <conditionalFormatting sqref="D67">
    <cfRule type="containsText" dxfId="126" priority="56" operator="containsText" text="DPR not submitted">
      <formula>NOT(ISERROR(SEARCH("DPR not submitted",D67)))</formula>
    </cfRule>
    <cfRule type="containsText" dxfId="125" priority="57" operator="containsText" text="Yet to be approved">
      <formula>NOT(ISERROR(SEARCH("Yet to be approved",D67)))</formula>
    </cfRule>
  </conditionalFormatting>
  <conditionalFormatting sqref="D69:D70">
    <cfRule type="containsText" dxfId="124" priority="52" operator="containsText" text="DPR not submitted">
      <formula>NOT(ISERROR(SEARCH("DPR not submitted",D69)))</formula>
    </cfRule>
    <cfRule type="containsText" dxfId="123" priority="53" operator="containsText" text="Yet to be approved">
      <formula>NOT(ISERROR(SEARCH("Yet to be approved",D69)))</formula>
    </cfRule>
  </conditionalFormatting>
  <conditionalFormatting sqref="D72:D101">
    <cfRule type="containsText" dxfId="122" priority="48" operator="containsText" text="DPR not submitted">
      <formula>NOT(ISERROR(SEARCH("DPR not submitted",D72)))</formula>
    </cfRule>
    <cfRule type="containsText" dxfId="121" priority="49" operator="containsText" text="Yet to be approved">
      <formula>NOT(ISERROR(SEARCH("Yet to be approved",D72)))</formula>
    </cfRule>
  </conditionalFormatting>
  <conditionalFormatting sqref="D103:E104">
    <cfRule type="containsText" dxfId="120" priority="60" operator="containsText" text="DPR not submitted">
      <formula>NOT(ISERROR(SEARCH("DPR not submitted",D103)))</formula>
    </cfRule>
    <cfRule type="containsText" dxfId="119" priority="61" operator="containsText" text="Yet to be approved">
      <formula>NOT(ISERROR(SEARCH("Yet to be approved",D103)))</formula>
    </cfRule>
  </conditionalFormatting>
  <conditionalFormatting sqref="BD1:BD77">
    <cfRule type="cellIs" dxfId="118" priority="36" operator="equal">
      <formula>$BF$7</formula>
    </cfRule>
    <cfRule type="cellIs" dxfId="117" priority="37" operator="equal">
      <formula>$BF$6</formula>
    </cfRule>
    <cfRule type="cellIs" dxfId="116" priority="38" operator="equal">
      <formula>$BF$5</formula>
    </cfRule>
    <cfRule type="cellIs" dxfId="115" priority="39" operator="equal">
      <formula>$BF$4</formula>
    </cfRule>
    <cfRule type="cellIs" dxfId="114" priority="40" operator="equal">
      <formula>$BF$3</formula>
    </cfRule>
    <cfRule type="cellIs" dxfId="113" priority="41" operator="equal">
      <formula>$BF$2</formula>
    </cfRule>
    <cfRule type="cellIs" dxfId="112" priority="42" operator="equal">
      <formula>$BF$1</formula>
    </cfRule>
  </conditionalFormatting>
  <conditionalFormatting sqref="BD78 BD81 BD84 BD91:BD92 BD98">
    <cfRule type="cellIs" dxfId="111" priority="43" operator="equal">
      <formula>#REF!</formula>
    </cfRule>
    <cfRule type="cellIs" dxfId="110" priority="44" operator="equal">
      <formula>#REF!</formula>
    </cfRule>
    <cfRule type="cellIs" dxfId="109" priority="45" operator="equal">
      <formula>#REF!</formula>
    </cfRule>
    <cfRule type="cellIs" dxfId="108" priority="46" operator="equal">
      <formula>#REF!</formula>
    </cfRule>
    <cfRule type="cellIs" dxfId="107" priority="47" operator="equal">
      <formula>#REF!</formula>
    </cfRule>
  </conditionalFormatting>
  <conditionalFormatting sqref="BD79:BD80">
    <cfRule type="cellIs" dxfId="106" priority="29" operator="equal">
      <formula>$BF$7</formula>
    </cfRule>
    <cfRule type="cellIs" dxfId="105" priority="30" operator="equal">
      <formula>$BF$6</formula>
    </cfRule>
    <cfRule type="cellIs" dxfId="104" priority="31" operator="equal">
      <formula>$BF$5</formula>
    </cfRule>
    <cfRule type="cellIs" dxfId="103" priority="32" operator="equal">
      <formula>$BF$4</formula>
    </cfRule>
    <cfRule type="cellIs" dxfId="102" priority="33" operator="equal">
      <formula>$BF$3</formula>
    </cfRule>
    <cfRule type="cellIs" dxfId="101" priority="34" operator="equal">
      <formula>$BF$2</formula>
    </cfRule>
    <cfRule type="cellIs" dxfId="100" priority="35" operator="equal">
      <formula>$BF$1</formula>
    </cfRule>
  </conditionalFormatting>
  <conditionalFormatting sqref="BD82:BD83">
    <cfRule type="cellIs" dxfId="99" priority="22" operator="equal">
      <formula>$BF$7</formula>
    </cfRule>
    <cfRule type="cellIs" dxfId="98" priority="23" operator="equal">
      <formula>$BF$6</formula>
    </cfRule>
    <cfRule type="cellIs" dxfId="97" priority="24" operator="equal">
      <formula>$BF$5</formula>
    </cfRule>
    <cfRule type="cellIs" dxfId="96" priority="25" operator="equal">
      <formula>$BF$4</formula>
    </cfRule>
    <cfRule type="cellIs" dxfId="95" priority="26" operator="equal">
      <formula>$BF$3</formula>
    </cfRule>
    <cfRule type="cellIs" dxfId="94" priority="27" operator="equal">
      <formula>$BF$2</formula>
    </cfRule>
    <cfRule type="cellIs" dxfId="93" priority="28" operator="equal">
      <formula>$BF$1</formula>
    </cfRule>
  </conditionalFormatting>
  <conditionalFormatting sqref="BD85:BD90">
    <cfRule type="cellIs" dxfId="92" priority="15" operator="equal">
      <formula>$BF$7</formula>
    </cfRule>
    <cfRule type="cellIs" dxfId="91" priority="16" operator="equal">
      <formula>$BF$6</formula>
    </cfRule>
    <cfRule type="cellIs" dxfId="90" priority="17" operator="equal">
      <formula>$BF$5</formula>
    </cfRule>
    <cfRule type="cellIs" dxfId="89" priority="18" operator="equal">
      <formula>$BF$4</formula>
    </cfRule>
    <cfRule type="cellIs" dxfId="88" priority="19" operator="equal">
      <formula>$BF$3</formula>
    </cfRule>
    <cfRule type="cellIs" dxfId="87" priority="20" operator="equal">
      <formula>$BF$2</formula>
    </cfRule>
    <cfRule type="cellIs" dxfId="86" priority="21" operator="equal">
      <formula>$BF$1</formula>
    </cfRule>
  </conditionalFormatting>
  <conditionalFormatting sqref="BD93:BD97">
    <cfRule type="cellIs" dxfId="85" priority="8" operator="equal">
      <formula>$BF$7</formula>
    </cfRule>
    <cfRule type="cellIs" dxfId="84" priority="9" operator="equal">
      <formula>$BF$6</formula>
    </cfRule>
    <cfRule type="cellIs" dxfId="83" priority="10" operator="equal">
      <formula>$BF$5</formula>
    </cfRule>
    <cfRule type="cellIs" dxfId="82" priority="11" operator="equal">
      <formula>$BF$4</formula>
    </cfRule>
    <cfRule type="cellIs" dxfId="81" priority="12" operator="equal">
      <formula>$BF$3</formula>
    </cfRule>
    <cfRule type="cellIs" dxfId="80" priority="13" operator="equal">
      <formula>$BF$2</formula>
    </cfRule>
    <cfRule type="cellIs" dxfId="79" priority="14" operator="equal">
      <formula>$BF$1</formula>
    </cfRule>
  </conditionalFormatting>
  <conditionalFormatting sqref="BD99:BD1048576">
    <cfRule type="cellIs" dxfId="78" priority="1" operator="equal">
      <formula>$BF$7</formula>
    </cfRule>
    <cfRule type="cellIs" dxfId="77" priority="2" operator="equal">
      <formula>$BF$6</formula>
    </cfRule>
    <cfRule type="cellIs" dxfId="76" priority="3" operator="equal">
      <formula>$BF$5</formula>
    </cfRule>
    <cfRule type="cellIs" dxfId="75" priority="4" operator="equal">
      <formula>$BF$4</formula>
    </cfRule>
    <cfRule type="cellIs" dxfId="74" priority="5" operator="equal">
      <formula>$BF$3</formula>
    </cfRule>
    <cfRule type="cellIs" dxfId="73" priority="6" operator="equal">
      <formula>$BF$2</formula>
    </cfRule>
    <cfRule type="cellIs" dxfId="72" priority="7" operator="equal">
      <formula>$BF$1</formula>
    </cfRule>
  </conditionalFormatting>
  <dataValidations count="5">
    <dataValidation type="list" allowBlank="1" showInputMessage="1" showErrorMessage="1" sqref="C103:C104" xr:uid="{A57D06F4-5B37-47A2-87F4-80E4BB7B2657}">
      <formula1>$BF$1:$BF$4</formula1>
    </dataValidation>
    <dataValidation type="list" allowBlank="1" showInputMessage="1" showErrorMessage="1" sqref="C191:C196 C131:C147 C149:C189 C108:C129 C198:C201" xr:uid="{F2A6B720-1165-46E2-86CA-997FB972D500}">
      <formula1>$AB$5:$AB$7</formula1>
    </dataValidation>
    <dataValidation type="list" allowBlank="1" showInputMessage="1" showErrorMessage="1" sqref="C10:C77 C202:C1048576 C105 C102" xr:uid="{ED767A91-3EB4-419A-9C02-BA76FC21EF06}">
      <formula1>$BE$1:$BE$4</formula1>
    </dataValidation>
    <dataValidation type="list" allowBlank="1" showInputMessage="1" showErrorMessage="1" sqref="BD99:BD1048576 BD1:BD77 BD93:BD97 BD82:BD83 BD79:BD80 BD85:BD90" xr:uid="{E8215619-F105-4914-A9A0-230D9D9CC836}">
      <formula1>$BF$1:$BF$8</formula1>
    </dataValidation>
    <dataValidation type="list" allowBlank="1" showInputMessage="1" showErrorMessage="1" sqref="C78:C101 BD78 BD81 BD84 BD91:BD92 BD98 C1:C9 C106:C107 C130 C148 C190 C197" xr:uid="{31C8293A-3F0D-4D07-B9B6-E1F2D4D23F9B}">
      <formula1>#REF!</formula1>
    </dataValidation>
  </dataValidations>
  <pageMargins left="0.39370078740157483" right="0.39370078740157483" top="0.39370078740157483" bottom="0.39370078740157483" header="0.19685039370078741" footer="0.23622047244094491"/>
  <pageSetup paperSize="9" scale="62" fitToWidth="4" fitToHeight="20" pageOrder="overThenDown" orientation="landscape" blackAndWhite="1" r:id="rId1"/>
  <headerFooter alignWithMargins="0">
    <oddHeader>&amp;F</oddHeader>
  </headerFooter>
  <colBreaks count="1" manualBreakCount="1">
    <brk id="28" max="196"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45"/>
  <sheetViews>
    <sheetView showGridLines="0" view="pageBreakPreview" zoomScale="70" zoomScaleNormal="80" zoomScaleSheetLayoutView="70" workbookViewId="0">
      <pane ySplit="6" topLeftCell="A7" activePane="bottomLeft" state="frozen"/>
      <selection activeCell="N10" sqref="N10"/>
      <selection pane="bottomLeft" activeCell="B4" sqref="A1:XFD1048576"/>
    </sheetView>
  </sheetViews>
  <sheetFormatPr defaultColWidth="9.1796875" defaultRowHeight="14" outlineLevelRow="1"/>
  <cols>
    <col min="1" max="1" width="8.26953125" style="96" customWidth="1"/>
    <col min="2" max="2" width="77.453125" style="494" customWidth="1"/>
    <col min="3" max="3" width="36.7265625" style="575" customWidth="1"/>
    <col min="4" max="4" width="12.7265625" style="1382" customWidth="1"/>
    <col min="5" max="5" width="13.1796875" style="325" customWidth="1"/>
    <col min="6" max="6" width="17.81640625" style="325" customWidth="1"/>
    <col min="7" max="7" width="16.7265625" style="325" customWidth="1"/>
    <col min="8" max="8" width="11.7265625" style="325" customWidth="1"/>
    <col min="9" max="13" width="17" style="325" customWidth="1"/>
    <col min="14" max="14" width="11.81640625" style="325" customWidth="1"/>
    <col min="15" max="15" width="17.26953125" style="96" customWidth="1"/>
    <col min="16" max="16" width="16.26953125" style="96" customWidth="1"/>
    <col min="17" max="16384" width="9.1796875" style="96"/>
  </cols>
  <sheetData>
    <row r="1" spans="1:16">
      <c r="B1" s="226"/>
      <c r="C1" s="573"/>
      <c r="D1" s="1375"/>
      <c r="E1" s="1422"/>
      <c r="F1" s="1422"/>
      <c r="G1" s="564" t="s">
        <v>1819</v>
      </c>
      <c r="H1" s="1422"/>
      <c r="I1" s="1422"/>
      <c r="J1" s="1422"/>
      <c r="K1" s="1422"/>
      <c r="L1" s="1423"/>
      <c r="M1" s="1423"/>
      <c r="N1" s="1423"/>
    </row>
    <row r="2" spans="1:16">
      <c r="B2" s="884"/>
      <c r="C2" s="1664"/>
      <c r="D2" s="1424"/>
      <c r="E2" s="1425"/>
      <c r="F2" s="1425"/>
      <c r="G2" s="1426" t="s">
        <v>1820</v>
      </c>
      <c r="H2" s="1425"/>
      <c r="I2" s="1425"/>
      <c r="J2" s="1425"/>
      <c r="K2" s="1425"/>
      <c r="L2" s="1427"/>
      <c r="M2" s="1427"/>
      <c r="N2" s="1427"/>
    </row>
    <row r="3" spans="1:16" ht="17.5">
      <c r="B3" s="1428" t="s">
        <v>0</v>
      </c>
      <c r="C3" s="1429"/>
      <c r="D3" s="1430"/>
      <c r="E3" s="1431"/>
      <c r="F3" s="1431"/>
      <c r="G3" s="1432" t="s">
        <v>605</v>
      </c>
      <c r="H3" s="1431"/>
      <c r="I3" s="1431"/>
      <c r="J3" s="1431"/>
      <c r="K3" s="1431"/>
      <c r="L3" s="1432"/>
      <c r="M3" s="1433" t="s">
        <v>10</v>
      </c>
      <c r="N3" s="1432"/>
    </row>
    <row r="4" spans="1:16">
      <c r="A4" s="1719" t="s">
        <v>341</v>
      </c>
      <c r="B4" s="1719" t="s">
        <v>16</v>
      </c>
      <c r="C4" s="1719" t="s">
        <v>491</v>
      </c>
      <c r="D4" s="1830" t="s">
        <v>492</v>
      </c>
      <c r="E4" s="1821" t="s">
        <v>51</v>
      </c>
      <c r="F4" s="1821" t="s">
        <v>501</v>
      </c>
      <c r="G4" s="1821" t="s">
        <v>502</v>
      </c>
      <c r="H4" s="1821" t="s">
        <v>50</v>
      </c>
      <c r="I4" s="1821" t="s">
        <v>49</v>
      </c>
      <c r="J4" s="1821" t="s">
        <v>48</v>
      </c>
      <c r="K4" s="1821"/>
      <c r="L4" s="1821"/>
      <c r="M4" s="1821"/>
      <c r="N4" s="1821" t="s">
        <v>47</v>
      </c>
    </row>
    <row r="5" spans="1:16">
      <c r="A5" s="1719"/>
      <c r="B5" s="1719"/>
      <c r="C5" s="1719"/>
      <c r="D5" s="1830"/>
      <c r="E5" s="1821"/>
      <c r="F5" s="1821"/>
      <c r="G5" s="1821"/>
      <c r="H5" s="1821"/>
      <c r="I5" s="1821"/>
      <c r="J5" s="1821"/>
      <c r="K5" s="1821"/>
      <c r="L5" s="1821"/>
      <c r="M5" s="1821"/>
      <c r="N5" s="1821"/>
    </row>
    <row r="6" spans="1:16" ht="36.75" customHeight="1">
      <c r="A6" s="1719"/>
      <c r="B6" s="1719"/>
      <c r="C6" s="1719"/>
      <c r="D6" s="1830"/>
      <c r="E6" s="1821"/>
      <c r="F6" s="1821"/>
      <c r="G6" s="1821"/>
      <c r="H6" s="1821"/>
      <c r="I6" s="1821"/>
      <c r="J6" s="1662" t="s">
        <v>46</v>
      </c>
      <c r="K6" s="1662" t="s">
        <v>45</v>
      </c>
      <c r="L6" s="1662" t="s">
        <v>44</v>
      </c>
      <c r="M6" s="1662" t="s">
        <v>43</v>
      </c>
      <c r="N6" s="1821"/>
      <c r="O6" s="1376" t="s">
        <v>1804</v>
      </c>
      <c r="P6" s="1376" t="s">
        <v>1805</v>
      </c>
    </row>
    <row r="7" spans="1:16" ht="14.5">
      <c r="A7" s="1434"/>
      <c r="B7" s="574" t="s">
        <v>509</v>
      </c>
      <c r="C7" s="1435"/>
      <c r="D7" s="1436"/>
      <c r="E7" s="318"/>
      <c r="F7" s="318"/>
      <c r="G7" s="318"/>
      <c r="H7" s="318"/>
      <c r="I7" s="318"/>
      <c r="J7" s="318"/>
      <c r="K7" s="318"/>
      <c r="L7" s="318"/>
      <c r="M7" s="318"/>
      <c r="N7" s="318"/>
      <c r="O7" s="1287"/>
      <c r="P7" s="1287"/>
    </row>
    <row r="8" spans="1:16" ht="14.5" outlineLevel="1">
      <c r="A8" s="131"/>
      <c r="B8" s="1288" t="s">
        <v>23</v>
      </c>
      <c r="C8" s="1435"/>
      <c r="D8" s="1436"/>
      <c r="E8" s="318"/>
      <c r="F8" s="318"/>
      <c r="G8" s="318"/>
      <c r="H8" s="318"/>
      <c r="I8" s="318"/>
      <c r="J8" s="318"/>
      <c r="K8" s="318"/>
      <c r="L8" s="318"/>
      <c r="M8" s="318"/>
      <c r="N8" s="318"/>
      <c r="O8" s="1287"/>
      <c r="P8" s="1287"/>
    </row>
    <row r="9" spans="1:16" ht="14.5" outlineLevel="1">
      <c r="A9" s="131"/>
      <c r="B9" s="1437" t="s">
        <v>1499</v>
      </c>
      <c r="C9" s="1438"/>
      <c r="D9" s="1439"/>
      <c r="E9" s="318"/>
      <c r="F9" s="318"/>
      <c r="G9" s="318"/>
      <c r="H9" s="318"/>
      <c r="I9" s="318"/>
      <c r="J9" s="318"/>
      <c r="K9" s="318"/>
      <c r="L9" s="318"/>
      <c r="M9" s="318"/>
      <c r="N9" s="318"/>
      <c r="O9" s="1287"/>
      <c r="P9" s="1287"/>
    </row>
    <row r="10" spans="1:16" ht="31" outlineLevel="1">
      <c r="A10" s="1440">
        <v>7</v>
      </c>
      <c r="B10" s="1441" t="s">
        <v>1500</v>
      </c>
      <c r="C10" s="1442" t="s">
        <v>1501</v>
      </c>
      <c r="D10" s="1443">
        <v>42514</v>
      </c>
      <c r="E10" s="1444">
        <v>24</v>
      </c>
      <c r="F10" s="1444">
        <v>0</v>
      </c>
      <c r="G10" s="1444">
        <v>0</v>
      </c>
      <c r="H10" s="1444">
        <f>F10-G10</f>
        <v>0</v>
      </c>
      <c r="I10" s="1444">
        <v>0</v>
      </c>
      <c r="J10" s="1444">
        <v>0</v>
      </c>
      <c r="K10" s="1444"/>
      <c r="L10" s="1444"/>
      <c r="M10" s="1444">
        <f>SUM(J10:L10)</f>
        <v>0</v>
      </c>
      <c r="N10" s="1444">
        <f>H10+I10-M10</f>
        <v>0</v>
      </c>
      <c r="O10" s="1445">
        <f t="shared" ref="O10:O73" si="0">MAX(0,IF(M10=0,0,IF(G10+M10&lt;E10,M10,E10-G10)))</f>
        <v>0</v>
      </c>
      <c r="P10" s="1377">
        <f t="shared" ref="P10:P73" si="1">M10-O10</f>
        <v>0</v>
      </c>
    </row>
    <row r="11" spans="1:16" ht="31" outlineLevel="1">
      <c r="A11" s="1446">
        <v>7.1</v>
      </c>
      <c r="B11" s="1447" t="s">
        <v>1500</v>
      </c>
      <c r="C11" s="1442" t="s">
        <v>1501</v>
      </c>
      <c r="D11" s="1443">
        <v>42514</v>
      </c>
      <c r="E11" s="1444">
        <v>22.73</v>
      </c>
      <c r="F11" s="1444">
        <v>19.106691754</v>
      </c>
      <c r="G11" s="1444">
        <v>19.106691754</v>
      </c>
      <c r="H11" s="1444">
        <f t="shared" ref="H11:H74" si="2">F11-G11</f>
        <v>0</v>
      </c>
      <c r="I11" s="1444">
        <v>0</v>
      </c>
      <c r="J11" s="1444">
        <v>0</v>
      </c>
      <c r="K11" s="1444"/>
      <c r="L11" s="1444"/>
      <c r="M11" s="1444">
        <f t="shared" ref="M11:M74" si="3">SUM(J11:L11)</f>
        <v>0</v>
      </c>
      <c r="N11" s="1444">
        <f t="shared" ref="N11:N74" si="4">H11+I11-M11</f>
        <v>0</v>
      </c>
      <c r="O11" s="1445">
        <f t="shared" si="0"/>
        <v>0</v>
      </c>
      <c r="P11" s="1377">
        <f t="shared" si="1"/>
        <v>0</v>
      </c>
    </row>
    <row r="12" spans="1:16" ht="15.5" outlineLevel="1">
      <c r="A12" s="1446">
        <v>0</v>
      </c>
      <c r="B12" s="1447" t="s">
        <v>415</v>
      </c>
      <c r="C12" s="1442" t="s">
        <v>1501</v>
      </c>
      <c r="D12" s="1443">
        <v>42514</v>
      </c>
      <c r="E12" s="1444">
        <v>1.27</v>
      </c>
      <c r="F12" s="1444">
        <v>0</v>
      </c>
      <c r="G12" s="1444">
        <v>0</v>
      </c>
      <c r="H12" s="1444">
        <f t="shared" si="2"/>
        <v>0</v>
      </c>
      <c r="I12" s="1444">
        <v>0</v>
      </c>
      <c r="J12" s="1444">
        <v>0</v>
      </c>
      <c r="K12" s="1444"/>
      <c r="L12" s="1444"/>
      <c r="M12" s="1444">
        <f t="shared" si="3"/>
        <v>0</v>
      </c>
      <c r="N12" s="1444">
        <f t="shared" si="4"/>
        <v>0</v>
      </c>
      <c r="O12" s="1445">
        <f t="shared" si="0"/>
        <v>0</v>
      </c>
      <c r="P12" s="1377">
        <f t="shared" si="1"/>
        <v>0</v>
      </c>
    </row>
    <row r="13" spans="1:16" ht="31" outlineLevel="1">
      <c r="A13" s="1440">
        <v>8</v>
      </c>
      <c r="B13" s="1441" t="s">
        <v>912</v>
      </c>
      <c r="C13" s="1442" t="s">
        <v>913</v>
      </c>
      <c r="D13" s="1443">
        <v>42768</v>
      </c>
      <c r="E13" s="1444">
        <v>9.9669421487603316</v>
      </c>
      <c r="F13" s="1444">
        <v>0</v>
      </c>
      <c r="G13" s="1444">
        <v>0</v>
      </c>
      <c r="H13" s="1444">
        <f t="shared" si="2"/>
        <v>0</v>
      </c>
      <c r="I13" s="1444">
        <v>0</v>
      </c>
      <c r="J13" s="1444">
        <v>0</v>
      </c>
      <c r="K13" s="1444"/>
      <c r="L13" s="1444"/>
      <c r="M13" s="1444">
        <f t="shared" si="3"/>
        <v>0</v>
      </c>
      <c r="N13" s="1444">
        <f t="shared" si="4"/>
        <v>0</v>
      </c>
      <c r="O13" s="1445">
        <f t="shared" si="0"/>
        <v>0</v>
      </c>
      <c r="P13" s="1377">
        <f t="shared" si="1"/>
        <v>0</v>
      </c>
    </row>
    <row r="14" spans="1:16" ht="15.5" outlineLevel="1">
      <c r="A14" s="1446">
        <v>8.1</v>
      </c>
      <c r="B14" s="1447" t="s">
        <v>914</v>
      </c>
      <c r="C14" s="1442" t="s">
        <v>913</v>
      </c>
      <c r="D14" s="1443">
        <v>42768</v>
      </c>
      <c r="E14" s="1444">
        <v>4.9504132231404956</v>
      </c>
      <c r="F14" s="1444">
        <v>4.8260800000000001</v>
      </c>
      <c r="G14" s="1444">
        <v>4.8260800000000001</v>
      </c>
      <c r="H14" s="1444">
        <f t="shared" si="2"/>
        <v>0</v>
      </c>
      <c r="I14" s="1444">
        <v>0</v>
      </c>
      <c r="J14" s="1444">
        <v>0</v>
      </c>
      <c r="K14" s="1444"/>
      <c r="L14" s="1444"/>
      <c r="M14" s="1444">
        <f t="shared" si="3"/>
        <v>0</v>
      </c>
      <c r="N14" s="1444">
        <f t="shared" si="4"/>
        <v>0</v>
      </c>
      <c r="O14" s="1445">
        <f t="shared" si="0"/>
        <v>0</v>
      </c>
      <c r="P14" s="1377">
        <f t="shared" si="1"/>
        <v>0</v>
      </c>
    </row>
    <row r="15" spans="1:16" ht="15.5" outlineLevel="1">
      <c r="A15" s="1446">
        <v>8.1999999999999993</v>
      </c>
      <c r="B15" s="1447" t="s">
        <v>916</v>
      </c>
      <c r="C15" s="1442" t="s">
        <v>913</v>
      </c>
      <c r="D15" s="1443">
        <v>42768</v>
      </c>
      <c r="E15" s="1444">
        <v>2.5619834710743801</v>
      </c>
      <c r="F15" s="1444">
        <v>3.4747105785123966</v>
      </c>
      <c r="G15" s="1444">
        <v>3.4747105785123966</v>
      </c>
      <c r="H15" s="1444">
        <f t="shared" si="2"/>
        <v>0</v>
      </c>
      <c r="I15" s="1444">
        <v>0</v>
      </c>
      <c r="J15" s="1444">
        <v>0</v>
      </c>
      <c r="K15" s="1444"/>
      <c r="L15" s="1444"/>
      <c r="M15" s="1444">
        <f t="shared" si="3"/>
        <v>0</v>
      </c>
      <c r="N15" s="1444">
        <f t="shared" si="4"/>
        <v>0</v>
      </c>
      <c r="O15" s="1445">
        <f t="shared" si="0"/>
        <v>0</v>
      </c>
      <c r="P15" s="1377">
        <f t="shared" si="1"/>
        <v>0</v>
      </c>
    </row>
    <row r="16" spans="1:16" ht="15.5" outlineLevel="1">
      <c r="A16" s="1446">
        <v>8.3000000000000007</v>
      </c>
      <c r="B16" s="1447" t="s">
        <v>918</v>
      </c>
      <c r="C16" s="1442" t="s">
        <v>913</v>
      </c>
      <c r="D16" s="1443">
        <v>42768</v>
      </c>
      <c r="E16" s="1444">
        <v>0.42975206611570249</v>
      </c>
      <c r="F16" s="1444">
        <v>0.38033057851239671</v>
      </c>
      <c r="G16" s="1444">
        <v>0.38033057851239671</v>
      </c>
      <c r="H16" s="1444">
        <f t="shared" si="2"/>
        <v>0</v>
      </c>
      <c r="I16" s="1444">
        <v>0</v>
      </c>
      <c r="J16" s="1444">
        <v>0</v>
      </c>
      <c r="K16" s="1444"/>
      <c r="L16" s="1444"/>
      <c r="M16" s="1444">
        <f t="shared" si="3"/>
        <v>0</v>
      </c>
      <c r="N16" s="1444">
        <f t="shared" si="4"/>
        <v>0</v>
      </c>
      <c r="O16" s="1445">
        <f t="shared" si="0"/>
        <v>0</v>
      </c>
      <c r="P16" s="1377">
        <f t="shared" si="1"/>
        <v>0</v>
      </c>
    </row>
    <row r="17" spans="1:16" ht="15.5" outlineLevel="1">
      <c r="A17" s="1446">
        <v>8.4</v>
      </c>
      <c r="B17" s="1447" t="s">
        <v>920</v>
      </c>
      <c r="C17" s="1442" t="s">
        <v>913</v>
      </c>
      <c r="D17" s="1443">
        <v>42768</v>
      </c>
      <c r="E17" s="1444">
        <v>0.79338842975206614</v>
      </c>
      <c r="F17" s="1444">
        <v>0</v>
      </c>
      <c r="G17" s="1444">
        <v>0</v>
      </c>
      <c r="H17" s="1444">
        <f t="shared" si="2"/>
        <v>0</v>
      </c>
      <c r="I17" s="1444">
        <v>0</v>
      </c>
      <c r="J17" s="1444">
        <v>0</v>
      </c>
      <c r="K17" s="1444"/>
      <c r="L17" s="1444"/>
      <c r="M17" s="1444">
        <f t="shared" si="3"/>
        <v>0</v>
      </c>
      <c r="N17" s="1444">
        <f t="shared" si="4"/>
        <v>0</v>
      </c>
      <c r="O17" s="1445">
        <f t="shared" si="0"/>
        <v>0</v>
      </c>
      <c r="P17" s="1377">
        <f t="shared" si="1"/>
        <v>0</v>
      </c>
    </row>
    <row r="18" spans="1:16" ht="15.5" outlineLevel="1">
      <c r="A18" s="1446">
        <v>8.5</v>
      </c>
      <c r="B18" s="1447" t="s">
        <v>921</v>
      </c>
      <c r="C18" s="1442" t="s">
        <v>913</v>
      </c>
      <c r="D18" s="1443">
        <v>42768</v>
      </c>
      <c r="E18" s="1444">
        <v>0.53719008264462809</v>
      </c>
      <c r="F18" s="1444">
        <v>0</v>
      </c>
      <c r="G18" s="1444">
        <v>0</v>
      </c>
      <c r="H18" s="1444">
        <f t="shared" si="2"/>
        <v>0</v>
      </c>
      <c r="I18" s="1444">
        <v>0</v>
      </c>
      <c r="J18" s="1444">
        <v>0</v>
      </c>
      <c r="K18" s="1444"/>
      <c r="L18" s="1444"/>
      <c r="M18" s="1444">
        <f t="shared" si="3"/>
        <v>0</v>
      </c>
      <c r="N18" s="1444">
        <f t="shared" si="4"/>
        <v>0</v>
      </c>
      <c r="O18" s="1445">
        <f t="shared" si="0"/>
        <v>0</v>
      </c>
      <c r="P18" s="1377">
        <f t="shared" si="1"/>
        <v>0</v>
      </c>
    </row>
    <row r="19" spans="1:16" ht="15.5" outlineLevel="1">
      <c r="A19" s="1446">
        <v>8.6</v>
      </c>
      <c r="B19" s="1447" t="s">
        <v>922</v>
      </c>
      <c r="C19" s="1442" t="s">
        <v>913</v>
      </c>
      <c r="D19" s="1443">
        <v>42768</v>
      </c>
      <c r="E19" s="1444">
        <v>0.33884297520661155</v>
      </c>
      <c r="F19" s="1444">
        <v>0</v>
      </c>
      <c r="G19" s="1444">
        <v>0</v>
      </c>
      <c r="H19" s="1444">
        <f t="shared" si="2"/>
        <v>0</v>
      </c>
      <c r="I19" s="1444">
        <v>0</v>
      </c>
      <c r="J19" s="1444">
        <v>0</v>
      </c>
      <c r="K19" s="1444"/>
      <c r="L19" s="1444"/>
      <c r="M19" s="1444">
        <f t="shared" si="3"/>
        <v>0</v>
      </c>
      <c r="N19" s="1444">
        <f t="shared" si="4"/>
        <v>0</v>
      </c>
      <c r="O19" s="1445">
        <f t="shared" si="0"/>
        <v>0</v>
      </c>
      <c r="P19" s="1377">
        <f t="shared" si="1"/>
        <v>0</v>
      </c>
    </row>
    <row r="20" spans="1:16" ht="15.5" outlineLevel="1">
      <c r="A20" s="1446">
        <v>0</v>
      </c>
      <c r="B20" s="1447" t="s">
        <v>415</v>
      </c>
      <c r="C20" s="1442" t="s">
        <v>913</v>
      </c>
      <c r="D20" s="1443">
        <v>42768</v>
      </c>
      <c r="E20" s="1444">
        <v>0.35537190082644626</v>
      </c>
      <c r="F20" s="1444">
        <v>0</v>
      </c>
      <c r="G20" s="1444">
        <v>0</v>
      </c>
      <c r="H20" s="1444">
        <f t="shared" si="2"/>
        <v>0</v>
      </c>
      <c r="I20" s="1444">
        <v>0</v>
      </c>
      <c r="J20" s="1444">
        <v>0</v>
      </c>
      <c r="K20" s="1444"/>
      <c r="L20" s="1444"/>
      <c r="M20" s="1444">
        <f t="shared" si="3"/>
        <v>0</v>
      </c>
      <c r="N20" s="1444">
        <f t="shared" si="4"/>
        <v>0</v>
      </c>
      <c r="O20" s="1445">
        <f t="shared" si="0"/>
        <v>0</v>
      </c>
      <c r="P20" s="1377">
        <f t="shared" si="1"/>
        <v>0</v>
      </c>
    </row>
    <row r="21" spans="1:16" ht="15.5" outlineLevel="1">
      <c r="A21" s="1440">
        <v>9</v>
      </c>
      <c r="B21" s="1441" t="s">
        <v>1510</v>
      </c>
      <c r="C21" s="1442" t="s">
        <v>1511</v>
      </c>
      <c r="D21" s="1443">
        <v>43006</v>
      </c>
      <c r="E21" s="1444">
        <v>64.22</v>
      </c>
      <c r="F21" s="1444">
        <v>0</v>
      </c>
      <c r="G21" s="1444">
        <v>0</v>
      </c>
      <c r="H21" s="1444">
        <f t="shared" si="2"/>
        <v>0</v>
      </c>
      <c r="I21" s="1444">
        <v>0</v>
      </c>
      <c r="J21" s="1444">
        <v>0</v>
      </c>
      <c r="K21" s="1444"/>
      <c r="L21" s="1444"/>
      <c r="M21" s="1444">
        <f t="shared" si="3"/>
        <v>0</v>
      </c>
      <c r="N21" s="1444">
        <f t="shared" si="4"/>
        <v>0</v>
      </c>
      <c r="O21" s="1445">
        <f t="shared" si="0"/>
        <v>0</v>
      </c>
      <c r="P21" s="1377">
        <f t="shared" si="1"/>
        <v>0</v>
      </c>
    </row>
    <row r="22" spans="1:16" ht="31" outlineLevel="1">
      <c r="A22" s="1446">
        <v>9.1</v>
      </c>
      <c r="B22" s="1447" t="s">
        <v>1510</v>
      </c>
      <c r="C22" s="1442" t="s">
        <v>1511</v>
      </c>
      <c r="D22" s="1443">
        <v>43006</v>
      </c>
      <c r="E22" s="1444">
        <v>64.22</v>
      </c>
      <c r="F22" s="1444">
        <v>64.498238246301369</v>
      </c>
      <c r="G22" s="1444">
        <v>64.498238246301369</v>
      </c>
      <c r="H22" s="1444">
        <f t="shared" si="2"/>
        <v>0</v>
      </c>
      <c r="I22" s="1444">
        <v>0</v>
      </c>
      <c r="J22" s="1444">
        <v>0</v>
      </c>
      <c r="K22" s="1444"/>
      <c r="L22" s="1444"/>
      <c r="M22" s="1444">
        <f t="shared" si="3"/>
        <v>0</v>
      </c>
      <c r="N22" s="1444">
        <f t="shared" si="4"/>
        <v>0</v>
      </c>
      <c r="O22" s="1445">
        <f t="shared" si="0"/>
        <v>0</v>
      </c>
      <c r="P22" s="1377">
        <f t="shared" si="1"/>
        <v>0</v>
      </c>
    </row>
    <row r="23" spans="1:16" ht="31" outlineLevel="1">
      <c r="A23" s="1440">
        <v>10</v>
      </c>
      <c r="B23" s="1441" t="s">
        <v>1514</v>
      </c>
      <c r="C23" s="1442" t="s">
        <v>1515</v>
      </c>
      <c r="D23" s="1443">
        <v>43067</v>
      </c>
      <c r="E23" s="1444">
        <v>17.439999999999998</v>
      </c>
      <c r="F23" s="1444">
        <v>0</v>
      </c>
      <c r="G23" s="1444">
        <v>0</v>
      </c>
      <c r="H23" s="1444">
        <f t="shared" si="2"/>
        <v>0</v>
      </c>
      <c r="I23" s="1444">
        <v>0</v>
      </c>
      <c r="J23" s="1444">
        <v>0</v>
      </c>
      <c r="K23" s="1444"/>
      <c r="L23" s="1444"/>
      <c r="M23" s="1444">
        <f t="shared" si="3"/>
        <v>0</v>
      </c>
      <c r="N23" s="1444">
        <f t="shared" si="4"/>
        <v>0</v>
      </c>
      <c r="O23" s="1445">
        <f t="shared" si="0"/>
        <v>0</v>
      </c>
      <c r="P23" s="1377">
        <f t="shared" si="1"/>
        <v>0</v>
      </c>
    </row>
    <row r="24" spans="1:16" ht="15.5" outlineLevel="1">
      <c r="A24" s="1446">
        <v>10.1</v>
      </c>
      <c r="B24" s="1447" t="s">
        <v>1516</v>
      </c>
      <c r="C24" s="1442" t="s">
        <v>1515</v>
      </c>
      <c r="D24" s="1443">
        <v>43067</v>
      </c>
      <c r="E24" s="1444">
        <v>11.5</v>
      </c>
      <c r="F24" s="1444">
        <v>0</v>
      </c>
      <c r="G24" s="1444">
        <v>0</v>
      </c>
      <c r="H24" s="1444">
        <f t="shared" si="2"/>
        <v>0</v>
      </c>
      <c r="I24" s="1444">
        <v>0</v>
      </c>
      <c r="J24" s="1444">
        <v>0</v>
      </c>
      <c r="K24" s="1444"/>
      <c r="L24" s="1444"/>
      <c r="M24" s="1444">
        <f t="shared" si="3"/>
        <v>0</v>
      </c>
      <c r="N24" s="1444">
        <f t="shared" si="4"/>
        <v>0</v>
      </c>
      <c r="O24" s="1445">
        <f t="shared" si="0"/>
        <v>0</v>
      </c>
      <c r="P24" s="1377">
        <f t="shared" si="1"/>
        <v>0</v>
      </c>
    </row>
    <row r="25" spans="1:16" ht="31" outlineLevel="1">
      <c r="A25" s="1446">
        <v>10.199999999999999</v>
      </c>
      <c r="B25" s="1447" t="s">
        <v>1517</v>
      </c>
      <c r="C25" s="1442" t="s">
        <v>1515</v>
      </c>
      <c r="D25" s="1443">
        <v>43067</v>
      </c>
      <c r="E25" s="1444">
        <v>0.6</v>
      </c>
      <c r="F25" s="1444">
        <v>0</v>
      </c>
      <c r="G25" s="1444">
        <v>0</v>
      </c>
      <c r="H25" s="1444">
        <f t="shared" si="2"/>
        <v>0</v>
      </c>
      <c r="I25" s="1444">
        <v>0</v>
      </c>
      <c r="J25" s="1444">
        <v>0</v>
      </c>
      <c r="K25" s="1444"/>
      <c r="L25" s="1444"/>
      <c r="M25" s="1444">
        <f t="shared" si="3"/>
        <v>0</v>
      </c>
      <c r="N25" s="1444">
        <f t="shared" si="4"/>
        <v>0</v>
      </c>
      <c r="O25" s="1445">
        <f t="shared" si="0"/>
        <v>0</v>
      </c>
      <c r="P25" s="1377">
        <f t="shared" si="1"/>
        <v>0</v>
      </c>
    </row>
    <row r="26" spans="1:16" ht="62" outlineLevel="1">
      <c r="A26" s="1446">
        <v>10.3</v>
      </c>
      <c r="B26" s="1447" t="s">
        <v>1518</v>
      </c>
      <c r="C26" s="1442" t="s">
        <v>1515</v>
      </c>
      <c r="D26" s="1443">
        <v>43067</v>
      </c>
      <c r="E26" s="1444">
        <v>4.24</v>
      </c>
      <c r="F26" s="1444">
        <v>4.6696428000000001</v>
      </c>
      <c r="G26" s="1444">
        <v>4.6696428000000001</v>
      </c>
      <c r="H26" s="1444">
        <f t="shared" si="2"/>
        <v>0</v>
      </c>
      <c r="I26" s="1444">
        <v>0</v>
      </c>
      <c r="J26" s="1444">
        <v>0</v>
      </c>
      <c r="K26" s="1444"/>
      <c r="L26" s="1444"/>
      <c r="M26" s="1444">
        <f t="shared" si="3"/>
        <v>0</v>
      </c>
      <c r="N26" s="1444">
        <f t="shared" si="4"/>
        <v>0</v>
      </c>
      <c r="O26" s="1445">
        <f t="shared" si="0"/>
        <v>0</v>
      </c>
      <c r="P26" s="1377">
        <f t="shared" si="1"/>
        <v>0</v>
      </c>
    </row>
    <row r="27" spans="1:16" ht="31" outlineLevel="1">
      <c r="A27" s="1446">
        <v>10.4</v>
      </c>
      <c r="B27" s="1447" t="s">
        <v>1521</v>
      </c>
      <c r="C27" s="1442" t="s">
        <v>1515</v>
      </c>
      <c r="D27" s="1443">
        <v>43067</v>
      </c>
      <c r="E27" s="1444">
        <v>0.95</v>
      </c>
      <c r="F27" s="1444">
        <v>0.92864275500000004</v>
      </c>
      <c r="G27" s="1444">
        <v>0.92864275500000004</v>
      </c>
      <c r="H27" s="1444">
        <f t="shared" si="2"/>
        <v>0</v>
      </c>
      <c r="I27" s="1444">
        <v>0</v>
      </c>
      <c r="J27" s="1444">
        <v>0</v>
      </c>
      <c r="K27" s="1444"/>
      <c r="L27" s="1444"/>
      <c r="M27" s="1444">
        <f t="shared" si="3"/>
        <v>0</v>
      </c>
      <c r="N27" s="1444">
        <f t="shared" si="4"/>
        <v>0</v>
      </c>
      <c r="O27" s="1445">
        <f t="shared" si="0"/>
        <v>0</v>
      </c>
      <c r="P27" s="1377">
        <f t="shared" si="1"/>
        <v>0</v>
      </c>
    </row>
    <row r="28" spans="1:16" ht="31" outlineLevel="1">
      <c r="A28" s="1446">
        <v>10.5</v>
      </c>
      <c r="B28" s="1447" t="s">
        <v>1524</v>
      </c>
      <c r="C28" s="1442" t="s">
        <v>1515</v>
      </c>
      <c r="D28" s="1443">
        <v>43067</v>
      </c>
      <c r="E28" s="1444">
        <v>0.15</v>
      </c>
      <c r="F28" s="1444">
        <v>0.157884</v>
      </c>
      <c r="G28" s="1444">
        <v>0.157884</v>
      </c>
      <c r="H28" s="1444">
        <f t="shared" si="2"/>
        <v>0</v>
      </c>
      <c r="I28" s="1444">
        <v>0</v>
      </c>
      <c r="J28" s="1444">
        <v>0</v>
      </c>
      <c r="K28" s="1444"/>
      <c r="L28" s="1444"/>
      <c r="M28" s="1444">
        <f t="shared" si="3"/>
        <v>0</v>
      </c>
      <c r="N28" s="1444">
        <f t="shared" si="4"/>
        <v>0</v>
      </c>
      <c r="O28" s="1445">
        <f t="shared" si="0"/>
        <v>0</v>
      </c>
      <c r="P28" s="1377">
        <f t="shared" si="1"/>
        <v>0</v>
      </c>
    </row>
    <row r="29" spans="1:16" ht="15.5" outlineLevel="1">
      <c r="A29" s="1446">
        <v>0</v>
      </c>
      <c r="B29" s="1447" t="s">
        <v>1527</v>
      </c>
      <c r="C29" s="1442" t="s">
        <v>1515</v>
      </c>
      <c r="D29" s="1443">
        <v>43067</v>
      </c>
      <c r="E29" s="1444">
        <v>0</v>
      </c>
      <c r="F29" s="1444">
        <v>0</v>
      </c>
      <c r="G29" s="1444">
        <v>0</v>
      </c>
      <c r="H29" s="1444">
        <f t="shared" si="2"/>
        <v>0</v>
      </c>
      <c r="I29" s="1444">
        <v>0</v>
      </c>
      <c r="J29" s="1444">
        <v>0</v>
      </c>
      <c r="K29" s="1444"/>
      <c r="L29" s="1444"/>
      <c r="M29" s="1444">
        <f t="shared" si="3"/>
        <v>0</v>
      </c>
      <c r="N29" s="1444">
        <f t="shared" si="4"/>
        <v>0</v>
      </c>
      <c r="O29" s="1445">
        <f t="shared" si="0"/>
        <v>0</v>
      </c>
      <c r="P29" s="1377">
        <f t="shared" si="1"/>
        <v>0</v>
      </c>
    </row>
    <row r="30" spans="1:16" ht="15.5" outlineLevel="1">
      <c r="A30" s="1440">
        <v>11</v>
      </c>
      <c r="B30" s="1441" t="s">
        <v>1904</v>
      </c>
      <c r="C30" s="1442" t="s">
        <v>1529</v>
      </c>
      <c r="D30" s="1443">
        <v>43143</v>
      </c>
      <c r="E30" s="1444">
        <v>19.334125999999998</v>
      </c>
      <c r="F30" s="1444">
        <v>0</v>
      </c>
      <c r="G30" s="1444">
        <v>0</v>
      </c>
      <c r="H30" s="1444">
        <f t="shared" si="2"/>
        <v>0</v>
      </c>
      <c r="I30" s="1444">
        <v>0</v>
      </c>
      <c r="J30" s="1444">
        <v>0</v>
      </c>
      <c r="K30" s="1444"/>
      <c r="L30" s="1444"/>
      <c r="M30" s="1444">
        <f t="shared" si="3"/>
        <v>0</v>
      </c>
      <c r="N30" s="1444">
        <f t="shared" si="4"/>
        <v>0</v>
      </c>
      <c r="O30" s="1445">
        <f t="shared" si="0"/>
        <v>0</v>
      </c>
      <c r="P30" s="1377">
        <f t="shared" si="1"/>
        <v>0</v>
      </c>
    </row>
    <row r="31" spans="1:16" ht="15.5" outlineLevel="1">
      <c r="A31" s="1446">
        <v>11.1</v>
      </c>
      <c r="B31" s="1447" t="s">
        <v>1530</v>
      </c>
      <c r="C31" s="1442" t="s">
        <v>1529</v>
      </c>
      <c r="D31" s="1443">
        <v>43143</v>
      </c>
      <c r="E31" s="1444">
        <v>7.0209999999999999</v>
      </c>
      <c r="F31" s="1444">
        <v>5.45837182</v>
      </c>
      <c r="G31" s="1444">
        <v>5.45837182</v>
      </c>
      <c r="H31" s="1444">
        <f t="shared" si="2"/>
        <v>0</v>
      </c>
      <c r="I31" s="1444">
        <v>0</v>
      </c>
      <c r="J31" s="1444">
        <v>0</v>
      </c>
      <c r="K31" s="1444"/>
      <c r="L31" s="1444"/>
      <c r="M31" s="1444">
        <f t="shared" si="3"/>
        <v>0</v>
      </c>
      <c r="N31" s="1444">
        <f t="shared" si="4"/>
        <v>0</v>
      </c>
      <c r="O31" s="1445">
        <f t="shared" si="0"/>
        <v>0</v>
      </c>
      <c r="P31" s="1377">
        <f t="shared" si="1"/>
        <v>0</v>
      </c>
    </row>
    <row r="32" spans="1:16" ht="15.5" outlineLevel="1">
      <c r="A32" s="1446">
        <v>11.2</v>
      </c>
      <c r="B32" s="1447" t="s">
        <v>1535</v>
      </c>
      <c r="C32" s="1442" t="s">
        <v>1529</v>
      </c>
      <c r="D32" s="1443">
        <v>43143</v>
      </c>
      <c r="E32" s="1444">
        <v>3.85</v>
      </c>
      <c r="F32" s="1444">
        <v>3.2500731940000001</v>
      </c>
      <c r="G32" s="1444">
        <v>3.2514022229999999</v>
      </c>
      <c r="H32" s="1444">
        <f t="shared" si="2"/>
        <v>-1.3290289999998706E-3</v>
      </c>
      <c r="I32" s="1444">
        <v>0</v>
      </c>
      <c r="J32" s="1444">
        <v>0</v>
      </c>
      <c r="K32" s="1444"/>
      <c r="L32" s="1444"/>
      <c r="M32" s="1444">
        <f t="shared" si="3"/>
        <v>0</v>
      </c>
      <c r="N32" s="1444">
        <f t="shared" si="4"/>
        <v>-1.3290289999998706E-3</v>
      </c>
      <c r="O32" s="1445">
        <f t="shared" si="0"/>
        <v>0</v>
      </c>
      <c r="P32" s="1377">
        <f t="shared" si="1"/>
        <v>0</v>
      </c>
    </row>
    <row r="33" spans="1:16" ht="15.5" outlineLevel="1">
      <c r="A33" s="1446">
        <v>11.3</v>
      </c>
      <c r="B33" s="1447" t="s">
        <v>1540</v>
      </c>
      <c r="C33" s="1442" t="s">
        <v>1529</v>
      </c>
      <c r="D33" s="1443">
        <v>43143</v>
      </c>
      <c r="E33" s="1444">
        <v>7.3</v>
      </c>
      <c r="F33" s="1444">
        <v>5.8360794</v>
      </c>
      <c r="G33" s="1444">
        <v>5.8108501159999992</v>
      </c>
      <c r="H33" s="1444">
        <f t="shared" si="2"/>
        <v>2.5229284000000796E-2</v>
      </c>
      <c r="I33" s="1444">
        <v>0</v>
      </c>
      <c r="J33" s="1444">
        <v>0</v>
      </c>
      <c r="K33" s="1444"/>
      <c r="L33" s="1444"/>
      <c r="M33" s="1444">
        <f t="shared" si="3"/>
        <v>0</v>
      </c>
      <c r="N33" s="1444">
        <f t="shared" si="4"/>
        <v>2.5229284000000796E-2</v>
      </c>
      <c r="O33" s="1445">
        <f t="shared" si="0"/>
        <v>0</v>
      </c>
      <c r="P33" s="1377">
        <f t="shared" si="1"/>
        <v>0</v>
      </c>
    </row>
    <row r="34" spans="1:16" ht="15.5" outlineLevel="1">
      <c r="A34" s="1446">
        <v>11.4</v>
      </c>
      <c r="B34" s="1447" t="s">
        <v>1545</v>
      </c>
      <c r="C34" s="1442" t="s">
        <v>1529</v>
      </c>
      <c r="D34" s="1443">
        <v>43143</v>
      </c>
      <c r="E34" s="1444">
        <v>1.1631259999999999</v>
      </c>
      <c r="F34" s="1444">
        <v>0.91823160000000004</v>
      </c>
      <c r="G34" s="1444">
        <v>0.91823162200000008</v>
      </c>
      <c r="H34" s="1444">
        <f t="shared" si="2"/>
        <v>-2.2000000043931323E-8</v>
      </c>
      <c r="I34" s="1444">
        <v>0</v>
      </c>
      <c r="J34" s="1444">
        <v>0</v>
      </c>
      <c r="K34" s="1444"/>
      <c r="L34" s="1444"/>
      <c r="M34" s="1444">
        <f t="shared" si="3"/>
        <v>0</v>
      </c>
      <c r="N34" s="1444">
        <f t="shared" si="4"/>
        <v>-2.2000000043931323E-8</v>
      </c>
      <c r="O34" s="1445">
        <f t="shared" si="0"/>
        <v>0</v>
      </c>
      <c r="P34" s="1377">
        <f t="shared" si="1"/>
        <v>0</v>
      </c>
    </row>
    <row r="35" spans="1:16" ht="31" outlineLevel="1">
      <c r="A35" s="1440">
        <v>12</v>
      </c>
      <c r="B35" s="1441" t="s">
        <v>1547</v>
      </c>
      <c r="C35" s="1442" t="s">
        <v>1548</v>
      </c>
      <c r="D35" s="1443">
        <v>43559</v>
      </c>
      <c r="E35" s="1444">
        <v>13.1172</v>
      </c>
      <c r="F35" s="1444">
        <v>0</v>
      </c>
      <c r="G35" s="1444">
        <v>0</v>
      </c>
      <c r="H35" s="1444">
        <f t="shared" si="2"/>
        <v>0</v>
      </c>
      <c r="I35" s="1444">
        <v>0</v>
      </c>
      <c r="J35" s="1444">
        <v>0</v>
      </c>
      <c r="K35" s="1444"/>
      <c r="L35" s="1444"/>
      <c r="M35" s="1444">
        <f t="shared" si="3"/>
        <v>0</v>
      </c>
      <c r="N35" s="1444">
        <f t="shared" si="4"/>
        <v>0</v>
      </c>
      <c r="O35" s="1445">
        <f t="shared" si="0"/>
        <v>0</v>
      </c>
      <c r="P35" s="1377">
        <f t="shared" si="1"/>
        <v>0</v>
      </c>
    </row>
    <row r="36" spans="1:16" ht="46.5" outlineLevel="1">
      <c r="A36" s="1448">
        <v>12.1</v>
      </c>
      <c r="B36" s="1449" t="s">
        <v>1549</v>
      </c>
      <c r="C36" s="1442" t="s">
        <v>1548</v>
      </c>
      <c r="D36" s="1443">
        <v>43559</v>
      </c>
      <c r="E36" s="1444">
        <v>7.2569999999999997</v>
      </c>
      <c r="F36" s="1444">
        <v>0</v>
      </c>
      <c r="G36" s="1444">
        <v>0</v>
      </c>
      <c r="H36" s="1444">
        <f t="shared" si="2"/>
        <v>0</v>
      </c>
      <c r="I36" s="1444">
        <v>0</v>
      </c>
      <c r="J36" s="1444">
        <v>0</v>
      </c>
      <c r="K36" s="1444"/>
      <c r="L36" s="1444"/>
      <c r="M36" s="1444">
        <f t="shared" si="3"/>
        <v>0</v>
      </c>
      <c r="N36" s="1444">
        <f t="shared" si="4"/>
        <v>0</v>
      </c>
      <c r="O36" s="1445">
        <f t="shared" si="0"/>
        <v>0</v>
      </c>
      <c r="P36" s="1377">
        <f t="shared" si="1"/>
        <v>0</v>
      </c>
    </row>
    <row r="37" spans="1:16" ht="31" outlineLevel="1">
      <c r="A37" s="1448">
        <v>12.2</v>
      </c>
      <c r="B37" s="1449" t="s">
        <v>1551</v>
      </c>
      <c r="C37" s="1442" t="s">
        <v>1548</v>
      </c>
      <c r="D37" s="1443">
        <v>43559</v>
      </c>
      <c r="E37" s="1444">
        <v>4.22</v>
      </c>
      <c r="F37" s="1444">
        <v>1.2700408630000002</v>
      </c>
      <c r="G37" s="1444">
        <v>0</v>
      </c>
      <c r="H37" s="1444">
        <f t="shared" si="2"/>
        <v>1.2700408630000002</v>
      </c>
      <c r="I37" s="1444">
        <v>1.9032320170000001</v>
      </c>
      <c r="J37" s="1444">
        <v>1.1931890000000001</v>
      </c>
      <c r="K37" s="1444"/>
      <c r="L37" s="1444"/>
      <c r="M37" s="1444">
        <f t="shared" si="3"/>
        <v>1.1931890000000001</v>
      </c>
      <c r="N37" s="1444">
        <f t="shared" si="4"/>
        <v>1.9800838800000002</v>
      </c>
      <c r="O37" s="1445">
        <f t="shared" si="0"/>
        <v>1.1931890000000001</v>
      </c>
      <c r="P37" s="1377">
        <f t="shared" si="1"/>
        <v>0</v>
      </c>
    </row>
    <row r="38" spans="1:16" ht="31" outlineLevel="1">
      <c r="A38" s="1446">
        <v>12.3</v>
      </c>
      <c r="B38" s="1447" t="s">
        <v>1556</v>
      </c>
      <c r="C38" s="1442" t="s">
        <v>1548</v>
      </c>
      <c r="D38" s="1443">
        <v>43559</v>
      </c>
      <c r="E38" s="1444">
        <v>1.6401999999999999</v>
      </c>
      <c r="F38" s="1444">
        <v>0.27</v>
      </c>
      <c r="G38" s="1444">
        <v>1.6376399460000002</v>
      </c>
      <c r="H38" s="1444">
        <f t="shared" si="2"/>
        <v>-1.3676399460000002</v>
      </c>
      <c r="I38" s="1444">
        <v>0</v>
      </c>
      <c r="J38" s="1444">
        <v>0</v>
      </c>
      <c r="K38" s="1444"/>
      <c r="L38" s="1444"/>
      <c r="M38" s="1444">
        <f t="shared" si="3"/>
        <v>0</v>
      </c>
      <c r="N38" s="1444">
        <f t="shared" si="4"/>
        <v>-1.3676399460000002</v>
      </c>
      <c r="O38" s="1445">
        <f t="shared" si="0"/>
        <v>0</v>
      </c>
      <c r="P38" s="1377">
        <f t="shared" si="1"/>
        <v>0</v>
      </c>
    </row>
    <row r="39" spans="1:16" ht="15.5" outlineLevel="1">
      <c r="A39" s="1448">
        <v>0</v>
      </c>
      <c r="B39" s="1449" t="s">
        <v>415</v>
      </c>
      <c r="C39" s="1442" t="s">
        <v>1548</v>
      </c>
      <c r="D39" s="1443">
        <v>43559</v>
      </c>
      <c r="E39" s="1444">
        <v>0</v>
      </c>
      <c r="F39" s="1444">
        <v>0</v>
      </c>
      <c r="G39" s="1444">
        <v>0</v>
      </c>
      <c r="H39" s="1444">
        <f t="shared" si="2"/>
        <v>0</v>
      </c>
      <c r="I39" s="1444">
        <v>5.9623299999999997E-2</v>
      </c>
      <c r="J39" s="1444">
        <v>0</v>
      </c>
      <c r="K39" s="1444"/>
      <c r="L39" s="1444"/>
      <c r="M39" s="1444">
        <f t="shared" si="3"/>
        <v>0</v>
      </c>
      <c r="N39" s="1444">
        <f t="shared" si="4"/>
        <v>5.9623299999999997E-2</v>
      </c>
      <c r="O39" s="1445">
        <f t="shared" si="0"/>
        <v>0</v>
      </c>
      <c r="P39" s="1377">
        <f t="shared" si="1"/>
        <v>0</v>
      </c>
    </row>
    <row r="40" spans="1:16" ht="46.5" outlineLevel="1">
      <c r="A40" s="1440">
        <v>13</v>
      </c>
      <c r="B40" s="1441" t="s">
        <v>1560</v>
      </c>
      <c r="C40" s="1442" t="s">
        <v>1561</v>
      </c>
      <c r="D40" s="1443">
        <v>43322</v>
      </c>
      <c r="E40" s="1444">
        <v>11.59</v>
      </c>
      <c r="F40" s="1444">
        <v>0</v>
      </c>
      <c r="G40" s="1444">
        <v>0</v>
      </c>
      <c r="H40" s="1444">
        <f t="shared" si="2"/>
        <v>0</v>
      </c>
      <c r="I40" s="1444">
        <v>0</v>
      </c>
      <c r="J40" s="1444">
        <v>0</v>
      </c>
      <c r="K40" s="1444"/>
      <c r="L40" s="1444"/>
      <c r="M40" s="1444">
        <f t="shared" si="3"/>
        <v>0</v>
      </c>
      <c r="N40" s="1444">
        <f t="shared" si="4"/>
        <v>0</v>
      </c>
      <c r="O40" s="1445">
        <f t="shared" si="0"/>
        <v>0</v>
      </c>
      <c r="P40" s="1377">
        <f t="shared" si="1"/>
        <v>0</v>
      </c>
    </row>
    <row r="41" spans="1:16" ht="46.5" outlineLevel="1">
      <c r="A41" s="1446">
        <v>13.1</v>
      </c>
      <c r="B41" s="1447" t="s">
        <v>1562</v>
      </c>
      <c r="C41" s="1442" t="s">
        <v>1561</v>
      </c>
      <c r="D41" s="1443">
        <v>43322</v>
      </c>
      <c r="E41" s="1444">
        <v>5.7949999999999999</v>
      </c>
      <c r="F41" s="1444">
        <v>6.3739579500000003</v>
      </c>
      <c r="G41" s="1444">
        <v>6.3739579500000003</v>
      </c>
      <c r="H41" s="1444">
        <f t="shared" si="2"/>
        <v>0</v>
      </c>
      <c r="I41" s="1444">
        <v>0</v>
      </c>
      <c r="J41" s="1444">
        <v>0</v>
      </c>
      <c r="K41" s="1444"/>
      <c r="L41" s="1444"/>
      <c r="M41" s="1444">
        <f t="shared" si="3"/>
        <v>0</v>
      </c>
      <c r="N41" s="1444">
        <f t="shared" si="4"/>
        <v>0</v>
      </c>
      <c r="O41" s="1445">
        <f t="shared" si="0"/>
        <v>0</v>
      </c>
      <c r="P41" s="1377">
        <f t="shared" si="1"/>
        <v>0</v>
      </c>
    </row>
    <row r="42" spans="1:16" ht="46.5" outlineLevel="1">
      <c r="A42" s="1446">
        <v>13.2</v>
      </c>
      <c r="B42" s="1447" t="s">
        <v>1565</v>
      </c>
      <c r="C42" s="1442" t="s">
        <v>1561</v>
      </c>
      <c r="D42" s="1443">
        <v>43322</v>
      </c>
      <c r="E42" s="1444">
        <v>5.7949999999999999</v>
      </c>
      <c r="F42" s="1444">
        <v>6.3227326000000001</v>
      </c>
      <c r="G42" s="1444">
        <v>6.3227326000000001</v>
      </c>
      <c r="H42" s="1444">
        <f t="shared" si="2"/>
        <v>0</v>
      </c>
      <c r="I42" s="1444">
        <v>0</v>
      </c>
      <c r="J42" s="1444">
        <v>0</v>
      </c>
      <c r="K42" s="1444"/>
      <c r="L42" s="1444"/>
      <c r="M42" s="1444">
        <f t="shared" si="3"/>
        <v>0</v>
      </c>
      <c r="N42" s="1444">
        <f t="shared" si="4"/>
        <v>0</v>
      </c>
      <c r="O42" s="1445">
        <f t="shared" si="0"/>
        <v>0</v>
      </c>
      <c r="P42" s="1377">
        <f t="shared" si="1"/>
        <v>0</v>
      </c>
    </row>
    <row r="43" spans="1:16" ht="31" outlineLevel="1">
      <c r="A43" s="1440">
        <v>15</v>
      </c>
      <c r="B43" s="1441" t="s">
        <v>1568</v>
      </c>
      <c r="C43" s="1442" t="s">
        <v>1569</v>
      </c>
      <c r="D43" s="1443">
        <v>44232</v>
      </c>
      <c r="E43" s="1444">
        <v>869.5</v>
      </c>
      <c r="F43" s="1444">
        <v>0</v>
      </c>
      <c r="G43" s="1444">
        <v>0</v>
      </c>
      <c r="H43" s="1444">
        <f t="shared" si="2"/>
        <v>0</v>
      </c>
      <c r="I43" s="1444">
        <v>0</v>
      </c>
      <c r="J43" s="1444">
        <v>0</v>
      </c>
      <c r="K43" s="1444"/>
      <c r="L43" s="1444"/>
      <c r="M43" s="1444">
        <f t="shared" si="3"/>
        <v>0</v>
      </c>
      <c r="N43" s="1444">
        <f t="shared" si="4"/>
        <v>0</v>
      </c>
      <c r="O43" s="1445">
        <f t="shared" si="0"/>
        <v>0</v>
      </c>
      <c r="P43" s="1377">
        <f t="shared" si="1"/>
        <v>0</v>
      </c>
    </row>
    <row r="44" spans="1:16" ht="31" outlineLevel="1">
      <c r="A44" s="1450">
        <v>15.1</v>
      </c>
      <c r="B44" s="1451" t="s">
        <v>1570</v>
      </c>
      <c r="C44" s="1442" t="s">
        <v>1569</v>
      </c>
      <c r="D44" s="1443">
        <v>44232</v>
      </c>
      <c r="E44" s="1444">
        <v>830.4</v>
      </c>
      <c r="F44" s="1444">
        <v>0</v>
      </c>
      <c r="G44" s="1444">
        <v>0</v>
      </c>
      <c r="H44" s="1444">
        <f t="shared" si="2"/>
        <v>0</v>
      </c>
      <c r="I44" s="1444">
        <v>0</v>
      </c>
      <c r="J44" s="1444">
        <v>0</v>
      </c>
      <c r="K44" s="1444"/>
      <c r="L44" s="1444"/>
      <c r="M44" s="1444">
        <f t="shared" si="3"/>
        <v>0</v>
      </c>
      <c r="N44" s="1444">
        <f t="shared" si="4"/>
        <v>0</v>
      </c>
      <c r="O44" s="1445">
        <f t="shared" si="0"/>
        <v>0</v>
      </c>
      <c r="P44" s="1377">
        <f t="shared" si="1"/>
        <v>0</v>
      </c>
    </row>
    <row r="45" spans="1:16" ht="31" outlineLevel="1">
      <c r="A45" s="1450">
        <v>0</v>
      </c>
      <c r="B45" s="1452" t="s">
        <v>415</v>
      </c>
      <c r="C45" s="1442" t="s">
        <v>1569</v>
      </c>
      <c r="D45" s="1443">
        <v>44232</v>
      </c>
      <c r="E45" s="1444">
        <v>39.1</v>
      </c>
      <c r="F45" s="1444">
        <v>0</v>
      </c>
      <c r="G45" s="1444">
        <v>0</v>
      </c>
      <c r="H45" s="1444">
        <f t="shared" si="2"/>
        <v>0</v>
      </c>
      <c r="I45" s="1444">
        <v>0</v>
      </c>
      <c r="J45" s="1444">
        <v>0</v>
      </c>
      <c r="K45" s="1444"/>
      <c r="L45" s="1444"/>
      <c r="M45" s="1444">
        <f t="shared" si="3"/>
        <v>0</v>
      </c>
      <c r="N45" s="1444">
        <f t="shared" si="4"/>
        <v>0</v>
      </c>
      <c r="O45" s="1445">
        <f t="shared" si="0"/>
        <v>0</v>
      </c>
      <c r="P45" s="1377">
        <f t="shared" si="1"/>
        <v>0</v>
      </c>
    </row>
    <row r="46" spans="1:16" ht="31" outlineLevel="1">
      <c r="A46" s="1440">
        <v>16</v>
      </c>
      <c r="B46" s="1441" t="s">
        <v>1573</v>
      </c>
      <c r="C46" s="1442" t="s">
        <v>1574</v>
      </c>
      <c r="D46" s="1443">
        <v>44263</v>
      </c>
      <c r="E46" s="1444">
        <v>10.520000000000001</v>
      </c>
      <c r="F46" s="1444">
        <v>0</v>
      </c>
      <c r="G46" s="1444">
        <v>0</v>
      </c>
      <c r="H46" s="1444">
        <f t="shared" si="2"/>
        <v>0</v>
      </c>
      <c r="I46" s="1444">
        <v>0</v>
      </c>
      <c r="J46" s="1444">
        <v>0</v>
      </c>
      <c r="K46" s="1444"/>
      <c r="L46" s="1444"/>
      <c r="M46" s="1444">
        <f t="shared" si="3"/>
        <v>0</v>
      </c>
      <c r="N46" s="1444">
        <f t="shared" si="4"/>
        <v>0</v>
      </c>
      <c r="O46" s="1445">
        <f t="shared" si="0"/>
        <v>0</v>
      </c>
      <c r="P46" s="1377">
        <f t="shared" si="1"/>
        <v>0</v>
      </c>
    </row>
    <row r="47" spans="1:16" ht="31" outlineLevel="1">
      <c r="A47" s="1450">
        <v>16.100000000000001</v>
      </c>
      <c r="B47" s="1452" t="s">
        <v>1575</v>
      </c>
      <c r="C47" s="1442" t="s">
        <v>1574</v>
      </c>
      <c r="D47" s="1443">
        <v>44263</v>
      </c>
      <c r="E47" s="1444">
        <v>3.84</v>
      </c>
      <c r="F47" s="1444">
        <v>0</v>
      </c>
      <c r="G47" s="1444">
        <v>0</v>
      </c>
      <c r="H47" s="1444">
        <f t="shared" si="2"/>
        <v>0</v>
      </c>
      <c r="I47" s="1444">
        <v>2.2399997760000003</v>
      </c>
      <c r="J47" s="1444">
        <v>2.2399997760000003</v>
      </c>
      <c r="K47" s="1444"/>
      <c r="L47" s="1444"/>
      <c r="M47" s="1444">
        <f t="shared" si="3"/>
        <v>2.2399997760000003</v>
      </c>
      <c r="N47" s="1444">
        <f t="shared" si="4"/>
        <v>0</v>
      </c>
      <c r="O47" s="1445">
        <f t="shared" si="0"/>
        <v>2.2399997760000003</v>
      </c>
      <c r="P47" s="1377">
        <f t="shared" si="1"/>
        <v>0</v>
      </c>
    </row>
    <row r="48" spans="1:16" ht="31" outlineLevel="1">
      <c r="A48" s="1450">
        <v>16.2</v>
      </c>
      <c r="B48" s="1452" t="s">
        <v>1578</v>
      </c>
      <c r="C48" s="1442" t="s">
        <v>1574</v>
      </c>
      <c r="D48" s="1443">
        <v>44263</v>
      </c>
      <c r="E48" s="1444">
        <v>6.46</v>
      </c>
      <c r="F48" s="1444">
        <v>7.6135872999999998</v>
      </c>
      <c r="G48" s="1444">
        <v>7.6135872999999998</v>
      </c>
      <c r="H48" s="1444">
        <f t="shared" si="2"/>
        <v>0</v>
      </c>
      <c r="I48" s="1444">
        <v>0</v>
      </c>
      <c r="J48" s="1444">
        <v>0</v>
      </c>
      <c r="K48" s="1444"/>
      <c r="L48" s="1444"/>
      <c r="M48" s="1444">
        <f t="shared" si="3"/>
        <v>0</v>
      </c>
      <c r="N48" s="1444">
        <f t="shared" si="4"/>
        <v>0</v>
      </c>
      <c r="O48" s="1445">
        <f t="shared" si="0"/>
        <v>0</v>
      </c>
      <c r="P48" s="1377">
        <f t="shared" si="1"/>
        <v>0</v>
      </c>
    </row>
    <row r="49" spans="1:16" ht="31" outlineLevel="1">
      <c r="A49" s="1450">
        <v>0</v>
      </c>
      <c r="B49" s="1452" t="s">
        <v>415</v>
      </c>
      <c r="C49" s="1442" t="s">
        <v>1574</v>
      </c>
      <c r="D49" s="1443">
        <v>44263</v>
      </c>
      <c r="E49" s="1444">
        <v>0.22</v>
      </c>
      <c r="F49" s="1444">
        <v>0</v>
      </c>
      <c r="G49" s="1444">
        <v>0</v>
      </c>
      <c r="H49" s="1444">
        <f t="shared" si="2"/>
        <v>0</v>
      </c>
      <c r="I49" s="1444">
        <v>0</v>
      </c>
      <c r="J49" s="1444">
        <v>0</v>
      </c>
      <c r="K49" s="1444"/>
      <c r="L49" s="1444"/>
      <c r="M49" s="1444">
        <f t="shared" si="3"/>
        <v>0</v>
      </c>
      <c r="N49" s="1444">
        <f t="shared" si="4"/>
        <v>0</v>
      </c>
      <c r="O49" s="1445">
        <f t="shared" si="0"/>
        <v>0</v>
      </c>
      <c r="P49" s="1377">
        <f t="shared" si="1"/>
        <v>0</v>
      </c>
    </row>
    <row r="50" spans="1:16" ht="31" outlineLevel="1">
      <c r="A50" s="1440">
        <v>17</v>
      </c>
      <c r="B50" s="1441" t="s">
        <v>1581</v>
      </c>
      <c r="C50" s="1442" t="s">
        <v>1582</v>
      </c>
      <c r="D50" s="1443">
        <v>44357</v>
      </c>
      <c r="E50" s="1444">
        <v>21.22</v>
      </c>
      <c r="F50" s="1444">
        <v>0</v>
      </c>
      <c r="G50" s="1444">
        <v>0</v>
      </c>
      <c r="H50" s="1444">
        <f t="shared" si="2"/>
        <v>0</v>
      </c>
      <c r="I50" s="1444">
        <v>0</v>
      </c>
      <c r="J50" s="1444">
        <v>0</v>
      </c>
      <c r="K50" s="1444"/>
      <c r="L50" s="1444"/>
      <c r="M50" s="1444">
        <f t="shared" si="3"/>
        <v>0</v>
      </c>
      <c r="N50" s="1444">
        <f t="shared" si="4"/>
        <v>0</v>
      </c>
      <c r="O50" s="1445">
        <f t="shared" si="0"/>
        <v>0</v>
      </c>
      <c r="P50" s="1377">
        <f t="shared" si="1"/>
        <v>0</v>
      </c>
    </row>
    <row r="51" spans="1:16" ht="31" outlineLevel="1">
      <c r="A51" s="1450">
        <v>17.100000000000001</v>
      </c>
      <c r="B51" s="1452" t="s">
        <v>1583</v>
      </c>
      <c r="C51" s="1442" t="s">
        <v>1582</v>
      </c>
      <c r="D51" s="1443">
        <v>44357</v>
      </c>
      <c r="E51" s="1444">
        <v>4.67</v>
      </c>
      <c r="F51" s="1444">
        <v>0</v>
      </c>
      <c r="G51" s="1444">
        <v>0</v>
      </c>
      <c r="H51" s="1444">
        <f t="shared" si="2"/>
        <v>0</v>
      </c>
      <c r="I51" s="1444">
        <v>4.6492000000000004</v>
      </c>
      <c r="J51" s="1444">
        <v>4.6492000000000004</v>
      </c>
      <c r="K51" s="1444"/>
      <c r="L51" s="1444"/>
      <c r="M51" s="1444">
        <f t="shared" si="3"/>
        <v>4.6492000000000004</v>
      </c>
      <c r="N51" s="1444">
        <f t="shared" si="4"/>
        <v>0</v>
      </c>
      <c r="O51" s="1445">
        <f t="shared" si="0"/>
        <v>4.6492000000000004</v>
      </c>
      <c r="P51" s="1377">
        <f t="shared" si="1"/>
        <v>0</v>
      </c>
    </row>
    <row r="52" spans="1:16" ht="31" outlineLevel="1">
      <c r="A52" s="1450">
        <v>17.2</v>
      </c>
      <c r="B52" s="1452" t="s">
        <v>1587</v>
      </c>
      <c r="C52" s="1442" t="s">
        <v>1582</v>
      </c>
      <c r="D52" s="1443">
        <v>44357</v>
      </c>
      <c r="E52" s="1444">
        <v>3.53</v>
      </c>
      <c r="F52" s="1444">
        <v>0</v>
      </c>
      <c r="G52" s="1444">
        <v>0</v>
      </c>
      <c r="H52" s="1444">
        <f t="shared" si="2"/>
        <v>0</v>
      </c>
      <c r="I52" s="1444">
        <v>0</v>
      </c>
      <c r="J52" s="1444">
        <v>0</v>
      </c>
      <c r="K52" s="1444"/>
      <c r="L52" s="1444"/>
      <c r="M52" s="1444">
        <f t="shared" si="3"/>
        <v>0</v>
      </c>
      <c r="N52" s="1444">
        <f t="shared" si="4"/>
        <v>0</v>
      </c>
      <c r="O52" s="1445">
        <f t="shared" si="0"/>
        <v>0</v>
      </c>
      <c r="P52" s="1377">
        <f t="shared" si="1"/>
        <v>0</v>
      </c>
    </row>
    <row r="53" spans="1:16" ht="31" outlineLevel="1">
      <c r="A53" s="1450">
        <v>17.3</v>
      </c>
      <c r="B53" s="1452" t="s">
        <v>1590</v>
      </c>
      <c r="C53" s="1442" t="s">
        <v>1582</v>
      </c>
      <c r="D53" s="1443">
        <v>44357</v>
      </c>
      <c r="E53" s="1444">
        <v>0.84</v>
      </c>
      <c r="F53" s="1444">
        <v>0</v>
      </c>
      <c r="G53" s="1444">
        <v>0</v>
      </c>
      <c r="H53" s="1444">
        <f t="shared" si="2"/>
        <v>0</v>
      </c>
      <c r="I53" s="1444">
        <v>0</v>
      </c>
      <c r="J53" s="1444">
        <v>0</v>
      </c>
      <c r="K53" s="1444"/>
      <c r="L53" s="1444"/>
      <c r="M53" s="1444">
        <f t="shared" si="3"/>
        <v>0</v>
      </c>
      <c r="N53" s="1444">
        <f t="shared" si="4"/>
        <v>0</v>
      </c>
      <c r="O53" s="1445">
        <f t="shared" si="0"/>
        <v>0</v>
      </c>
      <c r="P53" s="1377">
        <f t="shared" si="1"/>
        <v>0</v>
      </c>
    </row>
    <row r="54" spans="1:16" ht="31" outlineLevel="1">
      <c r="A54" s="1450">
        <v>17.399999999999999</v>
      </c>
      <c r="B54" s="1452" t="s">
        <v>1592</v>
      </c>
      <c r="C54" s="1442" t="s">
        <v>1582</v>
      </c>
      <c r="D54" s="1443">
        <v>44357</v>
      </c>
      <c r="E54" s="1444">
        <v>2.95</v>
      </c>
      <c r="F54" s="1444">
        <v>0</v>
      </c>
      <c r="G54" s="1444">
        <v>0</v>
      </c>
      <c r="H54" s="1444">
        <f t="shared" si="2"/>
        <v>0</v>
      </c>
      <c r="I54" s="1444">
        <v>2.9470499999999999</v>
      </c>
      <c r="J54" s="1444">
        <v>2.9470499999999999</v>
      </c>
      <c r="K54" s="1444"/>
      <c r="L54" s="1444"/>
      <c r="M54" s="1444">
        <f t="shared" si="3"/>
        <v>2.9470499999999999</v>
      </c>
      <c r="N54" s="1444">
        <f t="shared" si="4"/>
        <v>0</v>
      </c>
      <c r="O54" s="1445">
        <f t="shared" si="0"/>
        <v>2.9470499999999999</v>
      </c>
      <c r="P54" s="1377">
        <f t="shared" si="1"/>
        <v>0</v>
      </c>
    </row>
    <row r="55" spans="1:16" ht="31" outlineLevel="1">
      <c r="A55" s="1450">
        <v>17.5</v>
      </c>
      <c r="B55" s="1452" t="s">
        <v>1595</v>
      </c>
      <c r="C55" s="1442" t="s">
        <v>1582</v>
      </c>
      <c r="D55" s="1443">
        <v>44357</v>
      </c>
      <c r="E55" s="1444">
        <v>7.57</v>
      </c>
      <c r="F55" s="1444">
        <v>0</v>
      </c>
      <c r="G55" s="1444">
        <v>0</v>
      </c>
      <c r="H55" s="1444">
        <f t="shared" si="2"/>
        <v>0</v>
      </c>
      <c r="I55" s="1444">
        <v>0</v>
      </c>
      <c r="J55" s="1444">
        <v>0</v>
      </c>
      <c r="K55" s="1444"/>
      <c r="L55" s="1444"/>
      <c r="M55" s="1444">
        <f t="shared" si="3"/>
        <v>0</v>
      </c>
      <c r="N55" s="1444">
        <f t="shared" si="4"/>
        <v>0</v>
      </c>
      <c r="O55" s="1445">
        <f t="shared" si="0"/>
        <v>0</v>
      </c>
      <c r="P55" s="1377">
        <f t="shared" si="1"/>
        <v>0</v>
      </c>
    </row>
    <row r="56" spans="1:16" ht="31" outlineLevel="1">
      <c r="A56" s="1450">
        <v>0</v>
      </c>
      <c r="B56" s="1453" t="s">
        <v>415</v>
      </c>
      <c r="C56" s="1442" t="s">
        <v>1582</v>
      </c>
      <c r="D56" s="1443">
        <v>44357</v>
      </c>
      <c r="E56" s="1444">
        <v>1.66</v>
      </c>
      <c r="F56" s="1444">
        <v>0</v>
      </c>
      <c r="G56" s="1444">
        <v>0</v>
      </c>
      <c r="H56" s="1444">
        <f t="shared" si="2"/>
        <v>0</v>
      </c>
      <c r="I56" s="1444">
        <v>0</v>
      </c>
      <c r="J56" s="1444">
        <v>0</v>
      </c>
      <c r="K56" s="1444"/>
      <c r="L56" s="1444"/>
      <c r="M56" s="1444">
        <f t="shared" si="3"/>
        <v>0</v>
      </c>
      <c r="N56" s="1444">
        <f t="shared" si="4"/>
        <v>0</v>
      </c>
      <c r="O56" s="1445">
        <f t="shared" si="0"/>
        <v>0</v>
      </c>
      <c r="P56" s="1377">
        <f t="shared" si="1"/>
        <v>0</v>
      </c>
    </row>
    <row r="57" spans="1:16" ht="31" outlineLevel="1">
      <c r="A57" s="1440" t="s">
        <v>923</v>
      </c>
      <c r="B57" s="1441" t="s">
        <v>924</v>
      </c>
      <c r="C57" s="1442" t="s">
        <v>925</v>
      </c>
      <c r="D57" s="1443">
        <v>42585</v>
      </c>
      <c r="E57" s="1444">
        <v>3.9772580142857143</v>
      </c>
      <c r="F57" s="1444">
        <v>0</v>
      </c>
      <c r="G57" s="1444">
        <v>0</v>
      </c>
      <c r="H57" s="1444">
        <f t="shared" si="2"/>
        <v>0</v>
      </c>
      <c r="I57" s="1444">
        <v>0</v>
      </c>
      <c r="J57" s="1444">
        <v>0</v>
      </c>
      <c r="K57" s="1444"/>
      <c r="L57" s="1444"/>
      <c r="M57" s="1444">
        <f t="shared" si="3"/>
        <v>0</v>
      </c>
      <c r="N57" s="1444">
        <f t="shared" si="4"/>
        <v>0</v>
      </c>
      <c r="O57" s="1445">
        <f t="shared" si="0"/>
        <v>0</v>
      </c>
      <c r="P57" s="1377">
        <f t="shared" si="1"/>
        <v>0</v>
      </c>
    </row>
    <row r="58" spans="1:16" ht="15.5" outlineLevel="1">
      <c r="A58" s="1450">
        <v>1</v>
      </c>
      <c r="B58" s="1452" t="s">
        <v>1599</v>
      </c>
      <c r="C58" s="1442" t="s">
        <v>925</v>
      </c>
      <c r="D58" s="1443">
        <v>42585</v>
      </c>
      <c r="E58" s="1444">
        <v>3.9772580142857143</v>
      </c>
      <c r="F58" s="1444">
        <v>1.8767999333333334</v>
      </c>
      <c r="G58" s="1444">
        <v>1.8767999333333334</v>
      </c>
      <c r="H58" s="1444">
        <f t="shared" si="2"/>
        <v>0</v>
      </c>
      <c r="I58" s="1444">
        <v>7.0000000000000007E-2</v>
      </c>
      <c r="J58" s="1444">
        <v>6.8999981000000002E-2</v>
      </c>
      <c r="K58" s="1444"/>
      <c r="L58" s="1444"/>
      <c r="M58" s="1444">
        <f t="shared" si="3"/>
        <v>6.8999981000000002E-2</v>
      </c>
      <c r="N58" s="1444">
        <f t="shared" si="4"/>
        <v>1.0000190000000048E-3</v>
      </c>
      <c r="O58" s="1445">
        <f t="shared" si="0"/>
        <v>6.8999981000000002E-2</v>
      </c>
      <c r="P58" s="1377">
        <f t="shared" si="1"/>
        <v>0</v>
      </c>
    </row>
    <row r="59" spans="1:16" ht="31" outlineLevel="1">
      <c r="A59" s="1440" t="s">
        <v>926</v>
      </c>
      <c r="B59" s="1441" t="s">
        <v>927</v>
      </c>
      <c r="C59" s="1442" t="s">
        <v>928</v>
      </c>
      <c r="D59" s="1443">
        <v>42643</v>
      </c>
      <c r="E59" s="1444">
        <v>4.0552000000000001</v>
      </c>
      <c r="F59" s="1444">
        <v>0</v>
      </c>
      <c r="G59" s="1444">
        <v>0</v>
      </c>
      <c r="H59" s="1444">
        <f t="shared" si="2"/>
        <v>0</v>
      </c>
      <c r="I59" s="1444">
        <v>0</v>
      </c>
      <c r="J59" s="1444">
        <v>0</v>
      </c>
      <c r="K59" s="1444"/>
      <c r="L59" s="1444"/>
      <c r="M59" s="1444">
        <f t="shared" si="3"/>
        <v>0</v>
      </c>
      <c r="N59" s="1444">
        <f t="shared" si="4"/>
        <v>0</v>
      </c>
      <c r="O59" s="1445">
        <f t="shared" si="0"/>
        <v>0</v>
      </c>
      <c r="P59" s="1377">
        <f t="shared" si="1"/>
        <v>0</v>
      </c>
    </row>
    <row r="60" spans="1:16" ht="15.5" outlineLevel="1">
      <c r="A60" s="1450">
        <v>1</v>
      </c>
      <c r="B60" s="1452" t="s">
        <v>1602</v>
      </c>
      <c r="C60" s="1442" t="s">
        <v>928</v>
      </c>
      <c r="D60" s="1443">
        <v>42643</v>
      </c>
      <c r="E60" s="1444">
        <v>4.0552000000000001</v>
      </c>
      <c r="F60" s="1444">
        <v>0</v>
      </c>
      <c r="G60" s="1444">
        <v>0</v>
      </c>
      <c r="H60" s="1444">
        <f t="shared" si="2"/>
        <v>0</v>
      </c>
      <c r="I60" s="1444">
        <v>0</v>
      </c>
      <c r="J60" s="1444">
        <v>0</v>
      </c>
      <c r="K60" s="1444"/>
      <c r="L60" s="1444"/>
      <c r="M60" s="1444">
        <f t="shared" si="3"/>
        <v>0</v>
      </c>
      <c r="N60" s="1444">
        <f t="shared" si="4"/>
        <v>0</v>
      </c>
      <c r="O60" s="1445">
        <f t="shared" si="0"/>
        <v>0</v>
      </c>
      <c r="P60" s="1377">
        <f t="shared" si="1"/>
        <v>0</v>
      </c>
    </row>
    <row r="61" spans="1:16" ht="31" outlineLevel="1">
      <c r="A61" s="1440" t="s">
        <v>1604</v>
      </c>
      <c r="B61" s="1441" t="s">
        <v>1605</v>
      </c>
      <c r="C61" s="1442" t="s">
        <v>1606</v>
      </c>
      <c r="D61" s="1443">
        <v>43052</v>
      </c>
      <c r="E61" s="1444">
        <v>3.95</v>
      </c>
      <c r="F61" s="1444">
        <v>0</v>
      </c>
      <c r="G61" s="1444">
        <v>0</v>
      </c>
      <c r="H61" s="1444">
        <f t="shared" si="2"/>
        <v>0</v>
      </c>
      <c r="I61" s="1444">
        <v>0</v>
      </c>
      <c r="J61" s="1444">
        <v>0</v>
      </c>
      <c r="K61" s="1444"/>
      <c r="L61" s="1444"/>
      <c r="M61" s="1444">
        <f t="shared" si="3"/>
        <v>0</v>
      </c>
      <c r="N61" s="1444">
        <f t="shared" si="4"/>
        <v>0</v>
      </c>
      <c r="O61" s="1445">
        <f t="shared" si="0"/>
        <v>0</v>
      </c>
      <c r="P61" s="1377">
        <f t="shared" si="1"/>
        <v>0</v>
      </c>
    </row>
    <row r="62" spans="1:16" ht="15.5" outlineLevel="1">
      <c r="A62" s="1450">
        <v>1</v>
      </c>
      <c r="B62" s="1452" t="s">
        <v>1607</v>
      </c>
      <c r="C62" s="1442" t="s">
        <v>1606</v>
      </c>
      <c r="D62" s="1443">
        <v>43052</v>
      </c>
      <c r="E62" s="1444">
        <v>1.45</v>
      </c>
      <c r="F62" s="1444">
        <v>1.7765</v>
      </c>
      <c r="G62" s="1444">
        <v>1.7765</v>
      </c>
      <c r="H62" s="1444">
        <f t="shared" si="2"/>
        <v>0</v>
      </c>
      <c r="I62" s="1444">
        <v>0</v>
      </c>
      <c r="J62" s="1444">
        <v>0</v>
      </c>
      <c r="K62" s="1444"/>
      <c r="L62" s="1444"/>
      <c r="M62" s="1444">
        <f t="shared" si="3"/>
        <v>0</v>
      </c>
      <c r="N62" s="1444">
        <f t="shared" si="4"/>
        <v>0</v>
      </c>
      <c r="O62" s="1445">
        <f t="shared" si="0"/>
        <v>0</v>
      </c>
      <c r="P62" s="1377">
        <f t="shared" si="1"/>
        <v>0</v>
      </c>
    </row>
    <row r="63" spans="1:16" ht="15.5" outlineLevel="1">
      <c r="A63" s="1450">
        <v>2</v>
      </c>
      <c r="B63" s="1452" t="s">
        <v>1610</v>
      </c>
      <c r="C63" s="1442" t="s">
        <v>1606</v>
      </c>
      <c r="D63" s="1443">
        <v>43052</v>
      </c>
      <c r="E63" s="1444">
        <v>2.5</v>
      </c>
      <c r="F63" s="1444">
        <v>0</v>
      </c>
      <c r="G63" s="1444">
        <v>0</v>
      </c>
      <c r="H63" s="1444">
        <f t="shared" si="2"/>
        <v>0</v>
      </c>
      <c r="I63" s="1444">
        <v>2.1846524010000001</v>
      </c>
      <c r="J63" s="1444">
        <v>2.1846524010000001</v>
      </c>
      <c r="K63" s="1444"/>
      <c r="L63" s="1444"/>
      <c r="M63" s="1444">
        <f t="shared" si="3"/>
        <v>2.1846524010000001</v>
      </c>
      <c r="N63" s="1444">
        <f t="shared" si="4"/>
        <v>0</v>
      </c>
      <c r="O63" s="1445">
        <f t="shared" si="0"/>
        <v>2.1846524010000001</v>
      </c>
      <c r="P63" s="1377">
        <f t="shared" si="1"/>
        <v>0</v>
      </c>
    </row>
    <row r="64" spans="1:16" ht="15.5" outlineLevel="1">
      <c r="A64" s="1450">
        <v>0</v>
      </c>
      <c r="B64" s="1452" t="s">
        <v>415</v>
      </c>
      <c r="C64" s="1442" t="s">
        <v>1606</v>
      </c>
      <c r="D64" s="1443">
        <v>43052</v>
      </c>
      <c r="E64" s="1444">
        <v>0</v>
      </c>
      <c r="F64" s="1444">
        <v>0</v>
      </c>
      <c r="G64" s="1444">
        <v>0</v>
      </c>
      <c r="H64" s="1444">
        <f t="shared" si="2"/>
        <v>0</v>
      </c>
      <c r="I64" s="1444">
        <v>0</v>
      </c>
      <c r="J64" s="1444">
        <v>0</v>
      </c>
      <c r="K64" s="1444"/>
      <c r="L64" s="1444"/>
      <c r="M64" s="1444">
        <f t="shared" si="3"/>
        <v>0</v>
      </c>
      <c r="N64" s="1444">
        <f t="shared" si="4"/>
        <v>0</v>
      </c>
      <c r="O64" s="1445">
        <f t="shared" si="0"/>
        <v>0</v>
      </c>
      <c r="P64" s="1377">
        <f t="shared" si="1"/>
        <v>0</v>
      </c>
    </row>
    <row r="65" spans="1:16" ht="31" outlineLevel="1">
      <c r="A65" s="1440" t="s">
        <v>1612</v>
      </c>
      <c r="B65" s="1441" t="s">
        <v>1613</v>
      </c>
      <c r="C65" s="1442" t="s">
        <v>1614</v>
      </c>
      <c r="D65" s="1443">
        <v>43137</v>
      </c>
      <c r="E65" s="1444">
        <v>10.065399999999999</v>
      </c>
      <c r="F65" s="1444">
        <v>0</v>
      </c>
      <c r="G65" s="1444">
        <v>0</v>
      </c>
      <c r="H65" s="1444">
        <f t="shared" si="2"/>
        <v>0</v>
      </c>
      <c r="I65" s="1444">
        <v>0</v>
      </c>
      <c r="J65" s="1444">
        <v>0</v>
      </c>
      <c r="K65" s="1444"/>
      <c r="L65" s="1444"/>
      <c r="M65" s="1444">
        <f t="shared" si="3"/>
        <v>0</v>
      </c>
      <c r="N65" s="1444">
        <f t="shared" si="4"/>
        <v>0</v>
      </c>
      <c r="O65" s="1445">
        <f t="shared" si="0"/>
        <v>0</v>
      </c>
      <c r="P65" s="1377">
        <f t="shared" si="1"/>
        <v>0</v>
      </c>
    </row>
    <row r="66" spans="1:16" ht="15.5" outlineLevel="1">
      <c r="A66" s="1450">
        <v>1</v>
      </c>
      <c r="B66" s="1452" t="s">
        <v>1602</v>
      </c>
      <c r="C66" s="1442" t="s">
        <v>1614</v>
      </c>
      <c r="D66" s="1443">
        <v>43137</v>
      </c>
      <c r="E66" s="1444">
        <v>10.065399999999999</v>
      </c>
      <c r="F66" s="1444">
        <v>8.3015510960000007</v>
      </c>
      <c r="G66" s="1444">
        <v>8.2997896579999999</v>
      </c>
      <c r="H66" s="1444">
        <f t="shared" si="2"/>
        <v>1.7614380000008367E-3</v>
      </c>
      <c r="I66" s="1444">
        <v>0.49389457199999998</v>
      </c>
      <c r="J66" s="1444">
        <v>0.49389457199999998</v>
      </c>
      <c r="K66" s="1444"/>
      <c r="L66" s="1444"/>
      <c r="M66" s="1444">
        <f t="shared" si="3"/>
        <v>0.49389457199999998</v>
      </c>
      <c r="N66" s="1444">
        <f t="shared" si="4"/>
        <v>1.7614380000008367E-3</v>
      </c>
      <c r="O66" s="1445">
        <f t="shared" si="0"/>
        <v>0.49389457199999998</v>
      </c>
      <c r="P66" s="1377">
        <f t="shared" si="1"/>
        <v>0</v>
      </c>
    </row>
    <row r="67" spans="1:16" ht="46.5" outlineLevel="1">
      <c r="A67" s="1440">
        <v>18</v>
      </c>
      <c r="B67" s="1441" t="s">
        <v>1617</v>
      </c>
      <c r="C67" s="1442" t="s">
        <v>1618</v>
      </c>
      <c r="D67" s="1443">
        <v>44461</v>
      </c>
      <c r="E67" s="1444">
        <v>14.96</v>
      </c>
      <c r="F67" s="1444">
        <v>0</v>
      </c>
      <c r="G67" s="1444">
        <v>0</v>
      </c>
      <c r="H67" s="1444">
        <f t="shared" si="2"/>
        <v>0</v>
      </c>
      <c r="I67" s="1444">
        <v>0</v>
      </c>
      <c r="J67" s="1444">
        <v>0</v>
      </c>
      <c r="K67" s="1444"/>
      <c r="L67" s="1444"/>
      <c r="M67" s="1444">
        <f t="shared" si="3"/>
        <v>0</v>
      </c>
      <c r="N67" s="1444">
        <f t="shared" si="4"/>
        <v>0</v>
      </c>
      <c r="O67" s="1445">
        <f t="shared" si="0"/>
        <v>0</v>
      </c>
      <c r="P67" s="1377">
        <f t="shared" si="1"/>
        <v>0</v>
      </c>
    </row>
    <row r="68" spans="1:16" ht="31" outlineLevel="1">
      <c r="A68" s="1314">
        <v>18.100000000000001</v>
      </c>
      <c r="B68" s="1447" t="s">
        <v>1619</v>
      </c>
      <c r="C68" s="1442" t="s">
        <v>1618</v>
      </c>
      <c r="D68" s="1443">
        <v>44461</v>
      </c>
      <c r="E68" s="1444">
        <v>5.53</v>
      </c>
      <c r="F68" s="1444">
        <v>8.4110399999999998</v>
      </c>
      <c r="G68" s="1444">
        <v>8.4110399999999998</v>
      </c>
      <c r="H68" s="1444">
        <f t="shared" si="2"/>
        <v>0</v>
      </c>
      <c r="I68" s="1444">
        <v>0</v>
      </c>
      <c r="J68" s="1444">
        <v>0</v>
      </c>
      <c r="K68" s="1444"/>
      <c r="L68" s="1444"/>
      <c r="M68" s="1444">
        <f t="shared" si="3"/>
        <v>0</v>
      </c>
      <c r="N68" s="1444">
        <f t="shared" si="4"/>
        <v>0</v>
      </c>
      <c r="O68" s="1445">
        <f t="shared" si="0"/>
        <v>0</v>
      </c>
      <c r="P68" s="1377">
        <f t="shared" si="1"/>
        <v>0</v>
      </c>
    </row>
    <row r="69" spans="1:16" ht="31" outlineLevel="1">
      <c r="A69" s="1450">
        <v>18.2</v>
      </c>
      <c r="B69" s="1452" t="s">
        <v>1622</v>
      </c>
      <c r="C69" s="1442" t="s">
        <v>1618</v>
      </c>
      <c r="D69" s="1443">
        <v>44461</v>
      </c>
      <c r="E69" s="1444">
        <v>3.52</v>
      </c>
      <c r="F69" s="1444">
        <v>0</v>
      </c>
      <c r="G69" s="1444">
        <v>0</v>
      </c>
      <c r="H69" s="1444">
        <f t="shared" si="2"/>
        <v>0</v>
      </c>
      <c r="I69" s="1444">
        <v>0</v>
      </c>
      <c r="J69" s="1444">
        <v>0</v>
      </c>
      <c r="K69" s="1444"/>
      <c r="L69" s="1444"/>
      <c r="M69" s="1444">
        <f t="shared" si="3"/>
        <v>0</v>
      </c>
      <c r="N69" s="1444">
        <f t="shared" si="4"/>
        <v>0</v>
      </c>
      <c r="O69" s="1445">
        <f t="shared" si="0"/>
        <v>0</v>
      </c>
      <c r="P69" s="1377">
        <f t="shared" si="1"/>
        <v>0</v>
      </c>
    </row>
    <row r="70" spans="1:16" ht="15.5" outlineLevel="1">
      <c r="A70" s="1450">
        <v>18.3</v>
      </c>
      <c r="B70" s="1452" t="s">
        <v>1624</v>
      </c>
      <c r="C70" s="1442" t="s">
        <v>1618</v>
      </c>
      <c r="D70" s="1443">
        <v>44461</v>
      </c>
      <c r="E70" s="1444">
        <v>5.39</v>
      </c>
      <c r="F70" s="1444">
        <v>0</v>
      </c>
      <c r="G70" s="1444">
        <v>0</v>
      </c>
      <c r="H70" s="1444">
        <f t="shared" si="2"/>
        <v>0</v>
      </c>
      <c r="I70" s="1444">
        <v>0</v>
      </c>
      <c r="J70" s="1444">
        <v>0</v>
      </c>
      <c r="K70" s="1444"/>
      <c r="L70" s="1444"/>
      <c r="M70" s="1444">
        <f t="shared" si="3"/>
        <v>0</v>
      </c>
      <c r="N70" s="1444">
        <f t="shared" si="4"/>
        <v>0</v>
      </c>
      <c r="O70" s="1445">
        <f t="shared" si="0"/>
        <v>0</v>
      </c>
      <c r="P70" s="1377">
        <f t="shared" si="1"/>
        <v>0</v>
      </c>
    </row>
    <row r="71" spans="1:16" ht="15.5" outlineLevel="1">
      <c r="A71" s="1314">
        <v>0</v>
      </c>
      <c r="B71" s="1452" t="s">
        <v>415</v>
      </c>
      <c r="C71" s="1442" t="s">
        <v>1618</v>
      </c>
      <c r="D71" s="1443">
        <v>44461</v>
      </c>
      <c r="E71" s="1444">
        <v>0.52</v>
      </c>
      <c r="F71" s="1444">
        <v>0</v>
      </c>
      <c r="G71" s="1444">
        <v>0</v>
      </c>
      <c r="H71" s="1444">
        <f t="shared" si="2"/>
        <v>0</v>
      </c>
      <c r="I71" s="1444">
        <v>0</v>
      </c>
      <c r="J71" s="1444">
        <v>0</v>
      </c>
      <c r="K71" s="1444"/>
      <c r="L71" s="1444"/>
      <c r="M71" s="1444">
        <f t="shared" si="3"/>
        <v>0</v>
      </c>
      <c r="N71" s="1444">
        <f t="shared" si="4"/>
        <v>0</v>
      </c>
      <c r="O71" s="1445">
        <f t="shared" si="0"/>
        <v>0</v>
      </c>
      <c r="P71" s="1377">
        <f t="shared" si="1"/>
        <v>0</v>
      </c>
    </row>
    <row r="72" spans="1:16" ht="46.5" outlineLevel="1">
      <c r="A72" s="1440">
        <v>19</v>
      </c>
      <c r="B72" s="1441" t="s">
        <v>1627</v>
      </c>
      <c r="C72" s="1442" t="s">
        <v>1628</v>
      </c>
      <c r="D72" s="1443">
        <v>45362</v>
      </c>
      <c r="E72" s="1444">
        <v>31.049999999999997</v>
      </c>
      <c r="F72" s="1444">
        <v>0</v>
      </c>
      <c r="G72" s="1444">
        <v>0</v>
      </c>
      <c r="H72" s="1444">
        <f t="shared" si="2"/>
        <v>0</v>
      </c>
      <c r="I72" s="1444">
        <v>0</v>
      </c>
      <c r="J72" s="1444">
        <v>0</v>
      </c>
      <c r="K72" s="1444"/>
      <c r="L72" s="1444"/>
      <c r="M72" s="1444">
        <f t="shared" si="3"/>
        <v>0</v>
      </c>
      <c r="N72" s="1444">
        <f t="shared" si="4"/>
        <v>0</v>
      </c>
      <c r="O72" s="1445">
        <f t="shared" si="0"/>
        <v>0</v>
      </c>
      <c r="P72" s="1377">
        <f t="shared" si="1"/>
        <v>0</v>
      </c>
    </row>
    <row r="73" spans="1:16" ht="15.5" outlineLevel="1">
      <c r="A73" s="1450">
        <v>19.100000000000001</v>
      </c>
      <c r="B73" s="1452" t="s">
        <v>1629</v>
      </c>
      <c r="C73" s="1442" t="s">
        <v>1628</v>
      </c>
      <c r="D73" s="1443">
        <v>45362</v>
      </c>
      <c r="E73" s="1444">
        <v>8.69</v>
      </c>
      <c r="F73" s="1444">
        <v>0</v>
      </c>
      <c r="G73" s="1444">
        <v>0</v>
      </c>
      <c r="H73" s="1444">
        <f t="shared" si="2"/>
        <v>0</v>
      </c>
      <c r="I73" s="1444">
        <v>0</v>
      </c>
      <c r="J73" s="1444">
        <v>0</v>
      </c>
      <c r="K73" s="1444"/>
      <c r="L73" s="1444"/>
      <c r="M73" s="1444">
        <f t="shared" si="3"/>
        <v>0</v>
      </c>
      <c r="N73" s="1444">
        <f t="shared" si="4"/>
        <v>0</v>
      </c>
      <c r="O73" s="1445">
        <f t="shared" si="0"/>
        <v>0</v>
      </c>
      <c r="P73" s="1377">
        <f t="shared" si="1"/>
        <v>0</v>
      </c>
    </row>
    <row r="74" spans="1:16" ht="31" outlineLevel="1">
      <c r="A74" s="1450">
        <v>19.2</v>
      </c>
      <c r="B74" s="1452" t="s">
        <v>1631</v>
      </c>
      <c r="C74" s="1442" t="s">
        <v>1628</v>
      </c>
      <c r="D74" s="1443">
        <v>45362</v>
      </c>
      <c r="E74" s="1444">
        <v>1.35</v>
      </c>
      <c r="F74" s="1444">
        <v>0</v>
      </c>
      <c r="G74" s="1444">
        <v>0</v>
      </c>
      <c r="H74" s="1444">
        <f t="shared" si="2"/>
        <v>0</v>
      </c>
      <c r="I74" s="1444">
        <v>0</v>
      </c>
      <c r="J74" s="1444">
        <v>0</v>
      </c>
      <c r="K74" s="1444"/>
      <c r="L74" s="1444"/>
      <c r="M74" s="1444">
        <f t="shared" si="3"/>
        <v>0</v>
      </c>
      <c r="N74" s="1444">
        <f t="shared" si="4"/>
        <v>0</v>
      </c>
      <c r="O74" s="1445">
        <f t="shared" ref="O74:O84" si="5">MAX(0,IF(M74=0,0,IF(G74+M74&lt;E74,M74,E74-G74)))</f>
        <v>0</v>
      </c>
      <c r="P74" s="1377">
        <f t="shared" ref="P74:P84" si="6">M74-O74</f>
        <v>0</v>
      </c>
    </row>
    <row r="75" spans="1:16" ht="15.5" outlineLevel="1">
      <c r="A75" s="1450">
        <v>19.3</v>
      </c>
      <c r="B75" s="1452" t="s">
        <v>1633</v>
      </c>
      <c r="C75" s="1442" t="s">
        <v>1628</v>
      </c>
      <c r="D75" s="1443">
        <v>45362</v>
      </c>
      <c r="E75" s="1444">
        <v>2.33</v>
      </c>
      <c r="F75" s="1444">
        <v>0</v>
      </c>
      <c r="G75" s="1444">
        <v>0</v>
      </c>
      <c r="H75" s="1444">
        <f t="shared" ref="H75:H138" si="7">F75-G75</f>
        <v>0</v>
      </c>
      <c r="I75" s="1444">
        <v>0</v>
      </c>
      <c r="J75" s="1444">
        <v>0</v>
      </c>
      <c r="K75" s="1444"/>
      <c r="L75" s="1444"/>
      <c r="M75" s="1444">
        <f t="shared" ref="M75:M138" si="8">SUM(J75:L75)</f>
        <v>0</v>
      </c>
      <c r="N75" s="1444">
        <f t="shared" ref="N75:N138" si="9">H75+I75-M75</f>
        <v>0</v>
      </c>
      <c r="O75" s="1445">
        <f t="shared" si="5"/>
        <v>0</v>
      </c>
      <c r="P75" s="1377">
        <f t="shared" si="6"/>
        <v>0</v>
      </c>
    </row>
    <row r="76" spans="1:16" ht="31" outlineLevel="1">
      <c r="A76" s="1450">
        <v>19.399999999999999</v>
      </c>
      <c r="B76" s="1452" t="s">
        <v>1634</v>
      </c>
      <c r="C76" s="1442" t="s">
        <v>1628</v>
      </c>
      <c r="D76" s="1443">
        <v>45362</v>
      </c>
      <c r="E76" s="1444">
        <v>18.18</v>
      </c>
      <c r="F76" s="1444">
        <v>0</v>
      </c>
      <c r="G76" s="1444">
        <v>0</v>
      </c>
      <c r="H76" s="1444">
        <f t="shared" si="7"/>
        <v>0</v>
      </c>
      <c r="I76" s="1444">
        <v>0</v>
      </c>
      <c r="J76" s="1444">
        <v>0</v>
      </c>
      <c r="K76" s="1444"/>
      <c r="L76" s="1444"/>
      <c r="M76" s="1444">
        <f t="shared" si="8"/>
        <v>0</v>
      </c>
      <c r="N76" s="1444">
        <f t="shared" si="9"/>
        <v>0</v>
      </c>
      <c r="O76" s="1445">
        <f t="shared" si="5"/>
        <v>0</v>
      </c>
      <c r="P76" s="1377">
        <f t="shared" si="6"/>
        <v>0</v>
      </c>
    </row>
    <row r="77" spans="1:16" ht="15.5" outlineLevel="1">
      <c r="A77" s="1314">
        <v>0</v>
      </c>
      <c r="B77" s="1452" t="s">
        <v>415</v>
      </c>
      <c r="C77" s="1442" t="s">
        <v>1628</v>
      </c>
      <c r="D77" s="1443">
        <v>45362</v>
      </c>
      <c r="E77" s="1444">
        <v>0.5</v>
      </c>
      <c r="F77" s="1444">
        <v>0</v>
      </c>
      <c r="G77" s="1444">
        <v>0</v>
      </c>
      <c r="H77" s="1444">
        <f t="shared" si="7"/>
        <v>0</v>
      </c>
      <c r="I77" s="1444">
        <v>0</v>
      </c>
      <c r="J77" s="1444">
        <v>0</v>
      </c>
      <c r="K77" s="1444"/>
      <c r="L77" s="1444"/>
      <c r="M77" s="1444">
        <f t="shared" si="8"/>
        <v>0</v>
      </c>
      <c r="N77" s="1444">
        <f t="shared" si="9"/>
        <v>0</v>
      </c>
      <c r="O77" s="1445">
        <f t="shared" si="5"/>
        <v>0</v>
      </c>
      <c r="P77" s="1377">
        <f t="shared" si="6"/>
        <v>0</v>
      </c>
    </row>
    <row r="78" spans="1:16" ht="31" outlineLevel="1">
      <c r="A78" s="1440" t="s">
        <v>1636</v>
      </c>
      <c r="B78" s="1441" t="s">
        <v>1637</v>
      </c>
      <c r="C78" s="1442" t="s">
        <v>1638</v>
      </c>
      <c r="D78" s="1443">
        <v>44604</v>
      </c>
      <c r="E78" s="1444">
        <v>57</v>
      </c>
      <c r="F78" s="1444">
        <v>0</v>
      </c>
      <c r="G78" s="1444">
        <v>0</v>
      </c>
      <c r="H78" s="1444">
        <f t="shared" si="7"/>
        <v>0</v>
      </c>
      <c r="I78" s="1444">
        <v>0</v>
      </c>
      <c r="J78" s="1444">
        <v>0</v>
      </c>
      <c r="K78" s="1444"/>
      <c r="L78" s="1444"/>
      <c r="M78" s="1444">
        <f t="shared" si="8"/>
        <v>0</v>
      </c>
      <c r="N78" s="1444">
        <f t="shared" si="9"/>
        <v>0</v>
      </c>
      <c r="O78" s="1445">
        <f t="shared" si="5"/>
        <v>0</v>
      </c>
      <c r="P78" s="1377">
        <f t="shared" si="6"/>
        <v>0</v>
      </c>
    </row>
    <row r="79" spans="1:16" ht="31" outlineLevel="1">
      <c r="A79" s="1446">
        <v>1</v>
      </c>
      <c r="B79" s="1447" t="s">
        <v>1637</v>
      </c>
      <c r="C79" s="1442" t="s">
        <v>1638</v>
      </c>
      <c r="D79" s="1443">
        <v>44604</v>
      </c>
      <c r="E79" s="1444">
        <v>54.24</v>
      </c>
      <c r="F79" s="1444">
        <v>0</v>
      </c>
      <c r="G79" s="1444">
        <v>0</v>
      </c>
      <c r="H79" s="1444">
        <f t="shared" si="7"/>
        <v>0</v>
      </c>
      <c r="I79" s="1444">
        <v>0</v>
      </c>
      <c r="J79" s="1444">
        <v>0</v>
      </c>
      <c r="K79" s="1444"/>
      <c r="L79" s="1444"/>
      <c r="M79" s="1444">
        <f t="shared" si="8"/>
        <v>0</v>
      </c>
      <c r="N79" s="1444">
        <f t="shared" si="9"/>
        <v>0</v>
      </c>
      <c r="O79" s="1445">
        <f t="shared" si="5"/>
        <v>0</v>
      </c>
      <c r="P79" s="1377">
        <f t="shared" si="6"/>
        <v>0</v>
      </c>
    </row>
    <row r="80" spans="1:16" ht="31" outlineLevel="1">
      <c r="A80" s="1446">
        <v>0</v>
      </c>
      <c r="B80" s="1447" t="s">
        <v>415</v>
      </c>
      <c r="C80" s="1442" t="s">
        <v>1638</v>
      </c>
      <c r="D80" s="1443">
        <v>44604</v>
      </c>
      <c r="E80" s="1444">
        <v>2.76</v>
      </c>
      <c r="F80" s="1444">
        <v>0</v>
      </c>
      <c r="G80" s="1444">
        <v>0</v>
      </c>
      <c r="H80" s="1444">
        <f t="shared" si="7"/>
        <v>0</v>
      </c>
      <c r="I80" s="1444">
        <v>0</v>
      </c>
      <c r="J80" s="1444">
        <v>0</v>
      </c>
      <c r="K80" s="1444"/>
      <c r="L80" s="1444"/>
      <c r="M80" s="1444">
        <f t="shared" si="8"/>
        <v>0</v>
      </c>
      <c r="N80" s="1444">
        <f t="shared" si="9"/>
        <v>0</v>
      </c>
      <c r="O80" s="1445">
        <f t="shared" si="5"/>
        <v>0</v>
      </c>
      <c r="P80" s="1377">
        <f t="shared" si="6"/>
        <v>0</v>
      </c>
    </row>
    <row r="81" spans="1:16" ht="31" outlineLevel="1">
      <c r="A81" s="1440" t="s">
        <v>1640</v>
      </c>
      <c r="B81" s="1441" t="s">
        <v>1641</v>
      </c>
      <c r="C81" s="1442" t="s">
        <v>1642</v>
      </c>
      <c r="D81" s="1443">
        <v>45232</v>
      </c>
      <c r="E81" s="1444">
        <v>69.308999999999997</v>
      </c>
      <c r="F81" s="1444">
        <v>0</v>
      </c>
      <c r="G81" s="1444">
        <v>0</v>
      </c>
      <c r="H81" s="1444">
        <f t="shared" si="7"/>
        <v>0</v>
      </c>
      <c r="I81" s="1444">
        <v>0</v>
      </c>
      <c r="J81" s="1444">
        <v>0</v>
      </c>
      <c r="K81" s="1444"/>
      <c r="L81" s="1444"/>
      <c r="M81" s="1444">
        <f t="shared" si="8"/>
        <v>0</v>
      </c>
      <c r="N81" s="1444">
        <f t="shared" si="9"/>
        <v>0</v>
      </c>
      <c r="O81" s="1445">
        <f t="shared" si="5"/>
        <v>0</v>
      </c>
      <c r="P81" s="1377">
        <f t="shared" si="6"/>
        <v>0</v>
      </c>
    </row>
    <row r="82" spans="1:16" ht="15.5" outlineLevel="1">
      <c r="A82" s="1446">
        <v>1</v>
      </c>
      <c r="B82" s="1447" t="s">
        <v>1641</v>
      </c>
      <c r="C82" s="1442" t="s">
        <v>1642</v>
      </c>
      <c r="D82" s="1443">
        <v>45232</v>
      </c>
      <c r="E82" s="1444">
        <v>66.009</v>
      </c>
      <c r="F82" s="1444">
        <v>0</v>
      </c>
      <c r="G82" s="1444">
        <v>0</v>
      </c>
      <c r="H82" s="1444">
        <f t="shared" si="7"/>
        <v>0</v>
      </c>
      <c r="I82" s="1444">
        <v>0</v>
      </c>
      <c r="J82" s="1444">
        <v>0</v>
      </c>
      <c r="K82" s="1444"/>
      <c r="L82" s="1444"/>
      <c r="M82" s="1444">
        <f t="shared" si="8"/>
        <v>0</v>
      </c>
      <c r="N82" s="1444">
        <f t="shared" si="9"/>
        <v>0</v>
      </c>
      <c r="O82" s="1445">
        <f t="shared" si="5"/>
        <v>0</v>
      </c>
      <c r="P82" s="1377">
        <f t="shared" si="6"/>
        <v>0</v>
      </c>
    </row>
    <row r="83" spans="1:16" ht="15.5" outlineLevel="1">
      <c r="A83" s="1446">
        <v>0</v>
      </c>
      <c r="B83" s="1447" t="s">
        <v>415</v>
      </c>
      <c r="C83" s="1442" t="s">
        <v>1642</v>
      </c>
      <c r="D83" s="1443">
        <v>45232</v>
      </c>
      <c r="E83" s="1444">
        <v>3.3</v>
      </c>
      <c r="F83" s="1444">
        <v>0</v>
      </c>
      <c r="G83" s="1444">
        <v>0</v>
      </c>
      <c r="H83" s="1444">
        <f t="shared" si="7"/>
        <v>0</v>
      </c>
      <c r="I83" s="1444">
        <v>0</v>
      </c>
      <c r="J83" s="1444">
        <v>0</v>
      </c>
      <c r="K83" s="1444"/>
      <c r="L83" s="1444"/>
      <c r="M83" s="1444">
        <f t="shared" si="8"/>
        <v>0</v>
      </c>
      <c r="N83" s="1444">
        <f t="shared" si="9"/>
        <v>0</v>
      </c>
      <c r="O83" s="1445">
        <f t="shared" si="5"/>
        <v>0</v>
      </c>
      <c r="P83" s="1377">
        <f t="shared" si="6"/>
        <v>0</v>
      </c>
    </row>
    <row r="84" spans="1:16" ht="31" outlineLevel="1">
      <c r="A84" s="1440">
        <v>20</v>
      </c>
      <c r="B84" s="1441" t="s">
        <v>1643</v>
      </c>
      <c r="C84" s="1442" t="s">
        <v>1644</v>
      </c>
      <c r="D84" s="1443">
        <v>45429</v>
      </c>
      <c r="E84" s="1444">
        <v>0</v>
      </c>
      <c r="F84" s="1444">
        <v>0</v>
      </c>
      <c r="G84" s="1444">
        <v>0</v>
      </c>
      <c r="H84" s="1444">
        <f t="shared" si="7"/>
        <v>0</v>
      </c>
      <c r="I84" s="1444">
        <v>0</v>
      </c>
      <c r="J84" s="1444">
        <v>0</v>
      </c>
      <c r="K84" s="1444"/>
      <c r="L84" s="1444"/>
      <c r="M84" s="1444">
        <f t="shared" si="8"/>
        <v>0</v>
      </c>
      <c r="N84" s="1444">
        <f t="shared" si="9"/>
        <v>0</v>
      </c>
      <c r="O84" s="1445">
        <f t="shared" si="5"/>
        <v>0</v>
      </c>
      <c r="P84" s="1377">
        <f t="shared" si="6"/>
        <v>0</v>
      </c>
    </row>
    <row r="85" spans="1:16" ht="46.5" outlineLevel="1">
      <c r="A85" s="1446">
        <v>20.100000000000001</v>
      </c>
      <c r="B85" s="1447" t="s">
        <v>1905</v>
      </c>
      <c r="C85" s="1442" t="s">
        <v>1644</v>
      </c>
      <c r="D85" s="1443">
        <v>45429</v>
      </c>
      <c r="E85" s="1444">
        <v>14.27</v>
      </c>
      <c r="F85" s="1444">
        <v>0</v>
      </c>
      <c r="G85" s="1444">
        <v>0</v>
      </c>
      <c r="H85" s="1444">
        <f t="shared" si="7"/>
        <v>0</v>
      </c>
      <c r="I85" s="1444">
        <v>0</v>
      </c>
      <c r="J85" s="1444">
        <v>0</v>
      </c>
      <c r="K85" s="1444"/>
      <c r="L85" s="1444"/>
      <c r="M85" s="1444">
        <f t="shared" si="8"/>
        <v>0</v>
      </c>
      <c r="N85" s="1444">
        <f t="shared" si="9"/>
        <v>0</v>
      </c>
      <c r="O85" s="1445"/>
      <c r="P85" s="1377"/>
    </row>
    <row r="86" spans="1:16" ht="31" outlineLevel="1">
      <c r="A86" s="1446">
        <v>20.2</v>
      </c>
      <c r="B86" s="1447" t="s">
        <v>1906</v>
      </c>
      <c r="C86" s="1442" t="s">
        <v>1644</v>
      </c>
      <c r="D86" s="1443">
        <v>45429</v>
      </c>
      <c r="E86" s="1444">
        <v>8.18</v>
      </c>
      <c r="F86" s="1444">
        <v>0</v>
      </c>
      <c r="G86" s="1444">
        <v>0</v>
      </c>
      <c r="H86" s="1444">
        <f t="shared" si="7"/>
        <v>0</v>
      </c>
      <c r="I86" s="1444">
        <v>0</v>
      </c>
      <c r="J86" s="1444">
        <v>0</v>
      </c>
      <c r="K86" s="1444"/>
      <c r="L86" s="1444"/>
      <c r="M86" s="1444">
        <f t="shared" si="8"/>
        <v>0</v>
      </c>
      <c r="N86" s="1444">
        <f t="shared" si="9"/>
        <v>0</v>
      </c>
      <c r="O86" s="1445"/>
      <c r="P86" s="1377"/>
    </row>
    <row r="87" spans="1:16" ht="31" outlineLevel="1">
      <c r="A87" s="1446">
        <v>20.3</v>
      </c>
      <c r="B87" s="1447" t="s">
        <v>1907</v>
      </c>
      <c r="C87" s="1442" t="s">
        <v>1644</v>
      </c>
      <c r="D87" s="1443">
        <v>45429</v>
      </c>
      <c r="E87" s="1444">
        <v>1.88</v>
      </c>
      <c r="F87" s="1444">
        <v>0</v>
      </c>
      <c r="G87" s="1444">
        <v>0</v>
      </c>
      <c r="H87" s="1444">
        <f t="shared" si="7"/>
        <v>0</v>
      </c>
      <c r="I87" s="1444">
        <v>0</v>
      </c>
      <c r="J87" s="1444">
        <v>0</v>
      </c>
      <c r="K87" s="1444"/>
      <c r="L87" s="1444"/>
      <c r="M87" s="1444">
        <f t="shared" si="8"/>
        <v>0</v>
      </c>
      <c r="N87" s="1444">
        <f t="shared" si="9"/>
        <v>0</v>
      </c>
      <c r="O87" s="1445"/>
      <c r="P87" s="1377"/>
    </row>
    <row r="88" spans="1:16" ht="31" outlineLevel="1">
      <c r="A88" s="1446">
        <v>20.399999999999999</v>
      </c>
      <c r="B88" s="1447" t="s">
        <v>1908</v>
      </c>
      <c r="C88" s="1442" t="s">
        <v>1644</v>
      </c>
      <c r="D88" s="1443">
        <v>45429</v>
      </c>
      <c r="E88" s="1444">
        <v>4.21</v>
      </c>
      <c r="F88" s="1444">
        <v>0</v>
      </c>
      <c r="G88" s="1444">
        <v>0</v>
      </c>
      <c r="H88" s="1444">
        <f t="shared" si="7"/>
        <v>0</v>
      </c>
      <c r="I88" s="1444">
        <v>0</v>
      </c>
      <c r="J88" s="1444">
        <v>0</v>
      </c>
      <c r="K88" s="1444"/>
      <c r="L88" s="1444"/>
      <c r="M88" s="1444">
        <f t="shared" si="8"/>
        <v>0</v>
      </c>
      <c r="N88" s="1444">
        <f t="shared" si="9"/>
        <v>0</v>
      </c>
      <c r="O88" s="1445"/>
      <c r="P88" s="1377"/>
    </row>
    <row r="89" spans="1:16" ht="31" outlineLevel="1">
      <c r="A89" s="1446">
        <v>20.5</v>
      </c>
      <c r="B89" s="1447" t="s">
        <v>1909</v>
      </c>
      <c r="C89" s="1442" t="s">
        <v>1644</v>
      </c>
      <c r="D89" s="1443">
        <v>45429</v>
      </c>
      <c r="E89" s="1444">
        <v>6.25</v>
      </c>
      <c r="F89" s="1444">
        <v>0</v>
      </c>
      <c r="G89" s="1444">
        <v>0</v>
      </c>
      <c r="H89" s="1444">
        <f t="shared" si="7"/>
        <v>0</v>
      </c>
      <c r="I89" s="1444">
        <v>0</v>
      </c>
      <c r="J89" s="1444">
        <v>0</v>
      </c>
      <c r="K89" s="1444"/>
      <c r="L89" s="1444"/>
      <c r="M89" s="1444">
        <f t="shared" si="8"/>
        <v>0</v>
      </c>
      <c r="N89" s="1444">
        <f t="shared" si="9"/>
        <v>0</v>
      </c>
      <c r="O89" s="1445"/>
      <c r="P89" s="1377"/>
    </row>
    <row r="90" spans="1:16" ht="15.5" outlineLevel="1">
      <c r="A90" s="1446">
        <v>20.6</v>
      </c>
      <c r="B90" s="1447" t="s">
        <v>1910</v>
      </c>
      <c r="C90" s="1442" t="s">
        <v>1644</v>
      </c>
      <c r="D90" s="1443">
        <v>45429</v>
      </c>
      <c r="E90" s="1444">
        <v>7.35</v>
      </c>
      <c r="F90" s="1444">
        <v>0</v>
      </c>
      <c r="G90" s="1444">
        <v>0</v>
      </c>
      <c r="H90" s="1444">
        <f t="shared" si="7"/>
        <v>0</v>
      </c>
      <c r="I90" s="1444">
        <v>0</v>
      </c>
      <c r="J90" s="1444">
        <v>0</v>
      </c>
      <c r="K90" s="1444"/>
      <c r="L90" s="1444"/>
      <c r="M90" s="1444">
        <f t="shared" si="8"/>
        <v>0</v>
      </c>
      <c r="N90" s="1444">
        <f t="shared" si="9"/>
        <v>0</v>
      </c>
      <c r="O90" s="1445"/>
      <c r="P90" s="1377"/>
    </row>
    <row r="91" spans="1:16" ht="15.5" outlineLevel="1">
      <c r="A91" s="1446">
        <v>0</v>
      </c>
      <c r="B91" s="1447" t="s">
        <v>415</v>
      </c>
      <c r="C91" s="1442">
        <v>0</v>
      </c>
      <c r="D91" s="1443" t="s">
        <v>1911</v>
      </c>
      <c r="E91" s="1444">
        <v>0</v>
      </c>
      <c r="F91" s="1444">
        <v>0</v>
      </c>
      <c r="G91" s="1444">
        <v>0</v>
      </c>
      <c r="H91" s="1444">
        <f t="shared" si="7"/>
        <v>0</v>
      </c>
      <c r="I91" s="1444">
        <v>0</v>
      </c>
      <c r="J91" s="1444">
        <v>0</v>
      </c>
      <c r="K91" s="1444"/>
      <c r="L91" s="1444"/>
      <c r="M91" s="1444">
        <f t="shared" si="8"/>
        <v>0</v>
      </c>
      <c r="N91" s="1444">
        <f t="shared" si="9"/>
        <v>0</v>
      </c>
      <c r="O91" s="1445"/>
      <c r="P91" s="1377"/>
    </row>
    <row r="92" spans="1:16" ht="15.5" outlineLevel="1">
      <c r="A92" s="1440">
        <v>21</v>
      </c>
      <c r="B92" s="1441" t="s">
        <v>1657</v>
      </c>
      <c r="C92" s="1442" t="s">
        <v>1658</v>
      </c>
      <c r="D92" s="1443" t="s">
        <v>1911</v>
      </c>
      <c r="E92" s="1444">
        <v>0</v>
      </c>
      <c r="F92" s="1444">
        <v>0</v>
      </c>
      <c r="G92" s="1444">
        <v>0</v>
      </c>
      <c r="H92" s="1444">
        <f t="shared" si="7"/>
        <v>0</v>
      </c>
      <c r="I92" s="1444">
        <v>0</v>
      </c>
      <c r="J92" s="1444">
        <v>0</v>
      </c>
      <c r="K92" s="1444"/>
      <c r="L92" s="1444"/>
      <c r="M92" s="1444">
        <f t="shared" si="8"/>
        <v>0</v>
      </c>
      <c r="N92" s="1444">
        <f t="shared" si="9"/>
        <v>0</v>
      </c>
      <c r="O92" s="1445"/>
      <c r="P92" s="1377"/>
    </row>
    <row r="93" spans="1:16" ht="31" outlineLevel="1">
      <c r="A93" s="1446">
        <v>21.1</v>
      </c>
      <c r="B93" s="1447" t="s">
        <v>1912</v>
      </c>
      <c r="C93" s="1442" t="s">
        <v>1658</v>
      </c>
      <c r="D93" s="1443">
        <v>45429</v>
      </c>
      <c r="E93" s="1444">
        <v>11.35</v>
      </c>
      <c r="F93" s="1444">
        <v>0</v>
      </c>
      <c r="G93" s="1444">
        <v>0</v>
      </c>
      <c r="H93" s="1444">
        <f t="shared" si="7"/>
        <v>0</v>
      </c>
      <c r="I93" s="1444">
        <v>0</v>
      </c>
      <c r="J93" s="1444">
        <v>0</v>
      </c>
      <c r="K93" s="1444"/>
      <c r="L93" s="1444"/>
      <c r="M93" s="1444">
        <f t="shared" si="8"/>
        <v>0</v>
      </c>
      <c r="N93" s="1444">
        <f t="shared" si="9"/>
        <v>0</v>
      </c>
      <c r="O93" s="1445"/>
      <c r="P93" s="1377"/>
    </row>
    <row r="94" spans="1:16" ht="15.5" outlineLevel="1">
      <c r="A94" s="1446">
        <v>21.2</v>
      </c>
      <c r="B94" s="1447" t="s">
        <v>1913</v>
      </c>
      <c r="C94" s="1442" t="s">
        <v>1658</v>
      </c>
      <c r="D94" s="1443">
        <v>45429</v>
      </c>
      <c r="E94" s="1444">
        <v>5.73</v>
      </c>
      <c r="F94" s="1444">
        <v>0</v>
      </c>
      <c r="G94" s="1444">
        <v>0</v>
      </c>
      <c r="H94" s="1444">
        <f t="shared" si="7"/>
        <v>0</v>
      </c>
      <c r="I94" s="1444">
        <v>0</v>
      </c>
      <c r="J94" s="1444">
        <v>0</v>
      </c>
      <c r="K94" s="1444"/>
      <c r="L94" s="1444"/>
      <c r="M94" s="1444">
        <f t="shared" si="8"/>
        <v>0</v>
      </c>
      <c r="N94" s="1444">
        <f t="shared" si="9"/>
        <v>0</v>
      </c>
      <c r="O94" s="1445"/>
      <c r="P94" s="1377"/>
    </row>
    <row r="95" spans="1:16" ht="31" outlineLevel="1">
      <c r="A95" s="1446">
        <v>21.3</v>
      </c>
      <c r="B95" s="1447" t="s">
        <v>1914</v>
      </c>
      <c r="C95" s="1442" t="s">
        <v>1658</v>
      </c>
      <c r="D95" s="1443">
        <v>45429</v>
      </c>
      <c r="E95" s="1444">
        <v>1.77</v>
      </c>
      <c r="F95" s="1444">
        <v>0</v>
      </c>
      <c r="G95" s="1444">
        <v>0</v>
      </c>
      <c r="H95" s="1444">
        <f t="shared" si="7"/>
        <v>0</v>
      </c>
      <c r="I95" s="1444">
        <v>0</v>
      </c>
      <c r="J95" s="1444">
        <v>0</v>
      </c>
      <c r="K95" s="1444"/>
      <c r="L95" s="1444"/>
      <c r="M95" s="1444">
        <f t="shared" si="8"/>
        <v>0</v>
      </c>
      <c r="N95" s="1444">
        <f t="shared" si="9"/>
        <v>0</v>
      </c>
      <c r="O95" s="1445"/>
      <c r="P95" s="1377"/>
    </row>
    <row r="96" spans="1:16" ht="31" outlineLevel="1">
      <c r="A96" s="1446">
        <v>21.4</v>
      </c>
      <c r="B96" s="1447" t="s">
        <v>1915</v>
      </c>
      <c r="C96" s="1442" t="s">
        <v>1658</v>
      </c>
      <c r="D96" s="1443">
        <v>45429</v>
      </c>
      <c r="E96" s="1444">
        <v>9.01</v>
      </c>
      <c r="F96" s="1444">
        <v>0</v>
      </c>
      <c r="G96" s="1444">
        <v>0</v>
      </c>
      <c r="H96" s="1444">
        <f t="shared" si="7"/>
        <v>0</v>
      </c>
      <c r="I96" s="1444">
        <v>0</v>
      </c>
      <c r="J96" s="1444">
        <v>0</v>
      </c>
      <c r="K96" s="1444"/>
      <c r="L96" s="1444"/>
      <c r="M96" s="1444">
        <f t="shared" si="8"/>
        <v>0</v>
      </c>
      <c r="N96" s="1444">
        <f t="shared" si="9"/>
        <v>0</v>
      </c>
      <c r="O96" s="1445"/>
      <c r="P96" s="1377"/>
    </row>
    <row r="97" spans="1:16" ht="31" outlineLevel="1">
      <c r="A97" s="1446">
        <v>21.5</v>
      </c>
      <c r="B97" s="1447" t="s">
        <v>1916</v>
      </c>
      <c r="C97" s="1442" t="s">
        <v>1658</v>
      </c>
      <c r="D97" s="1443">
        <v>45429</v>
      </c>
      <c r="E97" s="1444">
        <v>3.85</v>
      </c>
      <c r="F97" s="1444">
        <v>0</v>
      </c>
      <c r="G97" s="1444">
        <v>0</v>
      </c>
      <c r="H97" s="1444">
        <f t="shared" si="7"/>
        <v>0</v>
      </c>
      <c r="I97" s="1444">
        <v>0</v>
      </c>
      <c r="J97" s="1444">
        <v>0</v>
      </c>
      <c r="K97" s="1444"/>
      <c r="L97" s="1444"/>
      <c r="M97" s="1444">
        <f t="shared" si="8"/>
        <v>0</v>
      </c>
      <c r="N97" s="1444">
        <f t="shared" si="9"/>
        <v>0</v>
      </c>
      <c r="O97" s="1445"/>
      <c r="P97" s="1377"/>
    </row>
    <row r="98" spans="1:16" ht="31" outlineLevel="1">
      <c r="A98" s="1446">
        <v>21.6</v>
      </c>
      <c r="B98" s="1447" t="s">
        <v>1917</v>
      </c>
      <c r="C98" s="1442" t="s">
        <v>1658</v>
      </c>
      <c r="D98" s="1443">
        <v>45429</v>
      </c>
      <c r="E98" s="1444">
        <v>8.6199999999999992</v>
      </c>
      <c r="F98" s="1444">
        <v>0</v>
      </c>
      <c r="G98" s="1444">
        <v>0</v>
      </c>
      <c r="H98" s="1444">
        <f t="shared" si="7"/>
        <v>0</v>
      </c>
      <c r="I98" s="1444">
        <v>0</v>
      </c>
      <c r="J98" s="1444">
        <v>0</v>
      </c>
      <c r="K98" s="1444"/>
      <c r="L98" s="1444"/>
      <c r="M98" s="1444">
        <f t="shared" si="8"/>
        <v>0</v>
      </c>
      <c r="N98" s="1444">
        <f t="shared" si="9"/>
        <v>0</v>
      </c>
      <c r="O98" s="1445"/>
      <c r="P98" s="1377"/>
    </row>
    <row r="99" spans="1:16" ht="15.5" outlineLevel="1">
      <c r="A99" s="1446">
        <v>21.7</v>
      </c>
      <c r="B99" s="1447" t="s">
        <v>1918</v>
      </c>
      <c r="C99" s="1442" t="s">
        <v>1658</v>
      </c>
      <c r="D99" s="1443">
        <v>45429</v>
      </c>
      <c r="E99" s="1444">
        <v>8.06</v>
      </c>
      <c r="F99" s="1444">
        <v>0</v>
      </c>
      <c r="G99" s="1444">
        <v>0</v>
      </c>
      <c r="H99" s="1444">
        <f t="shared" si="7"/>
        <v>0</v>
      </c>
      <c r="I99" s="1444">
        <v>0</v>
      </c>
      <c r="J99" s="1444">
        <v>0</v>
      </c>
      <c r="K99" s="1444"/>
      <c r="L99" s="1444"/>
      <c r="M99" s="1444">
        <f t="shared" si="8"/>
        <v>0</v>
      </c>
      <c r="N99" s="1444">
        <f t="shared" si="9"/>
        <v>0</v>
      </c>
      <c r="O99" s="1445"/>
      <c r="P99" s="1377"/>
    </row>
    <row r="100" spans="1:16" ht="31" outlineLevel="1">
      <c r="A100" s="1446">
        <v>21.8</v>
      </c>
      <c r="B100" s="1447" t="s">
        <v>1919</v>
      </c>
      <c r="C100" s="1442" t="s">
        <v>1658</v>
      </c>
      <c r="D100" s="1443">
        <v>45429</v>
      </c>
      <c r="E100" s="1444">
        <v>4.9800000000000004</v>
      </c>
      <c r="F100" s="1444">
        <v>0</v>
      </c>
      <c r="G100" s="1444">
        <v>0</v>
      </c>
      <c r="H100" s="1444">
        <f t="shared" si="7"/>
        <v>0</v>
      </c>
      <c r="I100" s="1444">
        <v>0</v>
      </c>
      <c r="J100" s="1444">
        <v>0</v>
      </c>
      <c r="K100" s="1444"/>
      <c r="L100" s="1444"/>
      <c r="M100" s="1444">
        <f t="shared" si="8"/>
        <v>0</v>
      </c>
      <c r="N100" s="1444">
        <f t="shared" si="9"/>
        <v>0</v>
      </c>
      <c r="O100" s="1445"/>
      <c r="P100" s="1377"/>
    </row>
    <row r="101" spans="1:16" ht="15.5" outlineLevel="1">
      <c r="A101" s="1454">
        <v>21.9</v>
      </c>
      <c r="B101" s="1454" t="s">
        <v>1920</v>
      </c>
      <c r="C101" s="1442" t="s">
        <v>1658</v>
      </c>
      <c r="D101" s="1443">
        <v>45429</v>
      </c>
      <c r="E101" s="1444">
        <v>3.92</v>
      </c>
      <c r="F101" s="1444">
        <v>0</v>
      </c>
      <c r="G101" s="1444">
        <v>0</v>
      </c>
      <c r="H101" s="1444">
        <f t="shared" si="7"/>
        <v>0</v>
      </c>
      <c r="I101" s="1444">
        <v>0</v>
      </c>
      <c r="J101" s="1444">
        <v>0</v>
      </c>
      <c r="K101" s="1444"/>
      <c r="L101" s="1444"/>
      <c r="M101" s="1444">
        <f t="shared" si="8"/>
        <v>0</v>
      </c>
      <c r="N101" s="1444">
        <f t="shared" si="9"/>
        <v>0</v>
      </c>
      <c r="O101" s="1445"/>
      <c r="P101" s="1377"/>
    </row>
    <row r="102" spans="1:16" ht="15.5" outlineLevel="1">
      <c r="A102" s="1455">
        <v>0</v>
      </c>
      <c r="B102" s="1455" t="s">
        <v>415</v>
      </c>
      <c r="C102" s="1442">
        <v>0</v>
      </c>
      <c r="D102" s="1443" t="s">
        <v>1911</v>
      </c>
      <c r="E102" s="1444">
        <v>0</v>
      </c>
      <c r="F102" s="1444">
        <v>0</v>
      </c>
      <c r="G102" s="1444">
        <v>0</v>
      </c>
      <c r="H102" s="1444">
        <f t="shared" si="7"/>
        <v>0</v>
      </c>
      <c r="I102" s="1444">
        <v>0</v>
      </c>
      <c r="J102" s="1444">
        <v>0</v>
      </c>
      <c r="K102" s="1444"/>
      <c r="L102" s="1444"/>
      <c r="M102" s="1444">
        <f t="shared" si="8"/>
        <v>0</v>
      </c>
      <c r="N102" s="1444">
        <f t="shared" si="9"/>
        <v>0</v>
      </c>
      <c r="O102" s="1445"/>
      <c r="P102" s="1377"/>
    </row>
    <row r="103" spans="1:16" ht="15.5" outlineLevel="1">
      <c r="A103" s="1456">
        <v>0</v>
      </c>
      <c r="B103" s="1456" t="s">
        <v>1677</v>
      </c>
      <c r="C103" s="1442"/>
      <c r="D103" s="1443" t="s">
        <v>1911</v>
      </c>
      <c r="E103" s="1444">
        <v>0</v>
      </c>
      <c r="F103" s="1444">
        <v>0</v>
      </c>
      <c r="G103" s="1444">
        <v>0</v>
      </c>
      <c r="H103" s="1444">
        <f t="shared" si="7"/>
        <v>0</v>
      </c>
      <c r="I103" s="1444">
        <v>0</v>
      </c>
      <c r="J103" s="1444">
        <v>0</v>
      </c>
      <c r="K103" s="1444"/>
      <c r="L103" s="1444"/>
      <c r="M103" s="1444">
        <f t="shared" si="8"/>
        <v>0</v>
      </c>
      <c r="N103" s="1444">
        <f t="shared" si="9"/>
        <v>0</v>
      </c>
      <c r="O103" s="1445"/>
      <c r="P103" s="1377"/>
    </row>
    <row r="104" spans="1:16" ht="15.5" outlineLevel="1">
      <c r="A104" s="1455">
        <v>0</v>
      </c>
      <c r="B104" s="1455" t="s">
        <v>1678</v>
      </c>
      <c r="C104" s="1442"/>
      <c r="D104" s="1443" t="s">
        <v>1911</v>
      </c>
      <c r="E104" s="1444">
        <v>0</v>
      </c>
      <c r="F104" s="1444">
        <v>0.30071745999999999</v>
      </c>
      <c r="G104" s="1444">
        <v>0.30071745999999999</v>
      </c>
      <c r="H104" s="1444">
        <f t="shared" si="7"/>
        <v>0</v>
      </c>
      <c r="I104" s="1444">
        <v>0</v>
      </c>
      <c r="J104" s="1444">
        <v>0</v>
      </c>
      <c r="K104" s="1444"/>
      <c r="L104" s="1444"/>
      <c r="M104" s="1444">
        <f t="shared" si="8"/>
        <v>0</v>
      </c>
      <c r="N104" s="1444">
        <f t="shared" si="9"/>
        <v>0</v>
      </c>
      <c r="O104" s="1445"/>
      <c r="P104" s="1377"/>
    </row>
    <row r="105" spans="1:16" ht="15.5" outlineLevel="1">
      <c r="A105" s="1455">
        <v>0</v>
      </c>
      <c r="B105" s="1455" t="s">
        <v>1126</v>
      </c>
      <c r="C105" s="1442"/>
      <c r="D105" s="1443" t="s">
        <v>1911</v>
      </c>
      <c r="E105" s="1444">
        <v>0</v>
      </c>
      <c r="F105" s="1444">
        <v>1.0282827000000001</v>
      </c>
      <c r="G105" s="1444">
        <v>1.0282827000000001</v>
      </c>
      <c r="H105" s="1444">
        <f t="shared" si="7"/>
        <v>0</v>
      </c>
      <c r="I105" s="1444">
        <v>0</v>
      </c>
      <c r="J105" s="1444">
        <v>0</v>
      </c>
      <c r="K105" s="1444"/>
      <c r="L105" s="1444"/>
      <c r="M105" s="1444">
        <f t="shared" si="8"/>
        <v>0</v>
      </c>
      <c r="N105" s="1444">
        <f t="shared" si="9"/>
        <v>0</v>
      </c>
    </row>
    <row r="106" spans="1:16" ht="15.5" outlineLevel="1">
      <c r="A106" s="1456">
        <v>0</v>
      </c>
      <c r="B106" s="1456" t="s">
        <v>1679</v>
      </c>
      <c r="C106" s="1442"/>
      <c r="D106" s="1443" t="s">
        <v>1911</v>
      </c>
      <c r="E106" s="1444">
        <v>0</v>
      </c>
      <c r="F106" s="1444">
        <v>0</v>
      </c>
      <c r="G106" s="1444">
        <v>0</v>
      </c>
      <c r="H106" s="1444">
        <f t="shared" si="7"/>
        <v>0</v>
      </c>
      <c r="I106" s="1444">
        <v>0</v>
      </c>
      <c r="J106" s="1444">
        <v>0</v>
      </c>
      <c r="K106" s="1444"/>
      <c r="L106" s="1444"/>
      <c r="M106" s="1444">
        <f t="shared" si="8"/>
        <v>0</v>
      </c>
      <c r="N106" s="1444">
        <f t="shared" si="9"/>
        <v>0</v>
      </c>
    </row>
    <row r="107" spans="1:16" ht="15.5" outlineLevel="1">
      <c r="A107" s="1457">
        <v>0</v>
      </c>
      <c r="B107" s="1457" t="s">
        <v>1680</v>
      </c>
      <c r="C107" s="1442"/>
      <c r="D107" s="1443" t="s">
        <v>1911</v>
      </c>
      <c r="E107" s="1444">
        <v>0</v>
      </c>
      <c r="F107" s="1444">
        <v>0</v>
      </c>
      <c r="G107" s="1444">
        <v>0</v>
      </c>
      <c r="H107" s="1444">
        <f t="shared" si="7"/>
        <v>0</v>
      </c>
      <c r="I107" s="1444">
        <v>0</v>
      </c>
      <c r="J107" s="1444">
        <v>0</v>
      </c>
      <c r="K107" s="1444"/>
      <c r="L107" s="1444"/>
      <c r="M107" s="1444">
        <f t="shared" si="8"/>
        <v>0</v>
      </c>
      <c r="N107" s="1444">
        <f t="shared" si="9"/>
        <v>0</v>
      </c>
    </row>
    <row r="108" spans="1:16" ht="31" outlineLevel="1">
      <c r="A108" s="1458">
        <v>1</v>
      </c>
      <c r="B108" s="1459" t="s">
        <v>1681</v>
      </c>
      <c r="C108" s="1442"/>
      <c r="D108" s="1443" t="s">
        <v>1911</v>
      </c>
      <c r="E108" s="1444">
        <v>0</v>
      </c>
      <c r="F108" s="1444">
        <v>0</v>
      </c>
      <c r="G108" s="1444">
        <v>0</v>
      </c>
      <c r="H108" s="1444">
        <f t="shared" si="7"/>
        <v>0</v>
      </c>
      <c r="I108" s="1444">
        <v>0</v>
      </c>
      <c r="J108" s="1444">
        <v>0</v>
      </c>
      <c r="K108" s="1444"/>
      <c r="L108" s="1444"/>
      <c r="M108" s="1444">
        <f t="shared" si="8"/>
        <v>0</v>
      </c>
      <c r="N108" s="1444">
        <f t="shared" si="9"/>
        <v>0</v>
      </c>
    </row>
    <row r="109" spans="1:16" ht="62" outlineLevel="1">
      <c r="A109" s="1455">
        <v>1.1000000000000001</v>
      </c>
      <c r="B109" s="1455" t="s">
        <v>1682</v>
      </c>
      <c r="C109" s="1442"/>
      <c r="D109" s="1443" t="s">
        <v>1911</v>
      </c>
      <c r="E109" s="1444">
        <v>0</v>
      </c>
      <c r="F109" s="1444">
        <v>0</v>
      </c>
      <c r="G109" s="1444">
        <v>0</v>
      </c>
      <c r="H109" s="1444">
        <f t="shared" si="7"/>
        <v>0</v>
      </c>
      <c r="I109" s="1444">
        <v>0</v>
      </c>
      <c r="J109" s="1444">
        <v>0</v>
      </c>
      <c r="K109" s="1444"/>
      <c r="L109" s="1444"/>
      <c r="M109" s="1444">
        <f t="shared" si="8"/>
        <v>0</v>
      </c>
      <c r="N109" s="1444">
        <f t="shared" si="9"/>
        <v>0</v>
      </c>
    </row>
    <row r="110" spans="1:16" ht="31" outlineLevel="1">
      <c r="A110" s="1455">
        <v>1.2</v>
      </c>
      <c r="B110" s="1455" t="s">
        <v>1683</v>
      </c>
      <c r="C110" s="1442"/>
      <c r="D110" s="1443" t="s">
        <v>1911</v>
      </c>
      <c r="E110" s="1444">
        <v>0</v>
      </c>
      <c r="F110" s="1444">
        <v>0</v>
      </c>
      <c r="G110" s="1444">
        <v>0</v>
      </c>
      <c r="H110" s="1444">
        <f t="shared" si="7"/>
        <v>0</v>
      </c>
      <c r="I110" s="1444">
        <v>0</v>
      </c>
      <c r="J110" s="1444">
        <v>0</v>
      </c>
      <c r="K110" s="1444"/>
      <c r="L110" s="1444"/>
      <c r="M110" s="1444">
        <f t="shared" si="8"/>
        <v>0</v>
      </c>
      <c r="N110" s="1444">
        <f t="shared" si="9"/>
        <v>0</v>
      </c>
    </row>
    <row r="111" spans="1:16" ht="31" outlineLevel="1">
      <c r="A111" s="1455">
        <v>1.3</v>
      </c>
      <c r="B111" s="1455" t="s">
        <v>1684</v>
      </c>
      <c r="C111" s="1442"/>
      <c r="D111" s="1443" t="s">
        <v>1911</v>
      </c>
      <c r="E111" s="1444">
        <v>0</v>
      </c>
      <c r="F111" s="1444">
        <v>0</v>
      </c>
      <c r="G111" s="1444">
        <v>0</v>
      </c>
      <c r="H111" s="1444">
        <f t="shared" si="7"/>
        <v>0</v>
      </c>
      <c r="I111" s="1444">
        <v>0</v>
      </c>
      <c r="J111" s="1444">
        <v>0</v>
      </c>
      <c r="K111" s="1444"/>
      <c r="L111" s="1444"/>
      <c r="M111" s="1444">
        <f t="shared" si="8"/>
        <v>0</v>
      </c>
      <c r="N111" s="1444">
        <f t="shared" si="9"/>
        <v>0</v>
      </c>
    </row>
    <row r="112" spans="1:16" ht="15.5" outlineLevel="1">
      <c r="A112" s="1458">
        <v>2</v>
      </c>
      <c r="B112" s="1459" t="s">
        <v>1685</v>
      </c>
      <c r="C112" s="1442"/>
      <c r="D112" s="1443" t="s">
        <v>1911</v>
      </c>
      <c r="E112" s="1444">
        <v>0</v>
      </c>
      <c r="F112" s="1444">
        <v>0</v>
      </c>
      <c r="G112" s="1444">
        <v>0</v>
      </c>
      <c r="H112" s="1444">
        <f t="shared" si="7"/>
        <v>0</v>
      </c>
      <c r="I112" s="1444">
        <v>0</v>
      </c>
      <c r="J112" s="1444">
        <v>0</v>
      </c>
      <c r="K112" s="1444"/>
      <c r="L112" s="1444"/>
      <c r="M112" s="1444">
        <f t="shared" si="8"/>
        <v>0</v>
      </c>
      <c r="N112" s="1444">
        <f t="shared" si="9"/>
        <v>0</v>
      </c>
    </row>
    <row r="113" spans="1:14" ht="31" outlineLevel="1">
      <c r="A113" s="1455">
        <v>2.1</v>
      </c>
      <c r="B113" s="1455" t="s">
        <v>1686</v>
      </c>
      <c r="C113" s="1442"/>
      <c r="D113" s="1443" t="s">
        <v>1911</v>
      </c>
      <c r="E113" s="1444">
        <v>0</v>
      </c>
      <c r="F113" s="1444">
        <v>0</v>
      </c>
      <c r="G113" s="1444">
        <v>0</v>
      </c>
      <c r="H113" s="1444">
        <f t="shared" si="7"/>
        <v>0</v>
      </c>
      <c r="I113" s="1444">
        <v>0</v>
      </c>
      <c r="J113" s="1444">
        <v>0</v>
      </c>
      <c r="K113" s="1444"/>
      <c r="L113" s="1444"/>
      <c r="M113" s="1444">
        <f t="shared" si="8"/>
        <v>0</v>
      </c>
      <c r="N113" s="1444">
        <f t="shared" si="9"/>
        <v>0</v>
      </c>
    </row>
    <row r="114" spans="1:14" ht="31" outlineLevel="1">
      <c r="A114" s="1455">
        <v>2.2000000000000002</v>
      </c>
      <c r="B114" s="1455" t="s">
        <v>1687</v>
      </c>
      <c r="C114" s="1442"/>
      <c r="D114" s="1443" t="s">
        <v>1911</v>
      </c>
      <c r="E114" s="1444">
        <v>0</v>
      </c>
      <c r="F114" s="1444">
        <v>0</v>
      </c>
      <c r="G114" s="1444">
        <v>0</v>
      </c>
      <c r="H114" s="1444">
        <f t="shared" si="7"/>
        <v>0</v>
      </c>
      <c r="I114" s="1444">
        <v>0</v>
      </c>
      <c r="J114" s="1444">
        <v>0</v>
      </c>
      <c r="K114" s="1444"/>
      <c r="L114" s="1444"/>
      <c r="M114" s="1444">
        <f t="shared" si="8"/>
        <v>0</v>
      </c>
      <c r="N114" s="1444">
        <f t="shared" si="9"/>
        <v>0</v>
      </c>
    </row>
    <row r="115" spans="1:14" ht="15.5" outlineLevel="1">
      <c r="A115" s="1455">
        <v>2.2999999999999998</v>
      </c>
      <c r="B115" s="1455" t="s">
        <v>1688</v>
      </c>
      <c r="C115" s="1442"/>
      <c r="D115" s="1443" t="s">
        <v>1911</v>
      </c>
      <c r="E115" s="1444">
        <v>0</v>
      </c>
      <c r="F115" s="1444">
        <v>0</v>
      </c>
      <c r="G115" s="1444">
        <v>0</v>
      </c>
      <c r="H115" s="1444">
        <f t="shared" si="7"/>
        <v>0</v>
      </c>
      <c r="I115" s="1444">
        <v>0</v>
      </c>
      <c r="J115" s="1444">
        <v>0</v>
      </c>
      <c r="K115" s="1444"/>
      <c r="L115" s="1444"/>
      <c r="M115" s="1444">
        <f t="shared" si="8"/>
        <v>0</v>
      </c>
      <c r="N115" s="1444">
        <f t="shared" si="9"/>
        <v>0</v>
      </c>
    </row>
    <row r="116" spans="1:14" ht="15.5" outlineLevel="1">
      <c r="A116" s="1455">
        <v>2.4</v>
      </c>
      <c r="B116" s="1455" t="s">
        <v>1689</v>
      </c>
      <c r="C116" s="1442"/>
      <c r="D116" s="1443" t="s">
        <v>1911</v>
      </c>
      <c r="E116" s="1444">
        <v>0</v>
      </c>
      <c r="F116" s="1444">
        <v>0</v>
      </c>
      <c r="G116" s="1444">
        <v>0</v>
      </c>
      <c r="H116" s="1444">
        <f t="shared" si="7"/>
        <v>0</v>
      </c>
      <c r="I116" s="1444">
        <v>0</v>
      </c>
      <c r="J116" s="1444">
        <v>0</v>
      </c>
      <c r="K116" s="1444"/>
      <c r="L116" s="1444"/>
      <c r="M116" s="1444">
        <f t="shared" si="8"/>
        <v>0</v>
      </c>
      <c r="N116" s="1444">
        <f t="shared" si="9"/>
        <v>0</v>
      </c>
    </row>
    <row r="117" spans="1:14" ht="15.5" outlineLevel="1">
      <c r="A117" s="1458">
        <v>3</v>
      </c>
      <c r="B117" s="1459" t="s">
        <v>1690</v>
      </c>
      <c r="C117" s="1442"/>
      <c r="D117" s="1443" t="s">
        <v>1911</v>
      </c>
      <c r="E117" s="1444">
        <v>0</v>
      </c>
      <c r="F117" s="1444">
        <v>0</v>
      </c>
      <c r="G117" s="1444">
        <v>0</v>
      </c>
      <c r="H117" s="1444">
        <f t="shared" si="7"/>
        <v>0</v>
      </c>
      <c r="I117" s="1444">
        <v>0</v>
      </c>
      <c r="J117" s="1444">
        <v>0</v>
      </c>
      <c r="K117" s="1444"/>
      <c r="L117" s="1444"/>
      <c r="M117" s="1444">
        <f t="shared" si="8"/>
        <v>0</v>
      </c>
      <c r="N117" s="1444">
        <f t="shared" si="9"/>
        <v>0</v>
      </c>
    </row>
    <row r="118" spans="1:14" ht="15.5" outlineLevel="1">
      <c r="A118" s="1455">
        <v>3.1</v>
      </c>
      <c r="B118" s="1455" t="s">
        <v>1691</v>
      </c>
      <c r="C118" s="1442"/>
      <c r="D118" s="1443" t="s">
        <v>1911</v>
      </c>
      <c r="E118" s="1444">
        <v>0</v>
      </c>
      <c r="F118" s="1444">
        <v>0</v>
      </c>
      <c r="G118" s="1444">
        <v>0</v>
      </c>
      <c r="H118" s="1444">
        <f t="shared" si="7"/>
        <v>0</v>
      </c>
      <c r="I118" s="1444">
        <v>0</v>
      </c>
      <c r="J118" s="1444">
        <v>0</v>
      </c>
      <c r="K118" s="1444"/>
      <c r="L118" s="1444"/>
      <c r="M118" s="1444">
        <f t="shared" si="8"/>
        <v>0</v>
      </c>
      <c r="N118" s="1444">
        <f t="shared" si="9"/>
        <v>0</v>
      </c>
    </row>
    <row r="119" spans="1:14" ht="15.5" outlineLevel="1">
      <c r="A119" s="1455">
        <v>3.2</v>
      </c>
      <c r="B119" s="1455" t="s">
        <v>1692</v>
      </c>
      <c r="C119" s="1442"/>
      <c r="D119" s="1443" t="s">
        <v>1911</v>
      </c>
      <c r="E119" s="1444">
        <v>0</v>
      </c>
      <c r="F119" s="1444">
        <v>0</v>
      </c>
      <c r="G119" s="1444">
        <v>0</v>
      </c>
      <c r="H119" s="1444">
        <f t="shared" si="7"/>
        <v>0</v>
      </c>
      <c r="I119" s="1444">
        <v>0</v>
      </c>
      <c r="J119" s="1444">
        <v>0</v>
      </c>
      <c r="K119" s="1444"/>
      <c r="L119" s="1444"/>
      <c r="M119" s="1444">
        <f t="shared" si="8"/>
        <v>0</v>
      </c>
      <c r="N119" s="1444">
        <f t="shared" si="9"/>
        <v>0</v>
      </c>
    </row>
    <row r="120" spans="1:14" ht="15.5" outlineLevel="1">
      <c r="A120" s="1455">
        <v>3.3</v>
      </c>
      <c r="B120" s="1455" t="s">
        <v>1693</v>
      </c>
      <c r="C120" s="1442"/>
      <c r="D120" s="1443" t="s">
        <v>1911</v>
      </c>
      <c r="E120" s="1444">
        <v>0</v>
      </c>
      <c r="F120" s="1444">
        <v>0</v>
      </c>
      <c r="G120" s="1444">
        <v>0</v>
      </c>
      <c r="H120" s="1444">
        <f t="shared" si="7"/>
        <v>0</v>
      </c>
      <c r="I120" s="1444">
        <v>0</v>
      </c>
      <c r="J120" s="1444">
        <v>0</v>
      </c>
      <c r="K120" s="1444"/>
      <c r="L120" s="1444"/>
      <c r="M120" s="1444">
        <f t="shared" si="8"/>
        <v>0</v>
      </c>
      <c r="N120" s="1444">
        <f t="shared" si="9"/>
        <v>0</v>
      </c>
    </row>
    <row r="121" spans="1:14" ht="31" outlineLevel="1">
      <c r="A121" s="1455">
        <v>3.4</v>
      </c>
      <c r="B121" s="1455" t="s">
        <v>1694</v>
      </c>
      <c r="C121" s="1442"/>
      <c r="D121" s="1443" t="s">
        <v>1911</v>
      </c>
      <c r="E121" s="1444">
        <v>0</v>
      </c>
      <c r="F121" s="1444">
        <v>0</v>
      </c>
      <c r="G121" s="1444">
        <v>0</v>
      </c>
      <c r="H121" s="1444">
        <f t="shared" si="7"/>
        <v>0</v>
      </c>
      <c r="I121" s="1444">
        <v>0</v>
      </c>
      <c r="J121" s="1444">
        <v>0</v>
      </c>
      <c r="K121" s="1444"/>
      <c r="L121" s="1444"/>
      <c r="M121" s="1444">
        <f t="shared" si="8"/>
        <v>0</v>
      </c>
      <c r="N121" s="1444">
        <f t="shared" si="9"/>
        <v>0</v>
      </c>
    </row>
    <row r="122" spans="1:14" ht="31" outlineLevel="1">
      <c r="A122" s="1455">
        <v>3.5</v>
      </c>
      <c r="B122" s="1455" t="s">
        <v>1695</v>
      </c>
      <c r="C122" s="1442"/>
      <c r="D122" s="1443" t="s">
        <v>1911</v>
      </c>
      <c r="E122" s="1444">
        <v>0</v>
      </c>
      <c r="F122" s="1444">
        <v>0</v>
      </c>
      <c r="G122" s="1444">
        <v>0</v>
      </c>
      <c r="H122" s="1444">
        <f t="shared" si="7"/>
        <v>0</v>
      </c>
      <c r="I122" s="1444">
        <v>0</v>
      </c>
      <c r="J122" s="1444">
        <v>0</v>
      </c>
      <c r="K122" s="1444"/>
      <c r="L122" s="1444"/>
      <c r="M122" s="1444">
        <f t="shared" si="8"/>
        <v>0</v>
      </c>
      <c r="N122" s="1444">
        <f t="shared" si="9"/>
        <v>0</v>
      </c>
    </row>
    <row r="123" spans="1:14" ht="15.5" outlineLevel="1">
      <c r="A123" s="1455">
        <v>3.6</v>
      </c>
      <c r="B123" s="1455" t="s">
        <v>1696</v>
      </c>
      <c r="C123" s="1442"/>
      <c r="D123" s="1443" t="s">
        <v>1911</v>
      </c>
      <c r="E123" s="1444">
        <v>0</v>
      </c>
      <c r="F123" s="1444">
        <v>0</v>
      </c>
      <c r="G123" s="1444">
        <v>0</v>
      </c>
      <c r="H123" s="1444">
        <f t="shared" si="7"/>
        <v>0</v>
      </c>
      <c r="I123" s="1444">
        <v>0</v>
      </c>
      <c r="J123" s="1444">
        <v>0</v>
      </c>
      <c r="K123" s="1444"/>
      <c r="L123" s="1444"/>
      <c r="M123" s="1444">
        <f t="shared" si="8"/>
        <v>0</v>
      </c>
      <c r="N123" s="1444">
        <f t="shared" si="9"/>
        <v>0</v>
      </c>
    </row>
    <row r="124" spans="1:14" ht="15.5" outlineLevel="1">
      <c r="A124" s="1458">
        <v>4</v>
      </c>
      <c r="B124" s="1459" t="s">
        <v>1697</v>
      </c>
      <c r="C124" s="1442"/>
      <c r="D124" s="1443" t="s">
        <v>1911</v>
      </c>
      <c r="E124" s="1444">
        <v>0</v>
      </c>
      <c r="F124" s="1444">
        <v>0</v>
      </c>
      <c r="G124" s="1444">
        <v>0</v>
      </c>
      <c r="H124" s="1444">
        <f t="shared" si="7"/>
        <v>0</v>
      </c>
      <c r="I124" s="1444">
        <v>0</v>
      </c>
      <c r="J124" s="1444">
        <v>0</v>
      </c>
      <c r="K124" s="1444"/>
      <c r="L124" s="1444"/>
      <c r="M124" s="1444">
        <f t="shared" si="8"/>
        <v>0</v>
      </c>
      <c r="N124" s="1444">
        <f t="shared" si="9"/>
        <v>0</v>
      </c>
    </row>
    <row r="125" spans="1:14" ht="31" outlineLevel="1">
      <c r="A125" s="1455">
        <v>4.0999999999999996</v>
      </c>
      <c r="B125" s="1455" t="s">
        <v>1698</v>
      </c>
      <c r="C125" s="1442"/>
      <c r="D125" s="1443" t="s">
        <v>1911</v>
      </c>
      <c r="E125" s="1444">
        <v>0</v>
      </c>
      <c r="F125" s="1444">
        <v>0</v>
      </c>
      <c r="G125" s="1444">
        <v>0</v>
      </c>
      <c r="H125" s="1444">
        <f t="shared" si="7"/>
        <v>0</v>
      </c>
      <c r="I125" s="1444">
        <v>0</v>
      </c>
      <c r="J125" s="1444">
        <v>0</v>
      </c>
      <c r="K125" s="1444"/>
      <c r="L125" s="1444"/>
      <c r="M125" s="1444">
        <f t="shared" si="8"/>
        <v>0</v>
      </c>
      <c r="N125" s="1444">
        <f t="shared" si="9"/>
        <v>0</v>
      </c>
    </row>
    <row r="126" spans="1:14" ht="31" outlineLevel="1">
      <c r="A126" s="1455">
        <v>4.2</v>
      </c>
      <c r="B126" s="1455" t="s">
        <v>1699</v>
      </c>
      <c r="C126" s="1442"/>
      <c r="D126" s="1443" t="s">
        <v>1911</v>
      </c>
      <c r="E126" s="1444">
        <v>0</v>
      </c>
      <c r="F126" s="1444">
        <v>0</v>
      </c>
      <c r="G126" s="1444">
        <v>0</v>
      </c>
      <c r="H126" s="1444">
        <f t="shared" si="7"/>
        <v>0</v>
      </c>
      <c r="I126" s="1444">
        <v>0</v>
      </c>
      <c r="J126" s="1444">
        <v>0</v>
      </c>
      <c r="K126" s="1444"/>
      <c r="L126" s="1444"/>
      <c r="M126" s="1444">
        <f t="shared" si="8"/>
        <v>0</v>
      </c>
      <c r="N126" s="1444">
        <f t="shared" si="9"/>
        <v>0</v>
      </c>
    </row>
    <row r="127" spans="1:14" ht="31" outlineLevel="1">
      <c r="A127" s="1455">
        <v>4.3</v>
      </c>
      <c r="B127" s="1455" t="s">
        <v>1700</v>
      </c>
      <c r="C127" s="1442"/>
      <c r="D127" s="1443" t="s">
        <v>1911</v>
      </c>
      <c r="E127" s="1444">
        <v>0</v>
      </c>
      <c r="F127" s="1444">
        <v>0</v>
      </c>
      <c r="G127" s="1444">
        <v>0</v>
      </c>
      <c r="H127" s="1444">
        <f t="shared" si="7"/>
        <v>0</v>
      </c>
      <c r="I127" s="1444">
        <v>0</v>
      </c>
      <c r="J127" s="1444">
        <v>0</v>
      </c>
      <c r="K127" s="1444"/>
      <c r="L127" s="1444"/>
      <c r="M127" s="1444">
        <f t="shared" si="8"/>
        <v>0</v>
      </c>
      <c r="N127" s="1444">
        <f t="shared" si="9"/>
        <v>0</v>
      </c>
    </row>
    <row r="128" spans="1:14" ht="31" outlineLevel="1">
      <c r="A128" s="1455">
        <v>4.4000000000000004</v>
      </c>
      <c r="B128" s="1455" t="s">
        <v>1701</v>
      </c>
      <c r="C128" s="1442"/>
      <c r="D128" s="1443" t="s">
        <v>1911</v>
      </c>
      <c r="E128" s="1444">
        <v>0</v>
      </c>
      <c r="F128" s="1444">
        <v>0</v>
      </c>
      <c r="G128" s="1444">
        <v>0</v>
      </c>
      <c r="H128" s="1444">
        <f t="shared" si="7"/>
        <v>0</v>
      </c>
      <c r="I128" s="1444">
        <v>0</v>
      </c>
      <c r="J128" s="1444">
        <v>0</v>
      </c>
      <c r="K128" s="1444"/>
      <c r="L128" s="1444"/>
      <c r="M128" s="1444">
        <f t="shared" si="8"/>
        <v>0</v>
      </c>
      <c r="N128" s="1444">
        <f t="shared" si="9"/>
        <v>0</v>
      </c>
    </row>
    <row r="129" spans="1:14" ht="15.5" outlineLevel="1">
      <c r="A129" s="1455">
        <v>4.5</v>
      </c>
      <c r="B129" s="1455" t="s">
        <v>1702</v>
      </c>
      <c r="C129" s="1442"/>
      <c r="D129" s="1443" t="s">
        <v>1911</v>
      </c>
      <c r="E129" s="1444">
        <v>0</v>
      </c>
      <c r="F129" s="1444">
        <v>0</v>
      </c>
      <c r="G129" s="1444">
        <v>0</v>
      </c>
      <c r="H129" s="1444">
        <f t="shared" si="7"/>
        <v>0</v>
      </c>
      <c r="I129" s="1444">
        <v>0</v>
      </c>
      <c r="J129" s="1444">
        <v>0</v>
      </c>
      <c r="K129" s="1444"/>
      <c r="L129" s="1444"/>
      <c r="M129" s="1444">
        <f t="shared" si="8"/>
        <v>0</v>
      </c>
      <c r="N129" s="1444">
        <f t="shared" si="9"/>
        <v>0</v>
      </c>
    </row>
    <row r="130" spans="1:14" ht="15.5" outlineLevel="1">
      <c r="A130" s="1457">
        <v>0</v>
      </c>
      <c r="B130" s="1457" t="s">
        <v>1703</v>
      </c>
      <c r="C130" s="1442"/>
      <c r="D130" s="1443" t="s">
        <v>1911</v>
      </c>
      <c r="E130" s="1444">
        <v>0</v>
      </c>
      <c r="F130" s="1444">
        <v>0</v>
      </c>
      <c r="G130" s="1444">
        <v>0</v>
      </c>
      <c r="H130" s="1444">
        <f t="shared" si="7"/>
        <v>0</v>
      </c>
      <c r="I130" s="1444">
        <v>0</v>
      </c>
      <c r="J130" s="1444">
        <v>0</v>
      </c>
      <c r="K130" s="1444"/>
      <c r="L130" s="1444"/>
      <c r="M130" s="1444">
        <f t="shared" si="8"/>
        <v>0</v>
      </c>
      <c r="N130" s="1444">
        <f t="shared" si="9"/>
        <v>0</v>
      </c>
    </row>
    <row r="131" spans="1:14" ht="31" outlineLevel="1">
      <c r="A131" s="1458">
        <v>1</v>
      </c>
      <c r="B131" s="1459" t="s">
        <v>1704</v>
      </c>
      <c r="C131" s="1442"/>
      <c r="D131" s="1443" t="s">
        <v>1911</v>
      </c>
      <c r="E131" s="1444">
        <v>0</v>
      </c>
      <c r="F131" s="1444">
        <v>0</v>
      </c>
      <c r="G131" s="1444">
        <v>0</v>
      </c>
      <c r="H131" s="1444">
        <f t="shared" si="7"/>
        <v>0</v>
      </c>
      <c r="I131" s="1444">
        <v>0</v>
      </c>
      <c r="J131" s="1444">
        <v>0</v>
      </c>
      <c r="K131" s="1444"/>
      <c r="L131" s="1444"/>
      <c r="M131" s="1444">
        <f t="shared" si="8"/>
        <v>0</v>
      </c>
      <c r="N131" s="1444">
        <f t="shared" si="9"/>
        <v>0</v>
      </c>
    </row>
    <row r="132" spans="1:14" ht="31" outlineLevel="1">
      <c r="A132" s="1455">
        <v>1.1000000000000001</v>
      </c>
      <c r="B132" s="1455" t="s">
        <v>1704</v>
      </c>
      <c r="C132" s="1442"/>
      <c r="D132" s="1443" t="s">
        <v>1911</v>
      </c>
      <c r="E132" s="1444">
        <v>0</v>
      </c>
      <c r="F132" s="1444">
        <v>0</v>
      </c>
      <c r="G132" s="1444">
        <v>0</v>
      </c>
      <c r="H132" s="1444">
        <f t="shared" si="7"/>
        <v>0</v>
      </c>
      <c r="I132" s="1444">
        <v>0</v>
      </c>
      <c r="J132" s="1444">
        <v>0</v>
      </c>
      <c r="K132" s="1444"/>
      <c r="L132" s="1444"/>
      <c r="M132" s="1444">
        <f t="shared" si="8"/>
        <v>0</v>
      </c>
      <c r="N132" s="1444">
        <f t="shared" si="9"/>
        <v>0</v>
      </c>
    </row>
    <row r="133" spans="1:14" ht="46.5" outlineLevel="1">
      <c r="A133" s="1455">
        <v>2</v>
      </c>
      <c r="B133" s="1455" t="s">
        <v>1705</v>
      </c>
      <c r="C133" s="1442"/>
      <c r="D133" s="1443" t="s">
        <v>1911</v>
      </c>
      <c r="E133" s="1444">
        <v>0</v>
      </c>
      <c r="F133" s="1444">
        <v>0</v>
      </c>
      <c r="G133" s="1444">
        <v>0</v>
      </c>
      <c r="H133" s="1444">
        <f t="shared" si="7"/>
        <v>0</v>
      </c>
      <c r="I133" s="1444">
        <v>0</v>
      </c>
      <c r="J133" s="1444">
        <v>0</v>
      </c>
      <c r="K133" s="1444"/>
      <c r="L133" s="1444"/>
      <c r="M133" s="1444">
        <f t="shared" si="8"/>
        <v>0</v>
      </c>
      <c r="N133" s="1444">
        <f t="shared" si="9"/>
        <v>0</v>
      </c>
    </row>
    <row r="134" spans="1:14" ht="15.5" outlineLevel="1">
      <c r="A134" s="1455">
        <v>2.1</v>
      </c>
      <c r="B134" s="1455" t="s">
        <v>1706</v>
      </c>
      <c r="C134" s="1442"/>
      <c r="D134" s="1443" t="s">
        <v>1911</v>
      </c>
      <c r="E134" s="1444">
        <v>0</v>
      </c>
      <c r="F134" s="1444">
        <v>0</v>
      </c>
      <c r="G134" s="1444">
        <v>0</v>
      </c>
      <c r="H134" s="1444">
        <f t="shared" si="7"/>
        <v>0</v>
      </c>
      <c r="I134" s="1444">
        <v>0</v>
      </c>
      <c r="J134" s="1444">
        <v>0</v>
      </c>
      <c r="K134" s="1444"/>
      <c r="L134" s="1444"/>
      <c r="M134" s="1444">
        <f t="shared" si="8"/>
        <v>0</v>
      </c>
      <c r="N134" s="1444">
        <f t="shared" si="9"/>
        <v>0</v>
      </c>
    </row>
    <row r="135" spans="1:14" ht="15.5" outlineLevel="1">
      <c r="A135" s="1455">
        <v>2.2000000000000002</v>
      </c>
      <c r="B135" s="1455" t="s">
        <v>1707</v>
      </c>
      <c r="C135" s="1442"/>
      <c r="D135" s="1443" t="s">
        <v>1911</v>
      </c>
      <c r="E135" s="1444">
        <v>0</v>
      </c>
      <c r="F135" s="1444">
        <v>0</v>
      </c>
      <c r="G135" s="1444">
        <v>0</v>
      </c>
      <c r="H135" s="1444">
        <f t="shared" si="7"/>
        <v>0</v>
      </c>
      <c r="I135" s="1444">
        <v>0</v>
      </c>
      <c r="J135" s="1444">
        <v>0</v>
      </c>
      <c r="K135" s="1444"/>
      <c r="L135" s="1444"/>
      <c r="M135" s="1444">
        <f t="shared" si="8"/>
        <v>0</v>
      </c>
      <c r="N135" s="1444">
        <f t="shared" si="9"/>
        <v>0</v>
      </c>
    </row>
    <row r="136" spans="1:14" ht="31" outlineLevel="1">
      <c r="A136" s="1455">
        <v>2.2999999999999998</v>
      </c>
      <c r="B136" s="1455" t="s">
        <v>1708</v>
      </c>
      <c r="C136" s="1442"/>
      <c r="D136" s="1443" t="s">
        <v>1911</v>
      </c>
      <c r="E136" s="1444">
        <v>0</v>
      </c>
      <c r="F136" s="1444">
        <v>0</v>
      </c>
      <c r="G136" s="1444">
        <v>0</v>
      </c>
      <c r="H136" s="1444">
        <f t="shared" si="7"/>
        <v>0</v>
      </c>
      <c r="I136" s="1444">
        <v>0</v>
      </c>
      <c r="J136" s="1444">
        <v>0</v>
      </c>
      <c r="K136" s="1444"/>
      <c r="L136" s="1444"/>
      <c r="M136" s="1444">
        <f t="shared" si="8"/>
        <v>0</v>
      </c>
      <c r="N136" s="1444">
        <f t="shared" si="9"/>
        <v>0</v>
      </c>
    </row>
    <row r="137" spans="1:14" ht="31" outlineLevel="1">
      <c r="A137" s="1455">
        <v>2.5</v>
      </c>
      <c r="B137" s="1455" t="s">
        <v>1709</v>
      </c>
      <c r="C137" s="1442"/>
      <c r="D137" s="1443" t="s">
        <v>1911</v>
      </c>
      <c r="E137" s="1444">
        <v>0</v>
      </c>
      <c r="F137" s="1444">
        <v>0</v>
      </c>
      <c r="G137" s="1444">
        <v>0</v>
      </c>
      <c r="H137" s="1444">
        <f t="shared" si="7"/>
        <v>0</v>
      </c>
      <c r="I137" s="1444">
        <v>0</v>
      </c>
      <c r="J137" s="1444">
        <v>0</v>
      </c>
      <c r="K137" s="1444"/>
      <c r="L137" s="1444"/>
      <c r="M137" s="1444">
        <f t="shared" si="8"/>
        <v>0</v>
      </c>
      <c r="N137" s="1444">
        <f t="shared" si="9"/>
        <v>0</v>
      </c>
    </row>
    <row r="138" spans="1:14" ht="15.5" outlineLevel="1">
      <c r="A138" s="1455">
        <v>2.6</v>
      </c>
      <c r="B138" s="1455" t="s">
        <v>1710</v>
      </c>
      <c r="C138" s="1442"/>
      <c r="D138" s="1443" t="s">
        <v>1911</v>
      </c>
      <c r="E138" s="1444">
        <v>0</v>
      </c>
      <c r="F138" s="1444">
        <v>0</v>
      </c>
      <c r="G138" s="1444">
        <v>0</v>
      </c>
      <c r="H138" s="1444">
        <f t="shared" si="7"/>
        <v>0</v>
      </c>
      <c r="I138" s="1444">
        <v>0</v>
      </c>
      <c r="J138" s="1444">
        <v>0</v>
      </c>
      <c r="K138" s="1444"/>
      <c r="L138" s="1444"/>
      <c r="M138" s="1444">
        <f t="shared" si="8"/>
        <v>0</v>
      </c>
      <c r="N138" s="1444">
        <f t="shared" si="9"/>
        <v>0</v>
      </c>
    </row>
    <row r="139" spans="1:14" ht="31" outlineLevel="1">
      <c r="A139" s="1458">
        <v>3</v>
      </c>
      <c r="B139" s="1459" t="s">
        <v>1711</v>
      </c>
      <c r="C139" s="1442"/>
      <c r="D139" s="1443" t="s">
        <v>1911</v>
      </c>
      <c r="E139" s="1444">
        <v>0</v>
      </c>
      <c r="F139" s="1444">
        <v>0</v>
      </c>
      <c r="G139" s="1444">
        <v>0</v>
      </c>
      <c r="H139" s="1444">
        <f t="shared" ref="H139:H202" si="10">F139-G139</f>
        <v>0</v>
      </c>
      <c r="I139" s="1444">
        <v>0</v>
      </c>
      <c r="J139" s="1444">
        <v>0</v>
      </c>
      <c r="K139" s="1444"/>
      <c r="L139" s="1444"/>
      <c r="M139" s="1444">
        <f t="shared" ref="M139:M202" si="11">SUM(J139:L139)</f>
        <v>0</v>
      </c>
      <c r="N139" s="1444">
        <f t="shared" ref="N139:N202" si="12">H139+I139-M139</f>
        <v>0</v>
      </c>
    </row>
    <row r="140" spans="1:14" ht="31" outlineLevel="1">
      <c r="A140" s="1455">
        <v>3.1</v>
      </c>
      <c r="B140" s="1455" t="s">
        <v>1712</v>
      </c>
      <c r="C140" s="1442"/>
      <c r="D140" s="1443" t="s">
        <v>1911</v>
      </c>
      <c r="E140" s="1444">
        <v>0</v>
      </c>
      <c r="F140" s="1444">
        <v>0</v>
      </c>
      <c r="G140" s="1444">
        <v>0</v>
      </c>
      <c r="H140" s="1444">
        <f t="shared" si="10"/>
        <v>0</v>
      </c>
      <c r="I140" s="1444">
        <v>0</v>
      </c>
      <c r="J140" s="1444">
        <v>0</v>
      </c>
      <c r="K140" s="1444"/>
      <c r="L140" s="1444"/>
      <c r="M140" s="1444">
        <f t="shared" si="11"/>
        <v>0</v>
      </c>
      <c r="N140" s="1444">
        <f t="shared" si="12"/>
        <v>0</v>
      </c>
    </row>
    <row r="141" spans="1:14" ht="31" outlineLevel="1">
      <c r="A141" s="1455">
        <v>3.2</v>
      </c>
      <c r="B141" s="1455" t="s">
        <v>1713</v>
      </c>
      <c r="C141" s="1442"/>
      <c r="D141" s="1443" t="s">
        <v>1911</v>
      </c>
      <c r="E141" s="1444">
        <v>0</v>
      </c>
      <c r="F141" s="1444">
        <v>0</v>
      </c>
      <c r="G141" s="1444">
        <v>0</v>
      </c>
      <c r="H141" s="1444">
        <f t="shared" si="10"/>
        <v>0</v>
      </c>
      <c r="I141" s="1444">
        <v>0</v>
      </c>
      <c r="J141" s="1444">
        <v>0</v>
      </c>
      <c r="K141" s="1444"/>
      <c r="L141" s="1444"/>
      <c r="M141" s="1444">
        <f t="shared" si="11"/>
        <v>0</v>
      </c>
      <c r="N141" s="1444">
        <f t="shared" si="12"/>
        <v>0</v>
      </c>
    </row>
    <row r="142" spans="1:14" ht="31" outlineLevel="1">
      <c r="A142" s="1455">
        <v>3.3</v>
      </c>
      <c r="B142" s="1455" t="s">
        <v>1714</v>
      </c>
      <c r="C142" s="1442"/>
      <c r="D142" s="1443" t="s">
        <v>1911</v>
      </c>
      <c r="E142" s="1444">
        <v>0</v>
      </c>
      <c r="F142" s="1444">
        <v>0</v>
      </c>
      <c r="G142" s="1444">
        <v>0</v>
      </c>
      <c r="H142" s="1444">
        <f t="shared" si="10"/>
        <v>0</v>
      </c>
      <c r="I142" s="1444">
        <v>0</v>
      </c>
      <c r="J142" s="1444">
        <v>0</v>
      </c>
      <c r="K142" s="1444"/>
      <c r="L142" s="1444"/>
      <c r="M142" s="1444">
        <f t="shared" si="11"/>
        <v>0</v>
      </c>
      <c r="N142" s="1444">
        <f t="shared" si="12"/>
        <v>0</v>
      </c>
    </row>
    <row r="143" spans="1:14" ht="15.5" outlineLevel="1">
      <c r="A143" s="1455">
        <v>3.4</v>
      </c>
      <c r="B143" s="1455" t="s">
        <v>1715</v>
      </c>
      <c r="C143" s="1442"/>
      <c r="D143" s="1443" t="s">
        <v>1911</v>
      </c>
      <c r="E143" s="1444">
        <v>0</v>
      </c>
      <c r="F143" s="1444">
        <v>0</v>
      </c>
      <c r="G143" s="1444">
        <v>0</v>
      </c>
      <c r="H143" s="1444">
        <f t="shared" si="10"/>
        <v>0</v>
      </c>
      <c r="I143" s="1444">
        <v>0</v>
      </c>
      <c r="J143" s="1444">
        <v>0</v>
      </c>
      <c r="K143" s="1444"/>
      <c r="L143" s="1444"/>
      <c r="M143" s="1444">
        <f t="shared" si="11"/>
        <v>0</v>
      </c>
      <c r="N143" s="1444">
        <f t="shared" si="12"/>
        <v>0</v>
      </c>
    </row>
    <row r="144" spans="1:14" ht="15.5" outlineLevel="1">
      <c r="A144" s="1455">
        <v>3.5</v>
      </c>
      <c r="B144" s="1455" t="s">
        <v>1716</v>
      </c>
      <c r="C144" s="1442"/>
      <c r="D144" s="1443" t="s">
        <v>1911</v>
      </c>
      <c r="E144" s="1444">
        <v>0</v>
      </c>
      <c r="F144" s="1444">
        <v>0</v>
      </c>
      <c r="G144" s="1444">
        <v>0</v>
      </c>
      <c r="H144" s="1444">
        <f t="shared" si="10"/>
        <v>0</v>
      </c>
      <c r="I144" s="1444">
        <v>0</v>
      </c>
      <c r="J144" s="1444">
        <v>0</v>
      </c>
      <c r="K144" s="1444"/>
      <c r="L144" s="1444"/>
      <c r="M144" s="1444">
        <f t="shared" si="11"/>
        <v>0</v>
      </c>
      <c r="N144" s="1444">
        <f t="shared" si="12"/>
        <v>0</v>
      </c>
    </row>
    <row r="145" spans="1:14" ht="31" outlineLevel="1">
      <c r="A145" s="1455">
        <v>3.6</v>
      </c>
      <c r="B145" s="1455" t="s">
        <v>1717</v>
      </c>
      <c r="C145" s="1442"/>
      <c r="D145" s="1443" t="s">
        <v>1911</v>
      </c>
      <c r="E145" s="1444">
        <v>0</v>
      </c>
      <c r="F145" s="1444">
        <v>0</v>
      </c>
      <c r="G145" s="1444">
        <v>0</v>
      </c>
      <c r="H145" s="1444">
        <f t="shared" si="10"/>
        <v>0</v>
      </c>
      <c r="I145" s="1444">
        <v>0</v>
      </c>
      <c r="J145" s="1444">
        <v>0</v>
      </c>
      <c r="K145" s="1444"/>
      <c r="L145" s="1444"/>
      <c r="M145" s="1444">
        <f t="shared" si="11"/>
        <v>0</v>
      </c>
      <c r="N145" s="1444">
        <f t="shared" si="12"/>
        <v>0</v>
      </c>
    </row>
    <row r="146" spans="1:14" ht="31" outlineLevel="1">
      <c r="A146" s="1458">
        <v>4</v>
      </c>
      <c r="B146" s="1459" t="s">
        <v>1718</v>
      </c>
      <c r="C146" s="1442"/>
      <c r="D146" s="1443" t="s">
        <v>1911</v>
      </c>
      <c r="E146" s="1444">
        <v>0</v>
      </c>
      <c r="F146" s="1444">
        <v>0</v>
      </c>
      <c r="G146" s="1444">
        <v>0</v>
      </c>
      <c r="H146" s="1444">
        <f t="shared" si="10"/>
        <v>0</v>
      </c>
      <c r="I146" s="1444">
        <v>0</v>
      </c>
      <c r="J146" s="1444">
        <v>0</v>
      </c>
      <c r="K146" s="1444"/>
      <c r="L146" s="1444"/>
      <c r="M146" s="1444">
        <f t="shared" si="11"/>
        <v>0</v>
      </c>
      <c r="N146" s="1444">
        <f t="shared" si="12"/>
        <v>0</v>
      </c>
    </row>
    <row r="147" spans="1:14" ht="31" outlineLevel="1">
      <c r="A147" s="1455">
        <v>4.0999999999999996</v>
      </c>
      <c r="B147" s="1455" t="s">
        <v>1718</v>
      </c>
      <c r="C147" s="1442"/>
      <c r="D147" s="1443" t="s">
        <v>1911</v>
      </c>
      <c r="E147" s="1444">
        <v>0</v>
      </c>
      <c r="F147" s="1444">
        <v>0</v>
      </c>
      <c r="G147" s="1444">
        <v>0</v>
      </c>
      <c r="H147" s="1444">
        <f t="shared" si="10"/>
        <v>0</v>
      </c>
      <c r="I147" s="1444">
        <v>0</v>
      </c>
      <c r="J147" s="1444">
        <v>0</v>
      </c>
      <c r="K147" s="1444"/>
      <c r="L147" s="1444"/>
      <c r="M147" s="1444">
        <f t="shared" si="11"/>
        <v>0</v>
      </c>
      <c r="N147" s="1444">
        <f t="shared" si="12"/>
        <v>0</v>
      </c>
    </row>
    <row r="148" spans="1:14" ht="15.5" outlineLevel="1">
      <c r="A148" s="1457">
        <v>0</v>
      </c>
      <c r="B148" s="1457" t="s">
        <v>1719</v>
      </c>
      <c r="C148" s="1442"/>
      <c r="D148" s="1443" t="s">
        <v>1911</v>
      </c>
      <c r="E148" s="1444">
        <v>0</v>
      </c>
      <c r="F148" s="1444">
        <v>0</v>
      </c>
      <c r="G148" s="1444">
        <v>0</v>
      </c>
      <c r="H148" s="1444">
        <f t="shared" si="10"/>
        <v>0</v>
      </c>
      <c r="I148" s="1444">
        <v>0</v>
      </c>
      <c r="J148" s="1444">
        <v>0</v>
      </c>
      <c r="K148" s="1444"/>
      <c r="L148" s="1444"/>
      <c r="M148" s="1444">
        <f t="shared" si="11"/>
        <v>0</v>
      </c>
      <c r="N148" s="1444">
        <f t="shared" si="12"/>
        <v>0</v>
      </c>
    </row>
    <row r="149" spans="1:14" ht="31" outlineLevel="1">
      <c r="A149" s="1458">
        <v>1</v>
      </c>
      <c r="B149" s="1459" t="s">
        <v>1720</v>
      </c>
      <c r="C149" s="1442"/>
      <c r="D149" s="1443" t="s">
        <v>1911</v>
      </c>
      <c r="E149" s="1444">
        <v>0</v>
      </c>
      <c r="F149" s="1444">
        <v>0</v>
      </c>
      <c r="G149" s="1444">
        <v>0</v>
      </c>
      <c r="H149" s="1444">
        <f t="shared" si="10"/>
        <v>0</v>
      </c>
      <c r="I149" s="1444">
        <v>0</v>
      </c>
      <c r="J149" s="1444">
        <v>0</v>
      </c>
      <c r="K149" s="1444"/>
      <c r="L149" s="1444"/>
      <c r="M149" s="1444">
        <f t="shared" si="11"/>
        <v>0</v>
      </c>
      <c r="N149" s="1444">
        <f t="shared" si="12"/>
        <v>0</v>
      </c>
    </row>
    <row r="150" spans="1:14" ht="31" outlineLevel="1">
      <c r="A150" s="1455">
        <v>1.1000000000000001</v>
      </c>
      <c r="B150" s="1455" t="s">
        <v>1721</v>
      </c>
      <c r="C150" s="1442"/>
      <c r="D150" s="1443" t="s">
        <v>1911</v>
      </c>
      <c r="E150" s="1444">
        <v>0</v>
      </c>
      <c r="F150" s="1444">
        <v>0</v>
      </c>
      <c r="G150" s="1444">
        <v>0</v>
      </c>
      <c r="H150" s="1444">
        <f t="shared" si="10"/>
        <v>0</v>
      </c>
      <c r="I150" s="1444">
        <v>0</v>
      </c>
      <c r="J150" s="1444">
        <v>0</v>
      </c>
      <c r="K150" s="1444"/>
      <c r="L150" s="1444"/>
      <c r="M150" s="1444">
        <f t="shared" si="11"/>
        <v>0</v>
      </c>
      <c r="N150" s="1444">
        <f t="shared" si="12"/>
        <v>0</v>
      </c>
    </row>
    <row r="151" spans="1:14" ht="31" outlineLevel="1">
      <c r="A151" s="1455">
        <v>1.2</v>
      </c>
      <c r="B151" s="1455" t="s">
        <v>1722</v>
      </c>
      <c r="C151" s="1442"/>
      <c r="D151" s="1443" t="s">
        <v>1911</v>
      </c>
      <c r="E151" s="1444">
        <v>0</v>
      </c>
      <c r="F151" s="1444">
        <v>0</v>
      </c>
      <c r="G151" s="1444">
        <v>0</v>
      </c>
      <c r="H151" s="1444">
        <f t="shared" si="10"/>
        <v>0</v>
      </c>
      <c r="I151" s="1444">
        <v>0</v>
      </c>
      <c r="J151" s="1444">
        <v>0</v>
      </c>
      <c r="K151" s="1444"/>
      <c r="L151" s="1444"/>
      <c r="M151" s="1444">
        <f t="shared" si="11"/>
        <v>0</v>
      </c>
      <c r="N151" s="1444">
        <f t="shared" si="12"/>
        <v>0</v>
      </c>
    </row>
    <row r="152" spans="1:14" ht="31" outlineLevel="1">
      <c r="A152" s="1455">
        <v>1.3</v>
      </c>
      <c r="B152" s="1455" t="s">
        <v>1723</v>
      </c>
      <c r="C152" s="1442"/>
      <c r="D152" s="1443" t="s">
        <v>1911</v>
      </c>
      <c r="E152" s="1444">
        <v>0</v>
      </c>
      <c r="F152" s="1444">
        <v>0</v>
      </c>
      <c r="G152" s="1444">
        <v>0</v>
      </c>
      <c r="H152" s="1444">
        <f t="shared" si="10"/>
        <v>0</v>
      </c>
      <c r="I152" s="1444">
        <v>0</v>
      </c>
      <c r="J152" s="1444">
        <v>0</v>
      </c>
      <c r="K152" s="1444"/>
      <c r="L152" s="1444"/>
      <c r="M152" s="1444">
        <f t="shared" si="11"/>
        <v>0</v>
      </c>
      <c r="N152" s="1444">
        <f t="shared" si="12"/>
        <v>0</v>
      </c>
    </row>
    <row r="153" spans="1:14" ht="31" outlineLevel="1">
      <c r="A153" s="1455">
        <v>1.4</v>
      </c>
      <c r="B153" s="1455" t="s">
        <v>1724</v>
      </c>
      <c r="C153" s="1442"/>
      <c r="D153" s="1443" t="s">
        <v>1911</v>
      </c>
      <c r="E153" s="1444">
        <v>0</v>
      </c>
      <c r="F153" s="1444">
        <v>0</v>
      </c>
      <c r="G153" s="1444">
        <v>0</v>
      </c>
      <c r="H153" s="1444">
        <f t="shared" si="10"/>
        <v>0</v>
      </c>
      <c r="I153" s="1444">
        <v>0</v>
      </c>
      <c r="J153" s="1444">
        <v>0</v>
      </c>
      <c r="K153" s="1444"/>
      <c r="L153" s="1444"/>
      <c r="M153" s="1444">
        <f t="shared" si="11"/>
        <v>0</v>
      </c>
      <c r="N153" s="1444">
        <f t="shared" si="12"/>
        <v>0</v>
      </c>
    </row>
    <row r="154" spans="1:14" ht="31" outlineLevel="1">
      <c r="A154" s="1455">
        <v>1.5</v>
      </c>
      <c r="B154" s="1455" t="s">
        <v>1725</v>
      </c>
      <c r="C154" s="1442"/>
      <c r="D154" s="1443" t="s">
        <v>1911</v>
      </c>
      <c r="E154" s="1444">
        <v>0</v>
      </c>
      <c r="F154" s="1444">
        <v>0</v>
      </c>
      <c r="G154" s="1444">
        <v>0</v>
      </c>
      <c r="H154" s="1444">
        <f t="shared" si="10"/>
        <v>0</v>
      </c>
      <c r="I154" s="1444">
        <v>0</v>
      </c>
      <c r="J154" s="1444">
        <v>0</v>
      </c>
      <c r="K154" s="1444"/>
      <c r="L154" s="1444"/>
      <c r="M154" s="1444">
        <f t="shared" si="11"/>
        <v>0</v>
      </c>
      <c r="N154" s="1444">
        <f t="shared" si="12"/>
        <v>0</v>
      </c>
    </row>
    <row r="155" spans="1:14" ht="31" outlineLevel="1">
      <c r="A155" s="1455">
        <v>1.6</v>
      </c>
      <c r="B155" s="1455" t="s">
        <v>1726</v>
      </c>
      <c r="C155" s="1442"/>
      <c r="D155" s="1443" t="s">
        <v>1911</v>
      </c>
      <c r="E155" s="1444">
        <v>0</v>
      </c>
      <c r="F155" s="1444">
        <v>0</v>
      </c>
      <c r="G155" s="1444">
        <v>0</v>
      </c>
      <c r="H155" s="1444">
        <f t="shared" si="10"/>
        <v>0</v>
      </c>
      <c r="I155" s="1444">
        <v>0</v>
      </c>
      <c r="J155" s="1444">
        <v>0</v>
      </c>
      <c r="K155" s="1444"/>
      <c r="L155" s="1444"/>
      <c r="M155" s="1444">
        <f t="shared" si="11"/>
        <v>0</v>
      </c>
      <c r="N155" s="1444">
        <f t="shared" si="12"/>
        <v>0</v>
      </c>
    </row>
    <row r="156" spans="1:14" ht="15.5" outlineLevel="1">
      <c r="A156" s="1455">
        <v>1.7</v>
      </c>
      <c r="B156" s="1455" t="s">
        <v>1727</v>
      </c>
      <c r="C156" s="1442"/>
      <c r="D156" s="1443" t="s">
        <v>1911</v>
      </c>
      <c r="E156" s="1444">
        <v>0</v>
      </c>
      <c r="F156" s="1444">
        <v>0</v>
      </c>
      <c r="G156" s="1444">
        <v>0</v>
      </c>
      <c r="H156" s="1444">
        <f t="shared" si="10"/>
        <v>0</v>
      </c>
      <c r="I156" s="1444">
        <v>0</v>
      </c>
      <c r="J156" s="1444">
        <v>0</v>
      </c>
      <c r="K156" s="1444"/>
      <c r="L156" s="1444"/>
      <c r="M156" s="1444">
        <f t="shared" si="11"/>
        <v>0</v>
      </c>
      <c r="N156" s="1444">
        <f t="shared" si="12"/>
        <v>0</v>
      </c>
    </row>
    <row r="157" spans="1:14" ht="46.5" outlineLevel="1">
      <c r="A157" s="1458">
        <v>2</v>
      </c>
      <c r="B157" s="1459" t="s">
        <v>1728</v>
      </c>
      <c r="C157" s="1442"/>
      <c r="D157" s="1443" t="s">
        <v>1911</v>
      </c>
      <c r="E157" s="1444">
        <v>0</v>
      </c>
      <c r="F157" s="1444">
        <v>0</v>
      </c>
      <c r="G157" s="1444">
        <v>0</v>
      </c>
      <c r="H157" s="1444">
        <f t="shared" si="10"/>
        <v>0</v>
      </c>
      <c r="I157" s="1444">
        <v>0</v>
      </c>
      <c r="J157" s="1444">
        <v>0</v>
      </c>
      <c r="K157" s="1444"/>
      <c r="L157" s="1444"/>
      <c r="M157" s="1444">
        <f t="shared" si="11"/>
        <v>0</v>
      </c>
      <c r="N157" s="1444">
        <f t="shared" si="12"/>
        <v>0</v>
      </c>
    </row>
    <row r="158" spans="1:14" ht="31" outlineLevel="1">
      <c r="A158" s="1455">
        <v>2.1</v>
      </c>
      <c r="B158" s="1455" t="s">
        <v>1729</v>
      </c>
      <c r="C158" s="1442"/>
      <c r="D158" s="1443" t="s">
        <v>1911</v>
      </c>
      <c r="E158" s="1444">
        <v>0</v>
      </c>
      <c r="F158" s="1444">
        <v>0</v>
      </c>
      <c r="G158" s="1444">
        <v>0</v>
      </c>
      <c r="H158" s="1444">
        <f t="shared" si="10"/>
        <v>0</v>
      </c>
      <c r="I158" s="1444">
        <v>0</v>
      </c>
      <c r="J158" s="1444">
        <v>0</v>
      </c>
      <c r="K158" s="1444"/>
      <c r="L158" s="1444"/>
      <c r="M158" s="1444">
        <f t="shared" si="11"/>
        <v>0</v>
      </c>
      <c r="N158" s="1444">
        <f t="shared" si="12"/>
        <v>0</v>
      </c>
    </row>
    <row r="159" spans="1:14" ht="31" outlineLevel="1">
      <c r="A159" s="1455">
        <v>2.2000000000000002</v>
      </c>
      <c r="B159" s="1455" t="s">
        <v>1730</v>
      </c>
      <c r="C159" s="1442"/>
      <c r="D159" s="1443" t="s">
        <v>1911</v>
      </c>
      <c r="E159" s="1444">
        <v>0</v>
      </c>
      <c r="F159" s="1444">
        <v>0</v>
      </c>
      <c r="G159" s="1444">
        <v>0</v>
      </c>
      <c r="H159" s="1444">
        <f t="shared" si="10"/>
        <v>0</v>
      </c>
      <c r="I159" s="1444">
        <v>0</v>
      </c>
      <c r="J159" s="1444">
        <v>0</v>
      </c>
      <c r="K159" s="1444"/>
      <c r="L159" s="1444"/>
      <c r="M159" s="1444">
        <f t="shared" si="11"/>
        <v>0</v>
      </c>
      <c r="N159" s="1444">
        <f t="shared" si="12"/>
        <v>0</v>
      </c>
    </row>
    <row r="160" spans="1:14" ht="31" outlineLevel="1">
      <c r="A160" s="1455">
        <v>2.2999999999999998</v>
      </c>
      <c r="B160" s="1455" t="s">
        <v>1731</v>
      </c>
      <c r="C160" s="1442"/>
      <c r="D160" s="1443" t="s">
        <v>1911</v>
      </c>
      <c r="E160" s="1444">
        <v>0</v>
      </c>
      <c r="F160" s="1444">
        <v>0</v>
      </c>
      <c r="G160" s="1444">
        <v>0</v>
      </c>
      <c r="H160" s="1444">
        <f t="shared" si="10"/>
        <v>0</v>
      </c>
      <c r="I160" s="1444">
        <v>0</v>
      </c>
      <c r="J160" s="1444">
        <v>0</v>
      </c>
      <c r="K160" s="1444"/>
      <c r="L160" s="1444"/>
      <c r="M160" s="1444">
        <f t="shared" si="11"/>
        <v>0</v>
      </c>
      <c r="N160" s="1444">
        <f t="shared" si="12"/>
        <v>0</v>
      </c>
    </row>
    <row r="161" spans="1:14" ht="15.5" outlineLevel="1">
      <c r="A161" s="1458">
        <v>3</v>
      </c>
      <c r="B161" s="1459" t="s">
        <v>1685</v>
      </c>
      <c r="C161" s="1442"/>
      <c r="D161" s="1443" t="s">
        <v>1911</v>
      </c>
      <c r="E161" s="1444">
        <v>0</v>
      </c>
      <c r="F161" s="1444">
        <v>0</v>
      </c>
      <c r="G161" s="1444">
        <v>0</v>
      </c>
      <c r="H161" s="1444">
        <f t="shared" si="10"/>
        <v>0</v>
      </c>
      <c r="I161" s="1444">
        <v>0</v>
      </c>
      <c r="J161" s="1444">
        <v>0</v>
      </c>
      <c r="K161" s="1444"/>
      <c r="L161" s="1444"/>
      <c r="M161" s="1444">
        <f t="shared" si="11"/>
        <v>0</v>
      </c>
      <c r="N161" s="1444">
        <f t="shared" si="12"/>
        <v>0</v>
      </c>
    </row>
    <row r="162" spans="1:14" ht="15.5" outlineLevel="1">
      <c r="A162" s="1455">
        <v>3.1</v>
      </c>
      <c r="B162" s="1455" t="s">
        <v>1732</v>
      </c>
      <c r="C162" s="1442"/>
      <c r="D162" s="1443" t="s">
        <v>1911</v>
      </c>
      <c r="E162" s="1444">
        <v>0</v>
      </c>
      <c r="F162" s="1444">
        <v>0</v>
      </c>
      <c r="G162" s="1444">
        <v>0</v>
      </c>
      <c r="H162" s="1444">
        <f t="shared" si="10"/>
        <v>0</v>
      </c>
      <c r="I162" s="1444">
        <v>0</v>
      </c>
      <c r="J162" s="1444">
        <v>0</v>
      </c>
      <c r="K162" s="1444"/>
      <c r="L162" s="1444"/>
      <c r="M162" s="1444">
        <f t="shared" si="11"/>
        <v>0</v>
      </c>
      <c r="N162" s="1444">
        <f t="shared" si="12"/>
        <v>0</v>
      </c>
    </row>
    <row r="163" spans="1:14" ht="15.5" outlineLevel="1">
      <c r="A163" s="1455">
        <v>3.2</v>
      </c>
      <c r="B163" s="1455" t="s">
        <v>1733</v>
      </c>
      <c r="C163" s="1442"/>
      <c r="D163" s="1443" t="s">
        <v>1911</v>
      </c>
      <c r="E163" s="1444">
        <v>0</v>
      </c>
      <c r="F163" s="1444">
        <v>0</v>
      </c>
      <c r="G163" s="1444">
        <v>0</v>
      </c>
      <c r="H163" s="1444">
        <f t="shared" si="10"/>
        <v>0</v>
      </c>
      <c r="I163" s="1444">
        <v>0</v>
      </c>
      <c r="J163" s="1444">
        <v>0</v>
      </c>
      <c r="K163" s="1444"/>
      <c r="L163" s="1444"/>
      <c r="M163" s="1444">
        <f t="shared" si="11"/>
        <v>0</v>
      </c>
      <c r="N163" s="1444">
        <f t="shared" si="12"/>
        <v>0</v>
      </c>
    </row>
    <row r="164" spans="1:14" ht="31" outlineLevel="1">
      <c r="A164" s="1455">
        <v>3.3</v>
      </c>
      <c r="B164" s="1455" t="s">
        <v>1734</v>
      </c>
      <c r="C164" s="1442"/>
      <c r="D164" s="1443" t="s">
        <v>1911</v>
      </c>
      <c r="E164" s="1444">
        <v>0</v>
      </c>
      <c r="F164" s="1444">
        <v>0</v>
      </c>
      <c r="G164" s="1444">
        <v>0</v>
      </c>
      <c r="H164" s="1444">
        <f t="shared" si="10"/>
        <v>0</v>
      </c>
      <c r="I164" s="1444">
        <v>0</v>
      </c>
      <c r="J164" s="1444">
        <v>0</v>
      </c>
      <c r="K164" s="1444"/>
      <c r="L164" s="1444"/>
      <c r="M164" s="1444">
        <f t="shared" si="11"/>
        <v>0</v>
      </c>
      <c r="N164" s="1444">
        <f t="shared" si="12"/>
        <v>0</v>
      </c>
    </row>
    <row r="165" spans="1:14" ht="15.5" outlineLevel="1">
      <c r="A165" s="1458">
        <v>4</v>
      </c>
      <c r="B165" s="1459" t="s">
        <v>1735</v>
      </c>
      <c r="C165" s="1442"/>
      <c r="D165" s="1443" t="s">
        <v>1911</v>
      </c>
      <c r="E165" s="1444">
        <v>0</v>
      </c>
      <c r="F165" s="1444">
        <v>0</v>
      </c>
      <c r="G165" s="1444">
        <v>0</v>
      </c>
      <c r="H165" s="1444">
        <f t="shared" si="10"/>
        <v>0</v>
      </c>
      <c r="I165" s="1444">
        <v>0</v>
      </c>
      <c r="J165" s="1444">
        <v>0</v>
      </c>
      <c r="K165" s="1444"/>
      <c r="L165" s="1444"/>
      <c r="M165" s="1444">
        <f t="shared" si="11"/>
        <v>0</v>
      </c>
      <c r="N165" s="1444">
        <f t="shared" si="12"/>
        <v>0</v>
      </c>
    </row>
    <row r="166" spans="1:14" ht="31" outlineLevel="1">
      <c r="A166" s="1455">
        <v>4.0999999999999996</v>
      </c>
      <c r="B166" s="1455" t="s">
        <v>1736</v>
      </c>
      <c r="C166" s="1442"/>
      <c r="D166" s="1443" t="s">
        <v>1911</v>
      </c>
      <c r="E166" s="1444">
        <v>0</v>
      </c>
      <c r="F166" s="1444">
        <v>0</v>
      </c>
      <c r="G166" s="1444">
        <v>0</v>
      </c>
      <c r="H166" s="1444">
        <f t="shared" si="10"/>
        <v>0</v>
      </c>
      <c r="I166" s="1444">
        <v>0</v>
      </c>
      <c r="J166" s="1444">
        <v>0</v>
      </c>
      <c r="K166" s="1444"/>
      <c r="L166" s="1444"/>
      <c r="M166" s="1444">
        <f t="shared" si="11"/>
        <v>0</v>
      </c>
      <c r="N166" s="1444">
        <f t="shared" si="12"/>
        <v>0</v>
      </c>
    </row>
    <row r="167" spans="1:14" ht="31" outlineLevel="1">
      <c r="A167" s="1455">
        <v>4.2</v>
      </c>
      <c r="B167" s="1455" t="s">
        <v>1737</v>
      </c>
      <c r="C167" s="1442"/>
      <c r="D167" s="1443" t="s">
        <v>1911</v>
      </c>
      <c r="E167" s="1444">
        <v>0</v>
      </c>
      <c r="F167" s="1444">
        <v>0</v>
      </c>
      <c r="G167" s="1444">
        <v>0</v>
      </c>
      <c r="H167" s="1444">
        <f t="shared" si="10"/>
        <v>0</v>
      </c>
      <c r="I167" s="1444">
        <v>0</v>
      </c>
      <c r="J167" s="1444">
        <v>0</v>
      </c>
      <c r="K167" s="1444"/>
      <c r="L167" s="1444"/>
      <c r="M167" s="1444">
        <f t="shared" si="11"/>
        <v>0</v>
      </c>
      <c r="N167" s="1444">
        <f t="shared" si="12"/>
        <v>0</v>
      </c>
    </row>
    <row r="168" spans="1:14" ht="31" outlineLevel="1">
      <c r="A168" s="1455">
        <v>4.3</v>
      </c>
      <c r="B168" s="1455" t="s">
        <v>1738</v>
      </c>
      <c r="C168" s="1442"/>
      <c r="D168" s="1443" t="s">
        <v>1911</v>
      </c>
      <c r="E168" s="1444">
        <v>0</v>
      </c>
      <c r="F168" s="1444">
        <v>0</v>
      </c>
      <c r="G168" s="1444">
        <v>0</v>
      </c>
      <c r="H168" s="1444">
        <f t="shared" si="10"/>
        <v>0</v>
      </c>
      <c r="I168" s="1444">
        <v>0</v>
      </c>
      <c r="J168" s="1444">
        <v>0</v>
      </c>
      <c r="K168" s="1444"/>
      <c r="L168" s="1444"/>
      <c r="M168" s="1444">
        <f t="shared" si="11"/>
        <v>0</v>
      </c>
      <c r="N168" s="1444">
        <f t="shared" si="12"/>
        <v>0</v>
      </c>
    </row>
    <row r="169" spans="1:14" ht="31" outlineLevel="1">
      <c r="A169" s="1455">
        <v>4.4000000000000004</v>
      </c>
      <c r="B169" s="1455" t="s">
        <v>1739</v>
      </c>
      <c r="C169" s="1442"/>
      <c r="D169" s="1443" t="s">
        <v>1911</v>
      </c>
      <c r="E169" s="1444">
        <v>0</v>
      </c>
      <c r="F169" s="1444">
        <v>0</v>
      </c>
      <c r="G169" s="1444">
        <v>0</v>
      </c>
      <c r="H169" s="1444">
        <f t="shared" si="10"/>
        <v>0</v>
      </c>
      <c r="I169" s="1444">
        <v>0</v>
      </c>
      <c r="J169" s="1444">
        <v>0</v>
      </c>
      <c r="K169" s="1444"/>
      <c r="L169" s="1444"/>
      <c r="M169" s="1444">
        <f t="shared" si="11"/>
        <v>0</v>
      </c>
      <c r="N169" s="1444">
        <f t="shared" si="12"/>
        <v>0</v>
      </c>
    </row>
    <row r="170" spans="1:14" ht="31" outlineLevel="1">
      <c r="A170" s="1455">
        <v>4.5</v>
      </c>
      <c r="B170" s="1455" t="s">
        <v>1740</v>
      </c>
      <c r="C170" s="1442"/>
      <c r="D170" s="1443" t="s">
        <v>1911</v>
      </c>
      <c r="E170" s="1444">
        <v>0</v>
      </c>
      <c r="F170" s="1444">
        <v>0</v>
      </c>
      <c r="G170" s="1444">
        <v>0</v>
      </c>
      <c r="H170" s="1444">
        <f t="shared" si="10"/>
        <v>0</v>
      </c>
      <c r="I170" s="1444">
        <v>0</v>
      </c>
      <c r="J170" s="1444">
        <v>0</v>
      </c>
      <c r="K170" s="1444"/>
      <c r="L170" s="1444"/>
      <c r="M170" s="1444">
        <f t="shared" si="11"/>
        <v>0</v>
      </c>
      <c r="N170" s="1444">
        <f t="shared" si="12"/>
        <v>0</v>
      </c>
    </row>
    <row r="171" spans="1:14" ht="15.5" outlineLevel="1">
      <c r="A171" s="1455">
        <v>4.5999999999999996</v>
      </c>
      <c r="B171" s="1455" t="s">
        <v>1741</v>
      </c>
      <c r="C171" s="1442"/>
      <c r="D171" s="1443" t="s">
        <v>1911</v>
      </c>
      <c r="E171" s="1444">
        <v>0</v>
      </c>
      <c r="F171" s="1444">
        <v>0</v>
      </c>
      <c r="G171" s="1444">
        <v>0</v>
      </c>
      <c r="H171" s="1444">
        <f t="shared" si="10"/>
        <v>0</v>
      </c>
      <c r="I171" s="1444">
        <v>0</v>
      </c>
      <c r="J171" s="1444">
        <v>0</v>
      </c>
      <c r="K171" s="1444"/>
      <c r="L171" s="1444"/>
      <c r="M171" s="1444">
        <f t="shared" si="11"/>
        <v>0</v>
      </c>
      <c r="N171" s="1444">
        <f t="shared" si="12"/>
        <v>0</v>
      </c>
    </row>
    <row r="172" spans="1:14" ht="15.5" outlineLevel="1">
      <c r="A172" s="1458">
        <v>5</v>
      </c>
      <c r="B172" s="1459" t="s">
        <v>1742</v>
      </c>
      <c r="C172" s="1442"/>
      <c r="D172" s="1443" t="s">
        <v>1911</v>
      </c>
      <c r="E172" s="1444">
        <v>0</v>
      </c>
      <c r="F172" s="1444">
        <v>0</v>
      </c>
      <c r="G172" s="1444">
        <v>0</v>
      </c>
      <c r="H172" s="1444">
        <f t="shared" si="10"/>
        <v>0</v>
      </c>
      <c r="I172" s="1444">
        <v>0</v>
      </c>
      <c r="J172" s="1444">
        <v>0</v>
      </c>
      <c r="K172" s="1444"/>
      <c r="L172" s="1444"/>
      <c r="M172" s="1444">
        <f t="shared" si="11"/>
        <v>0</v>
      </c>
      <c r="N172" s="1444">
        <f t="shared" si="12"/>
        <v>0</v>
      </c>
    </row>
    <row r="173" spans="1:14" ht="15.5" outlineLevel="1">
      <c r="A173" s="1455">
        <v>5.0999999999999996</v>
      </c>
      <c r="B173" s="1455" t="s">
        <v>1743</v>
      </c>
      <c r="C173" s="1442"/>
      <c r="D173" s="1443" t="s">
        <v>1911</v>
      </c>
      <c r="E173" s="1444">
        <v>0</v>
      </c>
      <c r="F173" s="1444">
        <v>0</v>
      </c>
      <c r="G173" s="1444">
        <v>0</v>
      </c>
      <c r="H173" s="1444">
        <f t="shared" si="10"/>
        <v>0</v>
      </c>
      <c r="I173" s="1444">
        <v>0</v>
      </c>
      <c r="J173" s="1444">
        <v>0</v>
      </c>
      <c r="K173" s="1444"/>
      <c r="L173" s="1444"/>
      <c r="M173" s="1444">
        <f t="shared" si="11"/>
        <v>0</v>
      </c>
      <c r="N173" s="1444">
        <f t="shared" si="12"/>
        <v>0</v>
      </c>
    </row>
    <row r="174" spans="1:14" ht="31" outlineLevel="1">
      <c r="A174" s="1455">
        <v>5.2</v>
      </c>
      <c r="B174" s="1455" t="s">
        <v>1744</v>
      </c>
      <c r="C174" s="1442"/>
      <c r="D174" s="1443" t="s">
        <v>1911</v>
      </c>
      <c r="E174" s="1444">
        <v>0</v>
      </c>
      <c r="F174" s="1444">
        <v>0</v>
      </c>
      <c r="G174" s="1444">
        <v>0</v>
      </c>
      <c r="H174" s="1444">
        <f t="shared" si="10"/>
        <v>0</v>
      </c>
      <c r="I174" s="1444">
        <v>0</v>
      </c>
      <c r="J174" s="1444">
        <v>0</v>
      </c>
      <c r="K174" s="1444"/>
      <c r="L174" s="1444"/>
      <c r="M174" s="1444">
        <f t="shared" si="11"/>
        <v>0</v>
      </c>
      <c r="N174" s="1444">
        <f t="shared" si="12"/>
        <v>0</v>
      </c>
    </row>
    <row r="175" spans="1:14" ht="31" outlineLevel="1">
      <c r="A175" s="1455">
        <v>5.3</v>
      </c>
      <c r="B175" s="1455" t="s">
        <v>1745</v>
      </c>
      <c r="C175" s="1442"/>
      <c r="D175" s="1443" t="s">
        <v>1911</v>
      </c>
      <c r="E175" s="1444">
        <v>0</v>
      </c>
      <c r="F175" s="1444">
        <v>0</v>
      </c>
      <c r="G175" s="1444">
        <v>0</v>
      </c>
      <c r="H175" s="1444">
        <f t="shared" si="10"/>
        <v>0</v>
      </c>
      <c r="I175" s="1444">
        <v>0</v>
      </c>
      <c r="J175" s="1444">
        <v>0</v>
      </c>
      <c r="K175" s="1444"/>
      <c r="L175" s="1444"/>
      <c r="M175" s="1444">
        <f t="shared" si="11"/>
        <v>0</v>
      </c>
      <c r="N175" s="1444">
        <f t="shared" si="12"/>
        <v>0</v>
      </c>
    </row>
    <row r="176" spans="1:14" ht="31" outlineLevel="1">
      <c r="A176" s="1455">
        <v>5.4</v>
      </c>
      <c r="B176" s="1455" t="s">
        <v>1746</v>
      </c>
      <c r="C176" s="1442"/>
      <c r="D176" s="1443" t="s">
        <v>1911</v>
      </c>
      <c r="E176" s="1444">
        <v>0</v>
      </c>
      <c r="F176" s="1444">
        <v>0</v>
      </c>
      <c r="G176" s="1444">
        <v>0</v>
      </c>
      <c r="H176" s="1444">
        <f t="shared" si="10"/>
        <v>0</v>
      </c>
      <c r="I176" s="1444">
        <v>0</v>
      </c>
      <c r="J176" s="1444">
        <v>0</v>
      </c>
      <c r="K176" s="1444"/>
      <c r="L176" s="1444"/>
      <c r="M176" s="1444">
        <f t="shared" si="11"/>
        <v>0</v>
      </c>
      <c r="N176" s="1444">
        <f t="shared" si="12"/>
        <v>0</v>
      </c>
    </row>
    <row r="177" spans="1:14" ht="31" outlineLevel="1">
      <c r="A177" s="1455">
        <v>5.5</v>
      </c>
      <c r="B177" s="1455" t="s">
        <v>1747</v>
      </c>
      <c r="C177" s="1442"/>
      <c r="D177" s="1443" t="s">
        <v>1911</v>
      </c>
      <c r="E177" s="1444">
        <v>0</v>
      </c>
      <c r="F177" s="1444">
        <v>0</v>
      </c>
      <c r="G177" s="1444">
        <v>0</v>
      </c>
      <c r="H177" s="1444">
        <f t="shared" si="10"/>
        <v>0</v>
      </c>
      <c r="I177" s="1444">
        <v>0</v>
      </c>
      <c r="J177" s="1444">
        <v>0</v>
      </c>
      <c r="K177" s="1444"/>
      <c r="L177" s="1444"/>
      <c r="M177" s="1444">
        <f t="shared" si="11"/>
        <v>0</v>
      </c>
      <c r="N177" s="1444">
        <f t="shared" si="12"/>
        <v>0</v>
      </c>
    </row>
    <row r="178" spans="1:14" ht="31" outlineLevel="1">
      <c r="A178" s="1458">
        <v>6</v>
      </c>
      <c r="B178" s="1459" t="s">
        <v>1748</v>
      </c>
      <c r="C178" s="1442"/>
      <c r="D178" s="1443" t="s">
        <v>1911</v>
      </c>
      <c r="E178" s="1444">
        <v>0</v>
      </c>
      <c r="F178" s="1444">
        <v>0</v>
      </c>
      <c r="G178" s="1444">
        <v>0</v>
      </c>
      <c r="H178" s="1444">
        <f t="shared" si="10"/>
        <v>0</v>
      </c>
      <c r="I178" s="1444">
        <v>0</v>
      </c>
      <c r="J178" s="1444">
        <v>0</v>
      </c>
      <c r="K178" s="1444"/>
      <c r="L178" s="1444"/>
      <c r="M178" s="1444">
        <f t="shared" si="11"/>
        <v>0</v>
      </c>
      <c r="N178" s="1444">
        <f t="shared" si="12"/>
        <v>0</v>
      </c>
    </row>
    <row r="179" spans="1:14" ht="15.5" outlineLevel="1">
      <c r="A179" s="1455">
        <v>6.1</v>
      </c>
      <c r="B179" s="1455" t="s">
        <v>1749</v>
      </c>
      <c r="C179" s="1442"/>
      <c r="D179" s="1443" t="s">
        <v>1911</v>
      </c>
      <c r="E179" s="1444">
        <v>0</v>
      </c>
      <c r="F179" s="1444">
        <v>0</v>
      </c>
      <c r="G179" s="1444">
        <v>0</v>
      </c>
      <c r="H179" s="1444">
        <f t="shared" si="10"/>
        <v>0</v>
      </c>
      <c r="I179" s="1444">
        <v>0</v>
      </c>
      <c r="J179" s="1444">
        <v>0</v>
      </c>
      <c r="K179" s="1444"/>
      <c r="L179" s="1444"/>
      <c r="M179" s="1444">
        <f t="shared" si="11"/>
        <v>0</v>
      </c>
      <c r="N179" s="1444">
        <f t="shared" si="12"/>
        <v>0</v>
      </c>
    </row>
    <row r="180" spans="1:14" ht="15.5" outlineLevel="1">
      <c r="A180" s="1455">
        <v>6.2</v>
      </c>
      <c r="B180" s="1455" t="s">
        <v>1750</v>
      </c>
      <c r="C180" s="1442"/>
      <c r="D180" s="1443" t="s">
        <v>1911</v>
      </c>
      <c r="E180" s="1444">
        <v>0</v>
      </c>
      <c r="F180" s="1444">
        <v>0</v>
      </c>
      <c r="G180" s="1444">
        <v>0</v>
      </c>
      <c r="H180" s="1444">
        <f t="shared" si="10"/>
        <v>0</v>
      </c>
      <c r="I180" s="1444">
        <v>0</v>
      </c>
      <c r="J180" s="1444">
        <v>0</v>
      </c>
      <c r="K180" s="1444"/>
      <c r="L180" s="1444"/>
      <c r="M180" s="1444">
        <f t="shared" si="11"/>
        <v>0</v>
      </c>
      <c r="N180" s="1444">
        <f t="shared" si="12"/>
        <v>0</v>
      </c>
    </row>
    <row r="181" spans="1:14" ht="15.5" outlineLevel="1">
      <c r="A181" s="1455">
        <v>6.3</v>
      </c>
      <c r="B181" s="1455" t="s">
        <v>1751</v>
      </c>
      <c r="C181" s="1442"/>
      <c r="D181" s="1443" t="s">
        <v>1911</v>
      </c>
      <c r="E181" s="1444">
        <v>0</v>
      </c>
      <c r="F181" s="1444">
        <v>0</v>
      </c>
      <c r="G181" s="1444">
        <v>0</v>
      </c>
      <c r="H181" s="1444">
        <f t="shared" si="10"/>
        <v>0</v>
      </c>
      <c r="I181" s="1444">
        <v>0</v>
      </c>
      <c r="J181" s="1444">
        <v>0</v>
      </c>
      <c r="K181" s="1444"/>
      <c r="L181" s="1444"/>
      <c r="M181" s="1444">
        <f t="shared" si="11"/>
        <v>0</v>
      </c>
      <c r="N181" s="1444">
        <f t="shared" si="12"/>
        <v>0</v>
      </c>
    </row>
    <row r="182" spans="1:14" ht="31" outlineLevel="1">
      <c r="A182" s="1455">
        <v>6.4</v>
      </c>
      <c r="B182" s="1455" t="s">
        <v>1752</v>
      </c>
      <c r="C182" s="1442"/>
      <c r="D182" s="1443" t="s">
        <v>1911</v>
      </c>
      <c r="E182" s="1444">
        <v>0</v>
      </c>
      <c r="F182" s="1444">
        <v>0</v>
      </c>
      <c r="G182" s="1444">
        <v>0</v>
      </c>
      <c r="H182" s="1444">
        <f t="shared" si="10"/>
        <v>0</v>
      </c>
      <c r="I182" s="1444">
        <v>0</v>
      </c>
      <c r="J182" s="1444">
        <v>0</v>
      </c>
      <c r="K182" s="1444"/>
      <c r="L182" s="1444"/>
      <c r="M182" s="1444">
        <f t="shared" si="11"/>
        <v>0</v>
      </c>
      <c r="N182" s="1444">
        <f t="shared" si="12"/>
        <v>0</v>
      </c>
    </row>
    <row r="183" spans="1:14" ht="31" outlineLevel="1">
      <c r="A183" s="1455">
        <v>6.5</v>
      </c>
      <c r="B183" s="1455" t="s">
        <v>1753</v>
      </c>
      <c r="C183" s="1442"/>
      <c r="D183" s="1443" t="s">
        <v>1911</v>
      </c>
      <c r="E183" s="1444">
        <v>0</v>
      </c>
      <c r="F183" s="1444">
        <v>0</v>
      </c>
      <c r="G183" s="1444">
        <v>0</v>
      </c>
      <c r="H183" s="1444">
        <f t="shared" si="10"/>
        <v>0</v>
      </c>
      <c r="I183" s="1444">
        <v>0</v>
      </c>
      <c r="J183" s="1444">
        <v>0</v>
      </c>
      <c r="K183" s="1444"/>
      <c r="L183" s="1444"/>
      <c r="M183" s="1444">
        <f t="shared" si="11"/>
        <v>0</v>
      </c>
      <c r="N183" s="1444">
        <f t="shared" si="12"/>
        <v>0</v>
      </c>
    </row>
    <row r="184" spans="1:14" ht="15.5" outlineLevel="1">
      <c r="A184" s="1455">
        <v>6.6</v>
      </c>
      <c r="B184" s="1455" t="s">
        <v>1754</v>
      </c>
      <c r="C184" s="1442"/>
      <c r="D184" s="1443" t="s">
        <v>1911</v>
      </c>
      <c r="E184" s="1444">
        <v>0</v>
      </c>
      <c r="F184" s="1444">
        <v>0</v>
      </c>
      <c r="G184" s="1444">
        <v>0</v>
      </c>
      <c r="H184" s="1444">
        <f t="shared" si="10"/>
        <v>0</v>
      </c>
      <c r="I184" s="1444">
        <v>0</v>
      </c>
      <c r="J184" s="1444">
        <v>0</v>
      </c>
      <c r="K184" s="1444"/>
      <c r="L184" s="1444"/>
      <c r="M184" s="1444">
        <f t="shared" si="11"/>
        <v>0</v>
      </c>
      <c r="N184" s="1444">
        <f t="shared" si="12"/>
        <v>0</v>
      </c>
    </row>
    <row r="185" spans="1:14" ht="15.5" outlineLevel="1">
      <c r="A185" s="1455">
        <v>6.7</v>
      </c>
      <c r="B185" s="1455" t="s">
        <v>1755</v>
      </c>
      <c r="C185" s="1442"/>
      <c r="D185" s="1443" t="s">
        <v>1911</v>
      </c>
      <c r="E185" s="1444">
        <v>0</v>
      </c>
      <c r="F185" s="1444">
        <v>0</v>
      </c>
      <c r="G185" s="1444">
        <v>0</v>
      </c>
      <c r="H185" s="1444">
        <f t="shared" si="10"/>
        <v>0</v>
      </c>
      <c r="I185" s="1444">
        <v>0</v>
      </c>
      <c r="J185" s="1444">
        <v>0</v>
      </c>
      <c r="K185" s="1444"/>
      <c r="L185" s="1444"/>
      <c r="M185" s="1444">
        <f t="shared" si="11"/>
        <v>0</v>
      </c>
      <c r="N185" s="1444">
        <f t="shared" si="12"/>
        <v>0</v>
      </c>
    </row>
    <row r="186" spans="1:14" ht="31" outlineLevel="1">
      <c r="A186" s="1455">
        <v>6.8</v>
      </c>
      <c r="B186" s="1455" t="s">
        <v>1756</v>
      </c>
      <c r="C186" s="1442"/>
      <c r="D186" s="1443" t="s">
        <v>1911</v>
      </c>
      <c r="E186" s="1444">
        <v>0</v>
      </c>
      <c r="F186" s="1444">
        <v>0</v>
      </c>
      <c r="G186" s="1444">
        <v>0</v>
      </c>
      <c r="H186" s="1444">
        <f t="shared" si="10"/>
        <v>0</v>
      </c>
      <c r="I186" s="1444">
        <v>0</v>
      </c>
      <c r="J186" s="1444">
        <v>0</v>
      </c>
      <c r="K186" s="1444"/>
      <c r="L186" s="1444"/>
      <c r="M186" s="1444">
        <f t="shared" si="11"/>
        <v>0</v>
      </c>
      <c r="N186" s="1444">
        <f t="shared" si="12"/>
        <v>0</v>
      </c>
    </row>
    <row r="187" spans="1:14" ht="15.5" outlineLevel="1">
      <c r="A187" s="1455">
        <v>6.9</v>
      </c>
      <c r="B187" s="1455" t="s">
        <v>1757</v>
      </c>
      <c r="C187" s="1442"/>
      <c r="D187" s="1443" t="s">
        <v>1911</v>
      </c>
      <c r="E187" s="1444">
        <v>0</v>
      </c>
      <c r="F187" s="1444">
        <v>0</v>
      </c>
      <c r="G187" s="1444">
        <v>0</v>
      </c>
      <c r="H187" s="1444">
        <f t="shared" si="10"/>
        <v>0</v>
      </c>
      <c r="I187" s="1444">
        <v>0</v>
      </c>
      <c r="J187" s="1444">
        <v>0</v>
      </c>
      <c r="K187" s="1444"/>
      <c r="L187" s="1444"/>
      <c r="M187" s="1444">
        <f t="shared" si="11"/>
        <v>0</v>
      </c>
      <c r="N187" s="1444">
        <f t="shared" si="12"/>
        <v>0</v>
      </c>
    </row>
    <row r="188" spans="1:14" ht="31" outlineLevel="1">
      <c r="A188" s="1455">
        <v>6.1</v>
      </c>
      <c r="B188" s="1455" t="s">
        <v>1758</v>
      </c>
      <c r="C188" s="1442"/>
      <c r="D188" s="1443" t="s">
        <v>1911</v>
      </c>
      <c r="E188" s="1444">
        <v>0</v>
      </c>
      <c r="F188" s="1444">
        <v>0</v>
      </c>
      <c r="G188" s="1444">
        <v>0</v>
      </c>
      <c r="H188" s="1444">
        <f t="shared" si="10"/>
        <v>0</v>
      </c>
      <c r="I188" s="1444">
        <v>0</v>
      </c>
      <c r="J188" s="1444">
        <v>0</v>
      </c>
      <c r="K188" s="1444"/>
      <c r="L188" s="1444"/>
      <c r="M188" s="1444">
        <f t="shared" si="11"/>
        <v>0</v>
      </c>
      <c r="N188" s="1444">
        <f t="shared" si="12"/>
        <v>0</v>
      </c>
    </row>
    <row r="189" spans="1:14" ht="31" outlineLevel="1">
      <c r="A189" s="1455">
        <v>6.11</v>
      </c>
      <c r="B189" s="1455" t="s">
        <v>1759</v>
      </c>
      <c r="C189" s="1442"/>
      <c r="D189" s="1443" t="s">
        <v>1911</v>
      </c>
      <c r="E189" s="1444">
        <v>0</v>
      </c>
      <c r="F189" s="1444">
        <v>0</v>
      </c>
      <c r="G189" s="1444">
        <v>0</v>
      </c>
      <c r="H189" s="1444">
        <f t="shared" si="10"/>
        <v>0</v>
      </c>
      <c r="I189" s="1444">
        <v>0</v>
      </c>
      <c r="J189" s="1444">
        <v>0</v>
      </c>
      <c r="K189" s="1444"/>
      <c r="L189" s="1444"/>
      <c r="M189" s="1444">
        <f t="shared" si="11"/>
        <v>0</v>
      </c>
      <c r="N189" s="1444">
        <f t="shared" si="12"/>
        <v>0</v>
      </c>
    </row>
    <row r="190" spans="1:14" ht="15.5" outlineLevel="1">
      <c r="A190" s="1457">
        <v>0</v>
      </c>
      <c r="B190" s="1457" t="s">
        <v>1760</v>
      </c>
      <c r="C190" s="1442"/>
      <c r="D190" s="1443" t="s">
        <v>1911</v>
      </c>
      <c r="E190" s="1444">
        <v>0</v>
      </c>
      <c r="F190" s="1444">
        <v>0</v>
      </c>
      <c r="G190" s="1444">
        <v>0</v>
      </c>
      <c r="H190" s="1444">
        <f t="shared" si="10"/>
        <v>0</v>
      </c>
      <c r="I190" s="1444">
        <v>0</v>
      </c>
      <c r="J190" s="1444">
        <v>0</v>
      </c>
      <c r="K190" s="1444"/>
      <c r="L190" s="1444"/>
      <c r="M190" s="1444">
        <f t="shared" si="11"/>
        <v>0</v>
      </c>
      <c r="N190" s="1444">
        <f t="shared" si="12"/>
        <v>0</v>
      </c>
    </row>
    <row r="191" spans="1:14" ht="31" outlineLevel="1">
      <c r="A191" s="1458">
        <v>1</v>
      </c>
      <c r="B191" s="1459" t="s">
        <v>1761</v>
      </c>
      <c r="C191" s="1442"/>
      <c r="D191" s="1443" t="s">
        <v>1911</v>
      </c>
      <c r="E191" s="1444">
        <v>0</v>
      </c>
      <c r="F191" s="1444">
        <v>0</v>
      </c>
      <c r="G191" s="1444">
        <v>0</v>
      </c>
      <c r="H191" s="1444">
        <f t="shared" si="10"/>
        <v>0</v>
      </c>
      <c r="I191" s="1444">
        <v>0</v>
      </c>
      <c r="J191" s="1444">
        <v>0</v>
      </c>
      <c r="K191" s="1444"/>
      <c r="L191" s="1444"/>
      <c r="M191" s="1444">
        <f t="shared" si="11"/>
        <v>0</v>
      </c>
      <c r="N191" s="1444">
        <f t="shared" si="12"/>
        <v>0</v>
      </c>
    </row>
    <row r="192" spans="1:14" ht="31" outlineLevel="1">
      <c r="A192" s="1455">
        <v>1.1000000000000001</v>
      </c>
      <c r="B192" s="1455" t="s">
        <v>1761</v>
      </c>
      <c r="C192" s="1442"/>
      <c r="D192" s="1443" t="s">
        <v>1911</v>
      </c>
      <c r="E192" s="1444">
        <v>0</v>
      </c>
      <c r="F192" s="1444">
        <v>0</v>
      </c>
      <c r="G192" s="1444">
        <v>0</v>
      </c>
      <c r="H192" s="1444">
        <f t="shared" si="10"/>
        <v>0</v>
      </c>
      <c r="I192" s="1444">
        <v>0</v>
      </c>
      <c r="J192" s="1444">
        <v>0</v>
      </c>
      <c r="K192" s="1444"/>
      <c r="L192" s="1444"/>
      <c r="M192" s="1444">
        <f t="shared" si="11"/>
        <v>0</v>
      </c>
      <c r="N192" s="1444">
        <f t="shared" si="12"/>
        <v>0</v>
      </c>
    </row>
    <row r="193" spans="1:14" ht="31" outlineLevel="1">
      <c r="A193" s="1458">
        <v>2</v>
      </c>
      <c r="B193" s="1459" t="s">
        <v>1762</v>
      </c>
      <c r="C193" s="1442"/>
      <c r="D193" s="1443" t="s">
        <v>1911</v>
      </c>
      <c r="E193" s="1444">
        <v>0</v>
      </c>
      <c r="F193" s="1444">
        <v>0</v>
      </c>
      <c r="G193" s="1444">
        <v>0</v>
      </c>
      <c r="H193" s="1444">
        <f t="shared" si="10"/>
        <v>0</v>
      </c>
      <c r="I193" s="1444">
        <v>0</v>
      </c>
      <c r="J193" s="1444">
        <v>0</v>
      </c>
      <c r="K193" s="1444"/>
      <c r="L193" s="1444"/>
      <c r="M193" s="1444">
        <f t="shared" si="11"/>
        <v>0</v>
      </c>
      <c r="N193" s="1444">
        <f t="shared" si="12"/>
        <v>0</v>
      </c>
    </row>
    <row r="194" spans="1:14" ht="31" outlineLevel="1">
      <c r="A194" s="1455">
        <v>2.1</v>
      </c>
      <c r="B194" s="1455" t="s">
        <v>1763</v>
      </c>
      <c r="C194" s="1442"/>
      <c r="D194" s="1443" t="s">
        <v>1911</v>
      </c>
      <c r="E194" s="1444">
        <v>0</v>
      </c>
      <c r="F194" s="1444">
        <v>0</v>
      </c>
      <c r="G194" s="1444">
        <v>0</v>
      </c>
      <c r="H194" s="1444">
        <f t="shared" si="10"/>
        <v>0</v>
      </c>
      <c r="I194" s="1444">
        <v>0</v>
      </c>
      <c r="J194" s="1444">
        <v>0</v>
      </c>
      <c r="K194" s="1444"/>
      <c r="L194" s="1444"/>
      <c r="M194" s="1444">
        <f t="shared" si="11"/>
        <v>0</v>
      </c>
      <c r="N194" s="1444">
        <f t="shared" si="12"/>
        <v>0</v>
      </c>
    </row>
    <row r="195" spans="1:14" ht="15.5" outlineLevel="1">
      <c r="A195" s="1458">
        <v>3</v>
      </c>
      <c r="B195" s="1459" t="s">
        <v>1764</v>
      </c>
      <c r="C195" s="1442"/>
      <c r="D195" s="1443" t="s">
        <v>1911</v>
      </c>
      <c r="E195" s="1444">
        <v>0</v>
      </c>
      <c r="F195" s="1444">
        <v>0</v>
      </c>
      <c r="G195" s="1444">
        <v>0</v>
      </c>
      <c r="H195" s="1444">
        <f t="shared" si="10"/>
        <v>0</v>
      </c>
      <c r="I195" s="1444">
        <v>0</v>
      </c>
      <c r="J195" s="1444">
        <v>0</v>
      </c>
      <c r="K195" s="1444"/>
      <c r="L195" s="1444"/>
      <c r="M195" s="1444">
        <f t="shared" si="11"/>
        <v>0</v>
      </c>
      <c r="N195" s="1444">
        <f t="shared" si="12"/>
        <v>0</v>
      </c>
    </row>
    <row r="196" spans="1:14" ht="31" outlineLevel="1">
      <c r="A196" s="1455">
        <v>3.1</v>
      </c>
      <c r="B196" s="1455" t="s">
        <v>1765</v>
      </c>
      <c r="C196" s="1442"/>
      <c r="D196" s="1443" t="s">
        <v>1911</v>
      </c>
      <c r="E196" s="1444">
        <v>0</v>
      </c>
      <c r="F196" s="1444">
        <v>0</v>
      </c>
      <c r="G196" s="1444">
        <v>0</v>
      </c>
      <c r="H196" s="1444">
        <f t="shared" si="10"/>
        <v>0</v>
      </c>
      <c r="I196" s="1444">
        <v>0</v>
      </c>
      <c r="J196" s="1444">
        <v>0</v>
      </c>
      <c r="K196" s="1444"/>
      <c r="L196" s="1444"/>
      <c r="M196" s="1444">
        <f t="shared" si="11"/>
        <v>0</v>
      </c>
      <c r="N196" s="1444">
        <f t="shared" si="12"/>
        <v>0</v>
      </c>
    </row>
    <row r="197" spans="1:14" ht="15.5" outlineLevel="1">
      <c r="A197" s="1457">
        <v>0</v>
      </c>
      <c r="B197" s="1457" t="s">
        <v>951</v>
      </c>
      <c r="C197" s="1442"/>
      <c r="D197" s="1443" t="s">
        <v>1911</v>
      </c>
      <c r="E197" s="1444">
        <v>0</v>
      </c>
      <c r="F197" s="1444">
        <v>0</v>
      </c>
      <c r="G197" s="1444">
        <v>0</v>
      </c>
      <c r="H197" s="1444">
        <f t="shared" si="10"/>
        <v>0</v>
      </c>
      <c r="I197" s="1444">
        <v>0</v>
      </c>
      <c r="J197" s="1444">
        <v>0</v>
      </c>
      <c r="K197" s="1444"/>
      <c r="L197" s="1444"/>
      <c r="M197" s="1444">
        <f t="shared" si="11"/>
        <v>0</v>
      </c>
      <c r="N197" s="1444">
        <f t="shared" si="12"/>
        <v>0</v>
      </c>
    </row>
    <row r="198" spans="1:14" ht="31" outlineLevel="1">
      <c r="A198" s="1458">
        <v>1</v>
      </c>
      <c r="B198" s="1459" t="s">
        <v>1704</v>
      </c>
      <c r="C198" s="1442"/>
      <c r="D198" s="1443" t="s">
        <v>1911</v>
      </c>
      <c r="E198" s="1444">
        <v>0</v>
      </c>
      <c r="F198" s="1444">
        <v>0</v>
      </c>
      <c r="G198" s="1444">
        <v>0</v>
      </c>
      <c r="H198" s="1444">
        <f t="shared" si="10"/>
        <v>0</v>
      </c>
      <c r="I198" s="1444">
        <v>0</v>
      </c>
      <c r="J198" s="1444">
        <v>0</v>
      </c>
      <c r="K198" s="1444"/>
      <c r="L198" s="1444"/>
      <c r="M198" s="1444">
        <f t="shared" si="11"/>
        <v>0</v>
      </c>
      <c r="N198" s="1444">
        <f t="shared" si="12"/>
        <v>0</v>
      </c>
    </row>
    <row r="199" spans="1:14" ht="31" outlineLevel="1">
      <c r="A199" s="1455">
        <v>1.1000000000000001</v>
      </c>
      <c r="B199" s="1455" t="s">
        <v>1704</v>
      </c>
      <c r="C199" s="1442"/>
      <c r="D199" s="1443" t="s">
        <v>1911</v>
      </c>
      <c r="E199" s="1444">
        <v>0</v>
      </c>
      <c r="F199" s="1444">
        <v>0</v>
      </c>
      <c r="G199" s="1444">
        <v>0</v>
      </c>
      <c r="H199" s="1444">
        <f t="shared" si="10"/>
        <v>0</v>
      </c>
      <c r="I199" s="1444">
        <v>0</v>
      </c>
      <c r="J199" s="1444">
        <v>0</v>
      </c>
      <c r="K199" s="1444"/>
      <c r="L199" s="1444"/>
      <c r="M199" s="1444">
        <f t="shared" si="11"/>
        <v>0</v>
      </c>
      <c r="N199" s="1444">
        <f t="shared" si="12"/>
        <v>0</v>
      </c>
    </row>
    <row r="200" spans="1:14" ht="15.5" outlineLevel="1">
      <c r="A200" s="1458">
        <v>2</v>
      </c>
      <c r="B200" s="1459" t="s">
        <v>1766</v>
      </c>
      <c r="C200" s="1442"/>
      <c r="D200" s="1443" t="s">
        <v>1911</v>
      </c>
      <c r="E200" s="1444">
        <v>0</v>
      </c>
      <c r="F200" s="1444">
        <v>0</v>
      </c>
      <c r="G200" s="1444">
        <v>0</v>
      </c>
      <c r="H200" s="1444">
        <f t="shared" si="10"/>
        <v>0</v>
      </c>
      <c r="I200" s="1444">
        <v>0</v>
      </c>
      <c r="J200" s="1444">
        <v>0</v>
      </c>
      <c r="K200" s="1444"/>
      <c r="L200" s="1444"/>
      <c r="M200" s="1444">
        <f t="shared" si="11"/>
        <v>0</v>
      </c>
      <c r="N200" s="1444">
        <f t="shared" si="12"/>
        <v>0</v>
      </c>
    </row>
    <row r="201" spans="1:14" ht="15.5" outlineLevel="1">
      <c r="A201" s="1455">
        <v>2.1</v>
      </c>
      <c r="B201" s="1455" t="s">
        <v>1767</v>
      </c>
      <c r="C201" s="1442"/>
      <c r="D201" s="1443" t="s">
        <v>1911</v>
      </c>
      <c r="E201" s="1444">
        <v>0</v>
      </c>
      <c r="F201" s="1444">
        <v>0</v>
      </c>
      <c r="G201" s="1444">
        <v>0</v>
      </c>
      <c r="H201" s="1444">
        <f t="shared" si="10"/>
        <v>0</v>
      </c>
      <c r="I201" s="1444">
        <v>0</v>
      </c>
      <c r="J201" s="1444">
        <v>0</v>
      </c>
      <c r="K201" s="1444"/>
      <c r="L201" s="1444"/>
      <c r="M201" s="1444">
        <f t="shared" si="11"/>
        <v>0</v>
      </c>
      <c r="N201" s="1444">
        <f t="shared" si="12"/>
        <v>0</v>
      </c>
    </row>
    <row r="202" spans="1:14" ht="15.5" outlineLevel="1">
      <c r="A202" s="1455">
        <v>0</v>
      </c>
      <c r="B202" s="1455">
        <v>0</v>
      </c>
      <c r="C202" s="1442"/>
      <c r="D202" s="1443" t="s">
        <v>1911</v>
      </c>
      <c r="E202" s="1444">
        <v>0</v>
      </c>
      <c r="F202" s="1444">
        <v>0</v>
      </c>
      <c r="G202" s="1444">
        <v>0</v>
      </c>
      <c r="H202" s="1444">
        <f t="shared" si="10"/>
        <v>0</v>
      </c>
      <c r="I202" s="1444">
        <v>0</v>
      </c>
      <c r="J202" s="1444">
        <v>0</v>
      </c>
      <c r="K202" s="1444"/>
      <c r="L202" s="1444"/>
      <c r="M202" s="1444">
        <f t="shared" si="11"/>
        <v>0</v>
      </c>
      <c r="N202" s="1444">
        <f t="shared" si="12"/>
        <v>0</v>
      </c>
    </row>
    <row r="203" spans="1:14" ht="15.5" outlineLevel="1">
      <c r="A203" s="1456">
        <v>0</v>
      </c>
      <c r="B203" s="1456" t="s">
        <v>929</v>
      </c>
      <c r="C203" s="1442"/>
      <c r="D203" s="1443" t="s">
        <v>1911</v>
      </c>
      <c r="E203" s="1444">
        <v>0</v>
      </c>
      <c r="F203" s="1444">
        <v>0</v>
      </c>
      <c r="G203" s="1444">
        <v>0</v>
      </c>
      <c r="H203" s="1444">
        <f t="shared" ref="H203:H234" si="13">F203-G203</f>
        <v>0</v>
      </c>
      <c r="I203" s="1444">
        <v>0</v>
      </c>
      <c r="J203" s="1444">
        <v>0</v>
      </c>
      <c r="K203" s="1444"/>
      <c r="L203" s="1444"/>
      <c r="M203" s="1444">
        <f t="shared" ref="M203:M234" si="14">SUM(J203:L203)</f>
        <v>0</v>
      </c>
      <c r="N203" s="1444">
        <f t="shared" ref="N203:N234" si="15">H203+I203-M203</f>
        <v>0</v>
      </c>
    </row>
    <row r="204" spans="1:14" ht="15.5" outlineLevel="1">
      <c r="A204" s="1454">
        <v>1</v>
      </c>
      <c r="B204" s="1454" t="s">
        <v>1768</v>
      </c>
      <c r="C204" s="1442"/>
      <c r="D204" s="1443" t="s">
        <v>1911</v>
      </c>
      <c r="E204" s="1444">
        <v>0</v>
      </c>
      <c r="F204" s="1444">
        <v>1.473342572</v>
      </c>
      <c r="G204" s="1444">
        <v>1.473342572</v>
      </c>
      <c r="H204" s="1444">
        <f t="shared" si="13"/>
        <v>0</v>
      </c>
      <c r="I204" s="1444">
        <v>0</v>
      </c>
      <c r="J204" s="1444">
        <v>0</v>
      </c>
      <c r="K204" s="1444"/>
      <c r="L204" s="1444"/>
      <c r="M204" s="1444">
        <f t="shared" si="14"/>
        <v>0</v>
      </c>
      <c r="N204" s="1444">
        <f t="shared" si="15"/>
        <v>0</v>
      </c>
    </row>
    <row r="205" spans="1:14" ht="15.5" outlineLevel="1">
      <c r="A205" s="1454">
        <v>2</v>
      </c>
      <c r="B205" s="1454" t="s">
        <v>1769</v>
      </c>
      <c r="C205" s="1442"/>
      <c r="D205" s="1443" t="s">
        <v>1911</v>
      </c>
      <c r="E205" s="1444">
        <v>0</v>
      </c>
      <c r="F205" s="1444">
        <v>2.3246000000000002</v>
      </c>
      <c r="G205" s="1444">
        <v>2.3246000000000002</v>
      </c>
      <c r="H205" s="1444">
        <f t="shared" si="13"/>
        <v>0</v>
      </c>
      <c r="I205" s="1444">
        <v>0</v>
      </c>
      <c r="J205" s="1444">
        <v>0</v>
      </c>
      <c r="K205" s="1444"/>
      <c r="L205" s="1444"/>
      <c r="M205" s="1444">
        <f t="shared" si="14"/>
        <v>0</v>
      </c>
      <c r="N205" s="1444">
        <f t="shared" si="15"/>
        <v>0</v>
      </c>
    </row>
    <row r="206" spans="1:14" ht="31" outlineLevel="1">
      <c r="A206" s="1454">
        <v>3</v>
      </c>
      <c r="B206" s="1454" t="s">
        <v>1770</v>
      </c>
      <c r="C206" s="1442"/>
      <c r="D206" s="1443" t="s">
        <v>1911</v>
      </c>
      <c r="E206" s="1444">
        <v>0</v>
      </c>
      <c r="F206" s="1444">
        <v>0.57024680000000005</v>
      </c>
      <c r="G206" s="1444">
        <v>0.57024680000000005</v>
      </c>
      <c r="H206" s="1444">
        <f t="shared" si="13"/>
        <v>0</v>
      </c>
      <c r="I206" s="1444">
        <v>0</v>
      </c>
      <c r="J206" s="1444">
        <v>0</v>
      </c>
      <c r="K206" s="1444"/>
      <c r="L206" s="1444"/>
      <c r="M206" s="1444">
        <f t="shared" si="14"/>
        <v>0</v>
      </c>
      <c r="N206" s="1444">
        <f t="shared" si="15"/>
        <v>0</v>
      </c>
    </row>
    <row r="207" spans="1:14" ht="15.5" outlineLevel="1">
      <c r="A207" s="1454">
        <v>4</v>
      </c>
      <c r="B207" s="1454" t="s">
        <v>1771</v>
      </c>
      <c r="C207" s="1442"/>
      <c r="D207" s="1443" t="s">
        <v>1911</v>
      </c>
      <c r="E207" s="1444">
        <v>0</v>
      </c>
      <c r="F207" s="1444">
        <v>0.57796400000000003</v>
      </c>
      <c r="G207" s="1444">
        <v>0.57796400000000003</v>
      </c>
      <c r="H207" s="1444">
        <f t="shared" si="13"/>
        <v>0</v>
      </c>
      <c r="I207" s="1444">
        <v>0</v>
      </c>
      <c r="J207" s="1444">
        <v>0</v>
      </c>
      <c r="K207" s="1444"/>
      <c r="L207" s="1444"/>
      <c r="M207" s="1444">
        <f t="shared" si="14"/>
        <v>0</v>
      </c>
      <c r="N207" s="1444">
        <f t="shared" si="15"/>
        <v>0</v>
      </c>
    </row>
    <row r="208" spans="1:14" ht="15.5" outlineLevel="1">
      <c r="A208" s="1454">
        <v>5</v>
      </c>
      <c r="B208" s="1454" t="s">
        <v>1772</v>
      </c>
      <c r="C208" s="1442"/>
      <c r="D208" s="1443" t="s">
        <v>1911</v>
      </c>
      <c r="E208" s="1444">
        <v>0</v>
      </c>
      <c r="F208" s="1444">
        <v>2.0319305000000001</v>
      </c>
      <c r="G208" s="1444">
        <v>2.0319305000000001</v>
      </c>
      <c r="H208" s="1444">
        <f t="shared" si="13"/>
        <v>0</v>
      </c>
      <c r="I208" s="1444">
        <v>0</v>
      </c>
      <c r="J208" s="1444">
        <v>0</v>
      </c>
      <c r="K208" s="1444"/>
      <c r="L208" s="1444"/>
      <c r="M208" s="1444">
        <f t="shared" si="14"/>
        <v>0</v>
      </c>
      <c r="N208" s="1444">
        <f t="shared" si="15"/>
        <v>0</v>
      </c>
    </row>
    <row r="209" spans="1:14" ht="31" outlineLevel="1">
      <c r="A209" s="1454">
        <v>6</v>
      </c>
      <c r="B209" s="1454" t="s">
        <v>1773</v>
      </c>
      <c r="C209" s="1442"/>
      <c r="D209" s="1443" t="s">
        <v>1911</v>
      </c>
      <c r="E209" s="1444">
        <v>0</v>
      </c>
      <c r="F209" s="1444">
        <v>5.8625346629999999</v>
      </c>
      <c r="G209" s="1444">
        <v>5.8625346629999999</v>
      </c>
      <c r="H209" s="1444">
        <f t="shared" si="13"/>
        <v>0</v>
      </c>
      <c r="I209" s="1444">
        <v>0</v>
      </c>
      <c r="J209" s="1444">
        <v>0</v>
      </c>
      <c r="K209" s="1444"/>
      <c r="L209" s="1444"/>
      <c r="M209" s="1444">
        <f t="shared" si="14"/>
        <v>0</v>
      </c>
      <c r="N209" s="1444">
        <f t="shared" si="15"/>
        <v>0</v>
      </c>
    </row>
    <row r="210" spans="1:14" ht="15.5" outlineLevel="1">
      <c r="A210" s="1454">
        <v>7</v>
      </c>
      <c r="B210" s="1454" t="s">
        <v>1774</v>
      </c>
      <c r="C210" s="1442"/>
      <c r="D210" s="1443" t="s">
        <v>1911</v>
      </c>
      <c r="E210" s="1444">
        <v>0</v>
      </c>
      <c r="F210" s="1444">
        <v>1.6478699999999999</v>
      </c>
      <c r="G210" s="1444">
        <v>1.6478699999999999</v>
      </c>
      <c r="H210" s="1444">
        <f t="shared" si="13"/>
        <v>0</v>
      </c>
      <c r="I210" s="1444">
        <v>0</v>
      </c>
      <c r="J210" s="1444">
        <v>0</v>
      </c>
      <c r="K210" s="1444"/>
      <c r="L210" s="1444"/>
      <c r="M210" s="1444">
        <f t="shared" si="14"/>
        <v>0</v>
      </c>
      <c r="N210" s="1444">
        <f t="shared" si="15"/>
        <v>0</v>
      </c>
    </row>
    <row r="211" spans="1:14" ht="15.5" outlineLevel="1">
      <c r="A211" s="1454">
        <v>8</v>
      </c>
      <c r="B211" s="1454" t="s">
        <v>1775</v>
      </c>
      <c r="C211" s="1442"/>
      <c r="D211" s="1443" t="s">
        <v>1911</v>
      </c>
      <c r="E211" s="1444">
        <v>0</v>
      </c>
      <c r="F211" s="1444">
        <v>2.218399056</v>
      </c>
      <c r="G211" s="1444">
        <v>2.218399056</v>
      </c>
      <c r="H211" s="1444">
        <f t="shared" si="13"/>
        <v>0</v>
      </c>
      <c r="I211" s="1444">
        <v>0</v>
      </c>
      <c r="J211" s="1444">
        <v>0</v>
      </c>
      <c r="K211" s="1444"/>
      <c r="L211" s="1444"/>
      <c r="M211" s="1444">
        <f t="shared" si="14"/>
        <v>0</v>
      </c>
      <c r="N211" s="1444">
        <f t="shared" si="15"/>
        <v>0</v>
      </c>
    </row>
    <row r="212" spans="1:14" ht="31" outlineLevel="1">
      <c r="A212" s="1454">
        <v>9</v>
      </c>
      <c r="B212" s="1454" t="s">
        <v>1776</v>
      </c>
      <c r="C212" s="1442"/>
      <c r="D212" s="1443" t="s">
        <v>1911</v>
      </c>
      <c r="E212" s="1444">
        <v>0</v>
      </c>
      <c r="F212" s="1444">
        <v>0.58051280000000005</v>
      </c>
      <c r="G212" s="1444">
        <v>0.58051280000000005</v>
      </c>
      <c r="H212" s="1444">
        <f t="shared" si="13"/>
        <v>0</v>
      </c>
      <c r="I212" s="1444">
        <v>0</v>
      </c>
      <c r="J212" s="1444">
        <v>0</v>
      </c>
      <c r="K212" s="1444"/>
      <c r="L212" s="1444"/>
      <c r="M212" s="1444">
        <f t="shared" si="14"/>
        <v>0</v>
      </c>
      <c r="N212" s="1444">
        <f t="shared" si="15"/>
        <v>0</v>
      </c>
    </row>
    <row r="213" spans="1:14" ht="31" outlineLevel="1">
      <c r="A213" s="1454">
        <v>10</v>
      </c>
      <c r="B213" s="1454" t="s">
        <v>1777</v>
      </c>
      <c r="C213" s="1442"/>
      <c r="D213" s="1443" t="s">
        <v>1911</v>
      </c>
      <c r="E213" s="1444">
        <v>0</v>
      </c>
      <c r="F213" s="1444">
        <v>1.50150162</v>
      </c>
      <c r="G213" s="1444">
        <v>1.50150162</v>
      </c>
      <c r="H213" s="1444">
        <f t="shared" si="13"/>
        <v>0</v>
      </c>
      <c r="I213" s="1444">
        <v>0</v>
      </c>
      <c r="J213" s="1444">
        <v>0</v>
      </c>
      <c r="K213" s="1444"/>
      <c r="L213" s="1444"/>
      <c r="M213" s="1444">
        <f t="shared" si="14"/>
        <v>0</v>
      </c>
      <c r="N213" s="1444">
        <f t="shared" si="15"/>
        <v>0</v>
      </c>
    </row>
    <row r="214" spans="1:14" ht="31" outlineLevel="1">
      <c r="A214" s="1454">
        <v>11</v>
      </c>
      <c r="B214" s="1454" t="s">
        <v>1778</v>
      </c>
      <c r="C214" s="1442"/>
      <c r="D214" s="1443" t="s">
        <v>1911</v>
      </c>
      <c r="E214" s="1444">
        <v>0</v>
      </c>
      <c r="F214" s="1444">
        <v>0</v>
      </c>
      <c r="G214" s="1444">
        <v>0</v>
      </c>
      <c r="H214" s="1444">
        <f t="shared" si="13"/>
        <v>0</v>
      </c>
      <c r="I214" s="1444">
        <v>0</v>
      </c>
      <c r="J214" s="1444">
        <v>0</v>
      </c>
      <c r="K214" s="1444"/>
      <c r="L214" s="1444"/>
      <c r="M214" s="1444">
        <f t="shared" si="14"/>
        <v>0</v>
      </c>
      <c r="N214" s="1444">
        <f t="shared" si="15"/>
        <v>0</v>
      </c>
    </row>
    <row r="215" spans="1:14" ht="15.5" outlineLevel="1">
      <c r="A215" s="1454">
        <v>12</v>
      </c>
      <c r="B215" s="1454" t="s">
        <v>1779</v>
      </c>
      <c r="C215" s="1442"/>
      <c r="D215" s="1443" t="s">
        <v>1911</v>
      </c>
      <c r="E215" s="1444">
        <v>0</v>
      </c>
      <c r="F215" s="1444">
        <v>2.4539</v>
      </c>
      <c r="G215" s="1444">
        <v>2.4539</v>
      </c>
      <c r="H215" s="1444">
        <f t="shared" si="13"/>
        <v>0</v>
      </c>
      <c r="I215" s="1444">
        <v>0</v>
      </c>
      <c r="J215" s="1444">
        <v>0</v>
      </c>
      <c r="K215" s="1444"/>
      <c r="L215" s="1444"/>
      <c r="M215" s="1444">
        <f t="shared" si="14"/>
        <v>0</v>
      </c>
      <c r="N215" s="1444">
        <f t="shared" si="15"/>
        <v>0</v>
      </c>
    </row>
    <row r="216" spans="1:14" ht="15.5" outlineLevel="1">
      <c r="A216" s="1454">
        <v>13</v>
      </c>
      <c r="B216" s="1454" t="s">
        <v>930</v>
      </c>
      <c r="C216" s="1442"/>
      <c r="D216" s="1443" t="s">
        <v>1911</v>
      </c>
      <c r="E216" s="1444">
        <v>0</v>
      </c>
      <c r="F216" s="1444">
        <v>0.21333523199999999</v>
      </c>
      <c r="G216" s="1444">
        <v>0.21333523199999999</v>
      </c>
      <c r="H216" s="1444">
        <f t="shared" si="13"/>
        <v>0</v>
      </c>
      <c r="I216" s="1444">
        <v>0</v>
      </c>
      <c r="J216" s="1444">
        <v>0</v>
      </c>
      <c r="K216" s="1444"/>
      <c r="L216" s="1444"/>
      <c r="M216" s="1444">
        <f t="shared" si="14"/>
        <v>0</v>
      </c>
      <c r="N216" s="1444">
        <f t="shared" si="15"/>
        <v>0</v>
      </c>
    </row>
    <row r="217" spans="1:14" ht="15.5" outlineLevel="1">
      <c r="A217" s="1454">
        <v>14</v>
      </c>
      <c r="B217" s="1454" t="s">
        <v>931</v>
      </c>
      <c r="C217" s="1442"/>
      <c r="D217" s="1443" t="s">
        <v>1911</v>
      </c>
      <c r="E217" s="1444">
        <v>0</v>
      </c>
      <c r="F217" s="1444">
        <v>0.22996406</v>
      </c>
      <c r="G217" s="1444">
        <v>0.22996406</v>
      </c>
      <c r="H217" s="1444">
        <f t="shared" si="13"/>
        <v>0</v>
      </c>
      <c r="I217" s="1444">
        <v>0</v>
      </c>
      <c r="J217" s="1444">
        <v>0</v>
      </c>
      <c r="K217" s="1444"/>
      <c r="L217" s="1444"/>
      <c r="M217" s="1444">
        <f t="shared" si="14"/>
        <v>0</v>
      </c>
      <c r="N217" s="1444">
        <f t="shared" si="15"/>
        <v>0</v>
      </c>
    </row>
    <row r="218" spans="1:14" ht="15.5" outlineLevel="1">
      <c r="A218" s="1454">
        <v>15</v>
      </c>
      <c r="B218" s="1454" t="s">
        <v>1780</v>
      </c>
      <c r="C218" s="1442"/>
      <c r="D218" s="1443" t="s">
        <v>1911</v>
      </c>
      <c r="E218" s="1444">
        <v>0</v>
      </c>
      <c r="F218" s="1444">
        <v>0.5280705</v>
      </c>
      <c r="G218" s="1444">
        <v>0.2780705</v>
      </c>
      <c r="H218" s="1444">
        <f t="shared" si="13"/>
        <v>0.25</v>
      </c>
      <c r="I218" s="1444">
        <v>0</v>
      </c>
      <c r="J218" s="1444">
        <v>0</v>
      </c>
      <c r="K218" s="1444"/>
      <c r="L218" s="1444"/>
      <c r="M218" s="1444">
        <f t="shared" si="14"/>
        <v>0</v>
      </c>
      <c r="N218" s="1444">
        <f t="shared" si="15"/>
        <v>0.25</v>
      </c>
    </row>
    <row r="219" spans="1:14" ht="15.5" outlineLevel="1">
      <c r="A219" s="1454">
        <v>16</v>
      </c>
      <c r="B219" s="1454" t="s">
        <v>1781</v>
      </c>
      <c r="C219" s="1442"/>
      <c r="D219" s="1443" t="s">
        <v>1911</v>
      </c>
      <c r="E219" s="1444">
        <v>0</v>
      </c>
      <c r="F219" s="1444">
        <v>0.1014328</v>
      </c>
      <c r="G219" s="1444">
        <v>0.1014328</v>
      </c>
      <c r="H219" s="1444">
        <f t="shared" si="13"/>
        <v>0</v>
      </c>
      <c r="I219" s="1444">
        <v>0</v>
      </c>
      <c r="J219" s="1444">
        <v>0</v>
      </c>
      <c r="K219" s="1444"/>
      <c r="L219" s="1444"/>
      <c r="M219" s="1444">
        <f t="shared" si="14"/>
        <v>0</v>
      </c>
      <c r="N219" s="1444">
        <f t="shared" si="15"/>
        <v>0</v>
      </c>
    </row>
    <row r="220" spans="1:14" ht="15.5" outlineLevel="1">
      <c r="A220" s="1454">
        <v>17</v>
      </c>
      <c r="B220" s="1454" t="s">
        <v>1782</v>
      </c>
      <c r="C220" s="1442"/>
      <c r="D220" s="1443" t="s">
        <v>1911</v>
      </c>
      <c r="E220" s="1444">
        <v>0</v>
      </c>
      <c r="F220" s="1444">
        <v>0.23453750000000001</v>
      </c>
      <c r="G220" s="1444">
        <v>0.23453750000000001</v>
      </c>
      <c r="H220" s="1444">
        <f t="shared" si="13"/>
        <v>0</v>
      </c>
      <c r="I220" s="1444">
        <v>0</v>
      </c>
      <c r="J220" s="1444">
        <v>0</v>
      </c>
      <c r="K220" s="1444"/>
      <c r="L220" s="1444"/>
      <c r="M220" s="1444">
        <f t="shared" si="14"/>
        <v>0</v>
      </c>
      <c r="N220" s="1444">
        <f t="shared" si="15"/>
        <v>0</v>
      </c>
    </row>
    <row r="221" spans="1:14" ht="15.5" outlineLevel="1">
      <c r="A221" s="1454">
        <v>18</v>
      </c>
      <c r="B221" s="1454" t="s">
        <v>1783</v>
      </c>
      <c r="C221" s="1442"/>
      <c r="D221" s="1443" t="s">
        <v>1911</v>
      </c>
      <c r="E221" s="1444">
        <v>0</v>
      </c>
      <c r="F221" s="1444">
        <v>0.55035469999999997</v>
      </c>
      <c r="G221" s="1444">
        <v>0.55035469999999997</v>
      </c>
      <c r="H221" s="1444">
        <f t="shared" si="13"/>
        <v>0</v>
      </c>
      <c r="I221" s="1444">
        <v>0</v>
      </c>
      <c r="J221" s="1444">
        <v>0</v>
      </c>
      <c r="K221" s="1444"/>
      <c r="L221" s="1444"/>
      <c r="M221" s="1444">
        <f t="shared" si="14"/>
        <v>0</v>
      </c>
      <c r="N221" s="1444">
        <f t="shared" si="15"/>
        <v>0</v>
      </c>
    </row>
    <row r="222" spans="1:14" ht="15.5" outlineLevel="1">
      <c r="A222" s="1454">
        <v>19</v>
      </c>
      <c r="B222" s="1454" t="s">
        <v>1784</v>
      </c>
      <c r="C222" s="1442"/>
      <c r="D222" s="1443" t="s">
        <v>1911</v>
      </c>
      <c r="E222" s="1444">
        <v>0</v>
      </c>
      <c r="F222" s="1444">
        <v>5.0490047999999996E-2</v>
      </c>
      <c r="G222" s="1444">
        <v>5.0490047999999996E-2</v>
      </c>
      <c r="H222" s="1444">
        <f t="shared" si="13"/>
        <v>0</v>
      </c>
      <c r="I222" s="1444">
        <v>0</v>
      </c>
      <c r="J222" s="1444">
        <v>0</v>
      </c>
      <c r="K222" s="1444"/>
      <c r="L222" s="1444"/>
      <c r="M222" s="1444">
        <f t="shared" si="14"/>
        <v>0</v>
      </c>
      <c r="N222" s="1444">
        <f t="shared" si="15"/>
        <v>0</v>
      </c>
    </row>
    <row r="223" spans="1:14" ht="15.5" outlineLevel="1">
      <c r="A223" s="1454">
        <v>20</v>
      </c>
      <c r="B223" s="1454" t="s">
        <v>1785</v>
      </c>
      <c r="C223" s="1442"/>
      <c r="D223" s="1443" t="s">
        <v>1911</v>
      </c>
      <c r="E223" s="1444">
        <v>0</v>
      </c>
      <c r="F223" s="1444">
        <v>0.57868969999999997</v>
      </c>
      <c r="G223" s="1444">
        <v>0.57868969999999997</v>
      </c>
      <c r="H223" s="1444">
        <f t="shared" si="13"/>
        <v>0</v>
      </c>
      <c r="I223" s="1444">
        <v>0</v>
      </c>
      <c r="J223" s="1444">
        <v>0</v>
      </c>
      <c r="K223" s="1444"/>
      <c r="L223" s="1444"/>
      <c r="M223" s="1444">
        <f t="shared" si="14"/>
        <v>0</v>
      </c>
      <c r="N223" s="1444">
        <f t="shared" si="15"/>
        <v>0</v>
      </c>
    </row>
    <row r="224" spans="1:14" ht="15.5" outlineLevel="1">
      <c r="A224" s="1454">
        <v>21</v>
      </c>
      <c r="B224" s="1454" t="s">
        <v>1786</v>
      </c>
      <c r="C224" s="1442"/>
      <c r="D224" s="1443" t="s">
        <v>1911</v>
      </c>
      <c r="E224" s="1444">
        <v>0</v>
      </c>
      <c r="F224" s="1444">
        <v>3.8467899999999999E-2</v>
      </c>
      <c r="G224" s="1444">
        <v>3.8467899999999999E-2</v>
      </c>
      <c r="H224" s="1444">
        <f t="shared" si="13"/>
        <v>0</v>
      </c>
      <c r="I224" s="1444">
        <v>0</v>
      </c>
      <c r="J224" s="1444">
        <v>0</v>
      </c>
      <c r="K224" s="1444"/>
      <c r="L224" s="1444"/>
      <c r="M224" s="1444">
        <f t="shared" si="14"/>
        <v>0</v>
      </c>
      <c r="N224" s="1444">
        <f t="shared" si="15"/>
        <v>0</v>
      </c>
    </row>
    <row r="225" spans="1:16" ht="15.5" outlineLevel="1">
      <c r="A225" s="1454">
        <v>22</v>
      </c>
      <c r="B225" s="1454" t="s">
        <v>1787</v>
      </c>
      <c r="C225" s="1442"/>
      <c r="D225" s="1443" t="s">
        <v>1911</v>
      </c>
      <c r="E225" s="1444">
        <v>0</v>
      </c>
      <c r="F225" s="1444">
        <v>2.4644665859999999</v>
      </c>
      <c r="G225" s="1444">
        <v>2.4644665859999999</v>
      </c>
      <c r="H225" s="1444">
        <f t="shared" si="13"/>
        <v>0</v>
      </c>
      <c r="I225" s="1444">
        <v>0</v>
      </c>
      <c r="J225" s="1444">
        <v>0</v>
      </c>
      <c r="K225" s="1444"/>
      <c r="L225" s="1444"/>
      <c r="M225" s="1444">
        <f t="shared" si="14"/>
        <v>0</v>
      </c>
      <c r="N225" s="1444">
        <f t="shared" si="15"/>
        <v>0</v>
      </c>
    </row>
    <row r="226" spans="1:16" ht="15.5" outlineLevel="1">
      <c r="A226" s="1454">
        <v>23</v>
      </c>
      <c r="B226" s="1454" t="s">
        <v>1788</v>
      </c>
      <c r="C226" s="1442"/>
      <c r="D226" s="1443" t="s">
        <v>1911</v>
      </c>
      <c r="E226" s="1444">
        <v>0</v>
      </c>
      <c r="F226" s="1444">
        <v>0.98448907899999993</v>
      </c>
      <c r="G226" s="1444">
        <v>0.98448907899999993</v>
      </c>
      <c r="H226" s="1444">
        <f t="shared" si="13"/>
        <v>0</v>
      </c>
      <c r="I226" s="1444">
        <v>0</v>
      </c>
      <c r="J226" s="1444">
        <v>0</v>
      </c>
      <c r="K226" s="1444"/>
      <c r="L226" s="1444"/>
      <c r="M226" s="1444">
        <f t="shared" si="14"/>
        <v>0</v>
      </c>
      <c r="N226" s="1444">
        <f t="shared" si="15"/>
        <v>0</v>
      </c>
    </row>
    <row r="227" spans="1:16" ht="15.5" outlineLevel="1">
      <c r="A227" s="1454">
        <v>24</v>
      </c>
      <c r="B227" s="1454" t="s">
        <v>1789</v>
      </c>
      <c r="C227" s="1442"/>
      <c r="D227" s="1443" t="s">
        <v>1911</v>
      </c>
      <c r="E227" s="1444">
        <v>0</v>
      </c>
      <c r="F227" s="1444">
        <v>5.1749999999999997E-2</v>
      </c>
      <c r="G227" s="1444">
        <v>0</v>
      </c>
      <c r="H227" s="1444">
        <f t="shared" si="13"/>
        <v>5.1749999999999997E-2</v>
      </c>
      <c r="I227" s="1444">
        <v>0</v>
      </c>
      <c r="J227" s="1444">
        <v>0</v>
      </c>
      <c r="K227" s="1444"/>
      <c r="L227" s="1444"/>
      <c r="M227" s="1444">
        <f t="shared" si="14"/>
        <v>0</v>
      </c>
      <c r="N227" s="1444">
        <f t="shared" si="15"/>
        <v>5.1749999999999997E-2</v>
      </c>
    </row>
    <row r="228" spans="1:16" ht="15.5" outlineLevel="1">
      <c r="A228" s="1455">
        <v>25</v>
      </c>
      <c r="B228" s="1455" t="s">
        <v>1791</v>
      </c>
      <c r="C228" s="1442"/>
      <c r="D228" s="1443" t="s">
        <v>1911</v>
      </c>
      <c r="E228" s="1444">
        <v>0</v>
      </c>
      <c r="F228" s="1444">
        <v>0</v>
      </c>
      <c r="G228" s="1444">
        <v>0</v>
      </c>
      <c r="H228" s="1444">
        <f t="shared" si="13"/>
        <v>0</v>
      </c>
      <c r="I228" s="1444">
        <v>0.13712089999999999</v>
      </c>
      <c r="J228" s="1444">
        <v>0.13712089999999999</v>
      </c>
      <c r="K228" s="1444"/>
      <c r="L228" s="1444"/>
      <c r="M228" s="1444">
        <f t="shared" si="14"/>
        <v>0.13712089999999999</v>
      </c>
      <c r="N228" s="1444">
        <f t="shared" si="15"/>
        <v>0</v>
      </c>
    </row>
    <row r="229" spans="1:16" ht="15.5" outlineLevel="1">
      <c r="A229" s="1455">
        <v>26</v>
      </c>
      <c r="B229" s="1455" t="s">
        <v>261</v>
      </c>
      <c r="C229" s="1442"/>
      <c r="D229" s="1443" t="s">
        <v>1911</v>
      </c>
      <c r="E229" s="1444">
        <v>0</v>
      </c>
      <c r="F229" s="1444">
        <v>0</v>
      </c>
      <c r="G229" s="1444">
        <v>0</v>
      </c>
      <c r="H229" s="1444">
        <f t="shared" si="13"/>
        <v>0</v>
      </c>
      <c r="I229" s="1444">
        <v>0.14423554</v>
      </c>
      <c r="J229" s="1444">
        <v>0.14423554</v>
      </c>
      <c r="K229" s="1444"/>
      <c r="L229" s="1444"/>
      <c r="M229" s="1444">
        <f t="shared" si="14"/>
        <v>0.14423554</v>
      </c>
      <c r="N229" s="1444">
        <f t="shared" si="15"/>
        <v>0</v>
      </c>
    </row>
    <row r="230" spans="1:16" ht="15.5" outlineLevel="1">
      <c r="A230" s="1455">
        <v>27</v>
      </c>
      <c r="B230" s="1455" t="s">
        <v>1791</v>
      </c>
      <c r="C230" s="1442"/>
      <c r="D230" s="1443" t="s">
        <v>1911</v>
      </c>
      <c r="E230" s="1444">
        <v>0</v>
      </c>
      <c r="F230" s="1444">
        <v>0</v>
      </c>
      <c r="G230" s="1444">
        <v>0</v>
      </c>
      <c r="H230" s="1444">
        <f t="shared" si="13"/>
        <v>0</v>
      </c>
      <c r="I230" s="1444">
        <v>0</v>
      </c>
      <c r="J230" s="1444">
        <v>0</v>
      </c>
      <c r="K230" s="1444"/>
      <c r="L230" s="1444"/>
      <c r="M230" s="1444">
        <f t="shared" si="14"/>
        <v>0</v>
      </c>
      <c r="N230" s="1444">
        <f t="shared" si="15"/>
        <v>0</v>
      </c>
    </row>
    <row r="231" spans="1:16" ht="15.5" outlineLevel="1">
      <c r="A231" s="1455">
        <v>28</v>
      </c>
      <c r="B231" s="1455" t="s">
        <v>261</v>
      </c>
      <c r="C231" s="1442"/>
      <c r="D231" s="1443" t="s">
        <v>1911</v>
      </c>
      <c r="E231" s="1444">
        <v>0</v>
      </c>
      <c r="F231" s="1444">
        <v>0</v>
      </c>
      <c r="G231" s="1444">
        <v>0</v>
      </c>
      <c r="H231" s="1444">
        <f t="shared" si="13"/>
        <v>0</v>
      </c>
      <c r="I231" s="1444">
        <v>0</v>
      </c>
      <c r="J231" s="1444">
        <v>0</v>
      </c>
      <c r="K231" s="1444"/>
      <c r="L231" s="1444"/>
      <c r="M231" s="1444">
        <f t="shared" si="14"/>
        <v>0</v>
      </c>
      <c r="N231" s="1444">
        <f t="shared" si="15"/>
        <v>0</v>
      </c>
    </row>
    <row r="232" spans="1:16" ht="31" outlineLevel="1">
      <c r="A232" s="1455">
        <v>29</v>
      </c>
      <c r="B232" s="1455" t="s">
        <v>1796</v>
      </c>
      <c r="C232" s="1442"/>
      <c r="D232" s="1443" t="s">
        <v>1911</v>
      </c>
      <c r="E232" s="1444">
        <v>0</v>
      </c>
      <c r="F232" s="1444">
        <v>0</v>
      </c>
      <c r="G232" s="1444">
        <v>0</v>
      </c>
      <c r="H232" s="1444">
        <f t="shared" si="13"/>
        <v>0</v>
      </c>
      <c r="I232" s="1444">
        <v>0</v>
      </c>
      <c r="J232" s="1444">
        <v>0</v>
      </c>
      <c r="K232" s="1444"/>
      <c r="L232" s="1444"/>
      <c r="M232" s="1444">
        <f t="shared" si="14"/>
        <v>0</v>
      </c>
      <c r="N232" s="1444">
        <f t="shared" si="15"/>
        <v>0</v>
      </c>
    </row>
    <row r="233" spans="1:16" ht="15.5" outlineLevel="1">
      <c r="A233" s="1455">
        <v>30</v>
      </c>
      <c r="B233" s="1455" t="s">
        <v>1799</v>
      </c>
      <c r="C233" s="1442"/>
      <c r="D233" s="1443" t="s">
        <v>1911</v>
      </c>
      <c r="E233" s="1444">
        <v>0</v>
      </c>
      <c r="F233" s="1444">
        <v>0</v>
      </c>
      <c r="G233" s="1444">
        <v>0</v>
      </c>
      <c r="H233" s="1444">
        <f t="shared" si="13"/>
        <v>0</v>
      </c>
      <c r="I233" s="1444">
        <v>0</v>
      </c>
      <c r="J233" s="1444">
        <v>0</v>
      </c>
      <c r="K233" s="1444"/>
      <c r="L233" s="1444"/>
      <c r="M233" s="1444">
        <f t="shared" si="14"/>
        <v>0</v>
      </c>
      <c r="N233" s="1444">
        <f t="shared" si="15"/>
        <v>0</v>
      </c>
    </row>
    <row r="234" spans="1:16" ht="15.5" outlineLevel="1">
      <c r="A234" s="1455">
        <v>31</v>
      </c>
      <c r="B234" s="1455" t="s">
        <v>1802</v>
      </c>
      <c r="C234" s="1442"/>
      <c r="D234" s="1443" t="s">
        <v>1911</v>
      </c>
      <c r="E234" s="1444">
        <v>0</v>
      </c>
      <c r="F234" s="1444">
        <v>0</v>
      </c>
      <c r="G234" s="1444">
        <v>0</v>
      </c>
      <c r="H234" s="1444">
        <f t="shared" si="13"/>
        <v>0</v>
      </c>
      <c r="I234" s="1444">
        <v>0</v>
      </c>
      <c r="J234" s="1444">
        <v>-0.138988</v>
      </c>
      <c r="K234" s="1444"/>
      <c r="L234" s="1444"/>
      <c r="M234" s="1444">
        <f t="shared" si="14"/>
        <v>-0.138988</v>
      </c>
      <c r="N234" s="1444">
        <f t="shared" si="15"/>
        <v>0.138988</v>
      </c>
    </row>
    <row r="235" spans="1:16" ht="15.5">
      <c r="A235" s="1460"/>
      <c r="B235" s="1461" t="s">
        <v>272</v>
      </c>
      <c r="C235" s="1462"/>
      <c r="D235" s="1463"/>
      <c r="E235" s="1464"/>
      <c r="F235" s="1465">
        <f>SUM(F10:F234)</f>
        <v>184.31903674465951</v>
      </c>
      <c r="G235" s="1465">
        <f t="shared" ref="G235:N235" si="16">SUM(G10:G234)</f>
        <v>184.08922415665953</v>
      </c>
      <c r="H235" s="1465">
        <f t="shared" si="16"/>
        <v>0.22981258800000173</v>
      </c>
      <c r="I235" s="1465">
        <f t="shared" si="16"/>
        <v>14.829008506000003</v>
      </c>
      <c r="J235" s="1465">
        <f t="shared" si="16"/>
        <v>13.919354170000002</v>
      </c>
      <c r="K235" s="1465">
        <f t="shared" si="16"/>
        <v>0</v>
      </c>
      <c r="L235" s="1465">
        <f t="shared" si="16"/>
        <v>0</v>
      </c>
      <c r="M235" s="1465">
        <f t="shared" si="16"/>
        <v>13.919354170000002</v>
      </c>
      <c r="N235" s="1465">
        <f t="shared" si="16"/>
        <v>1.1394669240000019</v>
      </c>
    </row>
    <row r="236" spans="1:16" ht="15.5">
      <c r="A236" s="1466"/>
      <c r="B236" s="1467"/>
      <c r="C236" s="1468"/>
      <c r="D236" s="1469"/>
      <c r="E236" s="1470"/>
      <c r="F236" s="1471"/>
      <c r="G236" s="1471"/>
      <c r="H236" s="1471"/>
      <c r="I236" s="1471"/>
      <c r="J236" s="1471"/>
      <c r="K236" s="1471"/>
      <c r="L236" s="1471"/>
      <c r="M236" s="1471"/>
      <c r="N236" s="1471"/>
    </row>
    <row r="237" spans="1:16">
      <c r="A237" s="1434"/>
      <c r="B237" s="574" t="s">
        <v>510</v>
      </c>
      <c r="C237" s="1435"/>
      <c r="D237" s="1436"/>
      <c r="E237" s="318"/>
      <c r="F237" s="318"/>
      <c r="G237" s="318"/>
      <c r="H237" s="318"/>
      <c r="I237" s="318"/>
      <c r="J237" s="318"/>
      <c r="K237" s="318"/>
      <c r="L237" s="318"/>
      <c r="M237" s="318"/>
      <c r="N237" s="318"/>
    </row>
    <row r="238" spans="1:16" outlineLevel="1">
      <c r="A238" s="131"/>
      <c r="B238" s="1288" t="str">
        <f t="shared" ref="B238:E253" si="17">B8</f>
        <v>a) DPR Schemes</v>
      </c>
      <c r="C238" s="1435"/>
      <c r="D238" s="1436"/>
      <c r="E238" s="318"/>
      <c r="F238" s="318"/>
      <c r="G238" s="318"/>
      <c r="H238" s="318"/>
      <c r="I238" s="318"/>
      <c r="J238" s="318"/>
      <c r="K238" s="318"/>
      <c r="L238" s="318"/>
      <c r="M238" s="318"/>
      <c r="N238" s="318"/>
    </row>
    <row r="239" spans="1:16" outlineLevel="1">
      <c r="A239" s="131"/>
      <c r="B239" s="1437" t="str">
        <f t="shared" si="17"/>
        <v>(i) Submitted to MERC</v>
      </c>
      <c r="C239" s="1438"/>
      <c r="D239" s="1439"/>
      <c r="E239" s="318"/>
      <c r="F239" s="318"/>
      <c r="G239" s="318"/>
      <c r="H239" s="318"/>
      <c r="I239" s="318"/>
      <c r="J239" s="318"/>
      <c r="K239" s="318"/>
      <c r="L239" s="318"/>
      <c r="M239" s="318"/>
      <c r="N239" s="318"/>
    </row>
    <row r="240" spans="1:16" ht="31" outlineLevel="1">
      <c r="A240" s="1440">
        <f t="shared" ref="A240:E255" si="18">A10</f>
        <v>7</v>
      </c>
      <c r="B240" s="1441" t="str">
        <f t="shared" si="17"/>
        <v>Interconnection of 210 MW CHP to 500 MW CHP through Conveyors BC-02 &amp; BC-03 having capacity of 500 TPH</v>
      </c>
      <c r="C240" s="1442" t="str">
        <f t="shared" si="17"/>
        <v>MERC/CAPEX/20162017/00227</v>
      </c>
      <c r="D240" s="1443">
        <f t="shared" si="17"/>
        <v>42514</v>
      </c>
      <c r="E240" s="1444">
        <f t="shared" si="17"/>
        <v>24</v>
      </c>
      <c r="F240" s="1444">
        <f t="shared" ref="F240:F303" si="19">F10+I10</f>
        <v>0</v>
      </c>
      <c r="G240" s="1444">
        <f t="shared" ref="G240:G303" si="20">G10+M10</f>
        <v>0</v>
      </c>
      <c r="H240" s="1444">
        <f t="shared" ref="H240:H303" si="21">F240-G240</f>
        <v>0</v>
      </c>
      <c r="I240" s="1444">
        <v>0</v>
      </c>
      <c r="J240" s="1444">
        <v>0</v>
      </c>
      <c r="K240" s="1444"/>
      <c r="L240" s="1444"/>
      <c r="M240" s="1444">
        <f t="shared" ref="M240" si="22">SUM(J240:L240)</f>
        <v>0</v>
      </c>
      <c r="N240" s="1444">
        <f t="shared" ref="N240:N303" si="23">H240+I240-M240</f>
        <v>0</v>
      </c>
      <c r="O240" s="1445">
        <f t="shared" ref="O240:O303" si="24">MAX(0,IF(M240=0,0,IF(G240+M240&lt;E240,M240,E240-G240)))</f>
        <v>0</v>
      </c>
      <c r="P240" s="1377">
        <f t="shared" ref="P240:P303" si="25">M240-O240</f>
        <v>0</v>
      </c>
    </row>
    <row r="241" spans="1:16" ht="31" outlineLevel="1">
      <c r="A241" s="1446">
        <f t="shared" si="18"/>
        <v>7.1</v>
      </c>
      <c r="B241" s="1447" t="str">
        <f t="shared" si="17"/>
        <v>Interconnection of 210 MW CHP to 500 MW CHP through Conveyors BC-02 &amp; BC-03 having capacity of 500 TPH</v>
      </c>
      <c r="C241" s="1472" t="str">
        <f t="shared" si="17"/>
        <v>MERC/CAPEX/20162017/00227</v>
      </c>
      <c r="D241" s="1473">
        <f t="shared" si="17"/>
        <v>42514</v>
      </c>
      <c r="E241" s="1474">
        <f t="shared" si="17"/>
        <v>22.73</v>
      </c>
      <c r="F241" s="1444">
        <f t="shared" si="19"/>
        <v>19.106691754</v>
      </c>
      <c r="G241" s="1444">
        <f t="shared" si="20"/>
        <v>19.106691754</v>
      </c>
      <c r="H241" s="1474">
        <f t="shared" si="21"/>
        <v>0</v>
      </c>
      <c r="I241" s="1444">
        <v>0</v>
      </c>
      <c r="J241" s="1444">
        <v>0</v>
      </c>
      <c r="K241" s="1474"/>
      <c r="L241" s="1474"/>
      <c r="M241" s="1474">
        <f t="shared" ref="M241:M304" si="26">SUM(J241:L241)</f>
        <v>0</v>
      </c>
      <c r="N241" s="1474">
        <f t="shared" si="23"/>
        <v>0</v>
      </c>
      <c r="O241" s="1445">
        <f t="shared" si="24"/>
        <v>0</v>
      </c>
      <c r="P241" s="1377">
        <f t="shared" si="25"/>
        <v>0</v>
      </c>
    </row>
    <row r="242" spans="1:16" ht="15.5" outlineLevel="1">
      <c r="A242" s="1446">
        <f t="shared" si="18"/>
        <v>0</v>
      </c>
      <c r="B242" s="1447" t="str">
        <f t="shared" si="17"/>
        <v>IDC</v>
      </c>
      <c r="C242" s="1472" t="str">
        <f t="shared" si="17"/>
        <v>MERC/CAPEX/20162017/00227</v>
      </c>
      <c r="D242" s="1473">
        <f t="shared" si="17"/>
        <v>42514</v>
      </c>
      <c r="E242" s="1474">
        <f t="shared" si="17"/>
        <v>1.27</v>
      </c>
      <c r="F242" s="1444">
        <f t="shared" si="19"/>
        <v>0</v>
      </c>
      <c r="G242" s="1444">
        <f t="shared" si="20"/>
        <v>0</v>
      </c>
      <c r="H242" s="1474">
        <f t="shared" si="21"/>
        <v>0</v>
      </c>
      <c r="I242" s="1444">
        <v>0</v>
      </c>
      <c r="J242" s="1444">
        <v>0</v>
      </c>
      <c r="K242" s="1474"/>
      <c r="L242" s="1474"/>
      <c r="M242" s="1474">
        <f t="shared" si="26"/>
        <v>0</v>
      </c>
      <c r="N242" s="1474">
        <f t="shared" si="23"/>
        <v>0</v>
      </c>
      <c r="O242" s="1445">
        <f t="shared" si="24"/>
        <v>0</v>
      </c>
      <c r="P242" s="1377">
        <f t="shared" si="25"/>
        <v>0</v>
      </c>
    </row>
    <row r="243" spans="1:16" ht="31" outlineLevel="1">
      <c r="A243" s="1440">
        <f t="shared" si="18"/>
        <v>8</v>
      </c>
      <c r="B243" s="1441" t="str">
        <f t="shared" si="17"/>
        <v>Stack management by procurement of Bulldozer &amp; LOCO and CHP area schemes for performance &amp; unloading improvement</v>
      </c>
      <c r="C243" s="1442" t="str">
        <f t="shared" si="17"/>
        <v>MERC/CAPEX/20162017/01426</v>
      </c>
      <c r="D243" s="1443">
        <f t="shared" si="17"/>
        <v>42768</v>
      </c>
      <c r="E243" s="1444">
        <f t="shared" si="17"/>
        <v>9.9669421487603316</v>
      </c>
      <c r="F243" s="1444">
        <f t="shared" si="19"/>
        <v>0</v>
      </c>
      <c r="G243" s="1444">
        <f t="shared" si="20"/>
        <v>0</v>
      </c>
      <c r="H243" s="1444">
        <f t="shared" si="21"/>
        <v>0</v>
      </c>
      <c r="I243" s="1444">
        <v>0</v>
      </c>
      <c r="J243" s="1444">
        <v>0</v>
      </c>
      <c r="K243" s="1444"/>
      <c r="L243" s="1444"/>
      <c r="M243" s="1444">
        <f t="shared" si="26"/>
        <v>0</v>
      </c>
      <c r="N243" s="1444">
        <f t="shared" si="23"/>
        <v>0</v>
      </c>
      <c r="O243" s="1445">
        <f t="shared" si="24"/>
        <v>0</v>
      </c>
      <c r="P243" s="1377">
        <f t="shared" si="25"/>
        <v>0</v>
      </c>
    </row>
    <row r="244" spans="1:16" ht="15.5" outlineLevel="1">
      <c r="A244" s="1446">
        <f t="shared" si="18"/>
        <v>8.1</v>
      </c>
      <c r="B244" s="1447" t="str">
        <f t="shared" si="17"/>
        <v>Procurement of Locomotive 800 HP (2 No.’s)</v>
      </c>
      <c r="C244" s="1472" t="str">
        <f t="shared" si="17"/>
        <v>MERC/CAPEX/20162017/01426</v>
      </c>
      <c r="D244" s="1473">
        <f t="shared" si="17"/>
        <v>42768</v>
      </c>
      <c r="E244" s="1474">
        <f t="shared" si="17"/>
        <v>4.9504132231404956</v>
      </c>
      <c r="F244" s="1444">
        <f t="shared" si="19"/>
        <v>4.8260800000000001</v>
      </c>
      <c r="G244" s="1444">
        <f t="shared" si="20"/>
        <v>4.8260800000000001</v>
      </c>
      <c r="H244" s="1474">
        <f t="shared" si="21"/>
        <v>0</v>
      </c>
      <c r="I244" s="1444">
        <v>0</v>
      </c>
      <c r="J244" s="1444">
        <v>0</v>
      </c>
      <c r="K244" s="1474"/>
      <c r="L244" s="1474"/>
      <c r="M244" s="1474">
        <f t="shared" si="26"/>
        <v>0</v>
      </c>
      <c r="N244" s="1474">
        <f t="shared" si="23"/>
        <v>0</v>
      </c>
      <c r="O244" s="1445">
        <f t="shared" si="24"/>
        <v>0</v>
      </c>
      <c r="P244" s="1377">
        <f t="shared" si="25"/>
        <v>0</v>
      </c>
    </row>
    <row r="245" spans="1:16" ht="15.5" outlineLevel="1">
      <c r="A245" s="1446">
        <f t="shared" si="18"/>
        <v>8.1999999999999993</v>
      </c>
      <c r="B245" s="1447" t="str">
        <f t="shared" si="17"/>
        <v>Procurement of 2 No’s of Bulldozer Model D-155(2 No.’s)</v>
      </c>
      <c r="C245" s="1472" t="str">
        <f t="shared" si="17"/>
        <v>MERC/CAPEX/20162017/01426</v>
      </c>
      <c r="D245" s="1473">
        <f t="shared" si="17"/>
        <v>42768</v>
      </c>
      <c r="E245" s="1474">
        <f t="shared" si="17"/>
        <v>2.5619834710743801</v>
      </c>
      <c r="F245" s="1444">
        <f t="shared" si="19"/>
        <v>3.4747105785123966</v>
      </c>
      <c r="G245" s="1444">
        <f t="shared" si="20"/>
        <v>3.4747105785123966</v>
      </c>
      <c r="H245" s="1474">
        <f t="shared" si="21"/>
        <v>0</v>
      </c>
      <c r="I245" s="1444">
        <v>0</v>
      </c>
      <c r="J245" s="1444">
        <v>0</v>
      </c>
      <c r="K245" s="1474"/>
      <c r="L245" s="1474"/>
      <c r="M245" s="1474">
        <f t="shared" si="26"/>
        <v>0</v>
      </c>
      <c r="N245" s="1474">
        <f t="shared" si="23"/>
        <v>0</v>
      </c>
      <c r="O245" s="1445">
        <f t="shared" si="24"/>
        <v>0</v>
      </c>
      <c r="P245" s="1377">
        <f t="shared" si="25"/>
        <v>0</v>
      </c>
    </row>
    <row r="246" spans="1:16" ht="15.5" outlineLevel="1">
      <c r="A246" s="1446">
        <f t="shared" si="18"/>
        <v>8.3000000000000007</v>
      </c>
      <c r="B246" s="1447" t="str">
        <f t="shared" si="17"/>
        <v>Modification below primary crusher chutes 15A/B &amp; Conv.02</v>
      </c>
      <c r="C246" s="1472" t="str">
        <f t="shared" si="17"/>
        <v>MERC/CAPEX/20162017/01426</v>
      </c>
      <c r="D246" s="1473">
        <f t="shared" si="17"/>
        <v>42768</v>
      </c>
      <c r="E246" s="1474">
        <f t="shared" si="17"/>
        <v>0.42975206611570249</v>
      </c>
      <c r="F246" s="1444">
        <f t="shared" si="19"/>
        <v>0.38033057851239671</v>
      </c>
      <c r="G246" s="1444">
        <f t="shared" si="20"/>
        <v>0.38033057851239671</v>
      </c>
      <c r="H246" s="1474">
        <f t="shared" si="21"/>
        <v>0</v>
      </c>
      <c r="I246" s="1444">
        <v>0</v>
      </c>
      <c r="J246" s="1444">
        <v>0</v>
      </c>
      <c r="K246" s="1474"/>
      <c r="L246" s="1474"/>
      <c r="M246" s="1474">
        <f t="shared" si="26"/>
        <v>0</v>
      </c>
      <c r="N246" s="1474">
        <f t="shared" si="23"/>
        <v>0</v>
      </c>
      <c r="O246" s="1445">
        <f t="shared" si="24"/>
        <v>0</v>
      </c>
      <c r="P246" s="1377">
        <f t="shared" si="25"/>
        <v>0</v>
      </c>
    </row>
    <row r="247" spans="1:16" ht="15.5" outlineLevel="1">
      <c r="A247" s="1446">
        <f t="shared" si="18"/>
        <v>8.4</v>
      </c>
      <c r="B247" s="1447" t="str">
        <f t="shared" si="17"/>
        <v>New helical gear box for various conveyors</v>
      </c>
      <c r="C247" s="1472" t="str">
        <f t="shared" si="17"/>
        <v>MERC/CAPEX/20162017/01426</v>
      </c>
      <c r="D247" s="1473">
        <f t="shared" si="17"/>
        <v>42768</v>
      </c>
      <c r="E247" s="1474">
        <f t="shared" si="17"/>
        <v>0.79338842975206614</v>
      </c>
      <c r="F247" s="1444">
        <f t="shared" si="19"/>
        <v>0</v>
      </c>
      <c r="G247" s="1444">
        <f t="shared" si="20"/>
        <v>0</v>
      </c>
      <c r="H247" s="1474">
        <f t="shared" si="21"/>
        <v>0</v>
      </c>
      <c r="I247" s="1444">
        <v>0</v>
      </c>
      <c r="J247" s="1444">
        <v>0</v>
      </c>
      <c r="K247" s="1474"/>
      <c r="L247" s="1474"/>
      <c r="M247" s="1474">
        <f t="shared" si="26"/>
        <v>0</v>
      </c>
      <c r="N247" s="1474">
        <f t="shared" si="23"/>
        <v>0</v>
      </c>
      <c r="O247" s="1445">
        <f t="shared" si="24"/>
        <v>0</v>
      </c>
      <c r="P247" s="1377">
        <f t="shared" si="25"/>
        <v>0</v>
      </c>
    </row>
    <row r="248" spans="1:16" ht="15.5" outlineLevel="1">
      <c r="A248" s="1446">
        <f t="shared" si="18"/>
        <v>8.5</v>
      </c>
      <c r="B248" s="1447" t="str">
        <f t="shared" si="17"/>
        <v xml:space="preserve">Procurement of Elecon Make Ring Granulator Type TK-09-38B </v>
      </c>
      <c r="C248" s="1472" t="str">
        <f t="shared" si="17"/>
        <v>MERC/CAPEX/20162017/01426</v>
      </c>
      <c r="D248" s="1473">
        <f t="shared" si="17"/>
        <v>42768</v>
      </c>
      <c r="E248" s="1474">
        <f t="shared" si="17"/>
        <v>0.53719008264462809</v>
      </c>
      <c r="F248" s="1444">
        <f t="shared" si="19"/>
        <v>0</v>
      </c>
      <c r="G248" s="1444">
        <f t="shared" si="20"/>
        <v>0</v>
      </c>
      <c r="H248" s="1474">
        <f t="shared" si="21"/>
        <v>0</v>
      </c>
      <c r="I248" s="1444">
        <v>0</v>
      </c>
      <c r="J248" s="1444">
        <v>0</v>
      </c>
      <c r="K248" s="1474"/>
      <c r="L248" s="1474"/>
      <c r="M248" s="1474">
        <f t="shared" si="26"/>
        <v>0</v>
      </c>
      <c r="N248" s="1474">
        <f t="shared" si="23"/>
        <v>0</v>
      </c>
      <c r="O248" s="1445">
        <f t="shared" si="24"/>
        <v>0</v>
      </c>
      <c r="P248" s="1377">
        <f t="shared" si="25"/>
        <v>0</v>
      </c>
    </row>
    <row r="249" spans="1:16" ht="15.5" outlineLevel="1">
      <c r="A249" s="1446">
        <f t="shared" si="18"/>
        <v>8.6</v>
      </c>
      <c r="B249" s="1447" t="str">
        <f t="shared" si="17"/>
        <v>Procurement of Elecon Make Ring Granulator Type TK6 32B Ring Granulator</v>
      </c>
      <c r="C249" s="1472" t="str">
        <f t="shared" si="17"/>
        <v>MERC/CAPEX/20162017/01426</v>
      </c>
      <c r="D249" s="1473">
        <f t="shared" si="17"/>
        <v>42768</v>
      </c>
      <c r="E249" s="1474">
        <f t="shared" si="17"/>
        <v>0.33884297520661155</v>
      </c>
      <c r="F249" s="1444">
        <f t="shared" si="19"/>
        <v>0</v>
      </c>
      <c r="G249" s="1444">
        <f t="shared" si="20"/>
        <v>0</v>
      </c>
      <c r="H249" s="1474">
        <f t="shared" si="21"/>
        <v>0</v>
      </c>
      <c r="I249" s="1444">
        <v>0</v>
      </c>
      <c r="J249" s="1444">
        <v>0</v>
      </c>
      <c r="K249" s="1474"/>
      <c r="L249" s="1474"/>
      <c r="M249" s="1474">
        <f t="shared" si="26"/>
        <v>0</v>
      </c>
      <c r="N249" s="1474">
        <f t="shared" si="23"/>
        <v>0</v>
      </c>
      <c r="O249" s="1445">
        <f t="shared" si="24"/>
        <v>0</v>
      </c>
      <c r="P249" s="1377">
        <f t="shared" si="25"/>
        <v>0</v>
      </c>
    </row>
    <row r="250" spans="1:16" ht="15.5" outlineLevel="1">
      <c r="A250" s="1446">
        <f t="shared" si="18"/>
        <v>0</v>
      </c>
      <c r="B250" s="1447" t="str">
        <f t="shared" si="17"/>
        <v>IDC</v>
      </c>
      <c r="C250" s="1472" t="str">
        <f t="shared" si="17"/>
        <v>MERC/CAPEX/20162017/01426</v>
      </c>
      <c r="D250" s="1473">
        <f t="shared" si="17"/>
        <v>42768</v>
      </c>
      <c r="E250" s="1474">
        <f t="shared" si="17"/>
        <v>0.35537190082644626</v>
      </c>
      <c r="F250" s="1444">
        <f t="shared" si="19"/>
        <v>0</v>
      </c>
      <c r="G250" s="1444">
        <f t="shared" si="20"/>
        <v>0</v>
      </c>
      <c r="H250" s="1474">
        <f t="shared" si="21"/>
        <v>0</v>
      </c>
      <c r="I250" s="1444">
        <v>0</v>
      </c>
      <c r="J250" s="1444">
        <v>0</v>
      </c>
      <c r="K250" s="1474"/>
      <c r="L250" s="1474"/>
      <c r="M250" s="1474">
        <f t="shared" si="26"/>
        <v>0</v>
      </c>
      <c r="N250" s="1474">
        <f t="shared" si="23"/>
        <v>0</v>
      </c>
      <c r="O250" s="1445">
        <f t="shared" si="24"/>
        <v>0</v>
      </c>
      <c r="P250" s="1377">
        <f t="shared" si="25"/>
        <v>0</v>
      </c>
    </row>
    <row r="251" spans="1:16" ht="15.5" outlineLevel="1">
      <c r="A251" s="1440">
        <f t="shared" si="18"/>
        <v>9</v>
      </c>
      <c r="B251" s="1441" t="str">
        <f t="shared" si="17"/>
        <v>Construction of 1st raising of Ash bund from T.B.L. 258M to 264M at Bhusawal TPS</v>
      </c>
      <c r="C251" s="1442" t="str">
        <f t="shared" si="17"/>
        <v>MERC/CAPEX/20172018/4267</v>
      </c>
      <c r="D251" s="1443">
        <f t="shared" si="17"/>
        <v>43006</v>
      </c>
      <c r="E251" s="1444">
        <f t="shared" si="17"/>
        <v>64.22</v>
      </c>
      <c r="F251" s="1444">
        <f t="shared" si="19"/>
        <v>0</v>
      </c>
      <c r="G251" s="1444">
        <f t="shared" si="20"/>
        <v>0</v>
      </c>
      <c r="H251" s="1444">
        <f t="shared" si="21"/>
        <v>0</v>
      </c>
      <c r="I251" s="1444">
        <v>0</v>
      </c>
      <c r="J251" s="1444">
        <v>0</v>
      </c>
      <c r="K251" s="1444"/>
      <c r="L251" s="1444"/>
      <c r="M251" s="1444">
        <f t="shared" si="26"/>
        <v>0</v>
      </c>
      <c r="N251" s="1444">
        <f t="shared" si="23"/>
        <v>0</v>
      </c>
      <c r="O251" s="1445">
        <f t="shared" si="24"/>
        <v>0</v>
      </c>
      <c r="P251" s="1377">
        <f t="shared" si="25"/>
        <v>0</v>
      </c>
    </row>
    <row r="252" spans="1:16" ht="31" outlineLevel="1">
      <c r="A252" s="1446">
        <f t="shared" si="18"/>
        <v>9.1</v>
      </c>
      <c r="B252" s="1447" t="str">
        <f t="shared" si="17"/>
        <v>Construction of 1st raising of Ash bund from T.B.L. 258M to 264M at Bhusawal TPS</v>
      </c>
      <c r="C252" s="1472" t="str">
        <f t="shared" si="17"/>
        <v>MERC/CAPEX/20172018/4267</v>
      </c>
      <c r="D252" s="1473">
        <f t="shared" si="17"/>
        <v>43006</v>
      </c>
      <c r="E252" s="1474">
        <f t="shared" si="17"/>
        <v>64.22</v>
      </c>
      <c r="F252" s="1444">
        <f t="shared" si="19"/>
        <v>64.498238246301369</v>
      </c>
      <c r="G252" s="1444">
        <f t="shared" si="20"/>
        <v>64.498238246301369</v>
      </c>
      <c r="H252" s="1474">
        <f t="shared" si="21"/>
        <v>0</v>
      </c>
      <c r="I252" s="1444">
        <v>0</v>
      </c>
      <c r="J252" s="1444">
        <v>0</v>
      </c>
      <c r="K252" s="1474"/>
      <c r="L252" s="1474"/>
      <c r="M252" s="1474">
        <f t="shared" si="26"/>
        <v>0</v>
      </c>
      <c r="N252" s="1474">
        <f t="shared" si="23"/>
        <v>0</v>
      </c>
      <c r="O252" s="1445">
        <f t="shared" si="24"/>
        <v>0</v>
      </c>
      <c r="P252" s="1377">
        <f t="shared" si="25"/>
        <v>0</v>
      </c>
    </row>
    <row r="253" spans="1:16" ht="31" outlineLevel="1">
      <c r="A253" s="1440">
        <f t="shared" si="18"/>
        <v>10</v>
      </c>
      <c r="B253" s="1441" t="str">
        <f t="shared" si="17"/>
        <v>Augmentation of Ash Evacuation System &amp; Procurement of BCW Pump Motors at Bhusawal &amp; Khaperkheda TPS 500 MW Units</v>
      </c>
      <c r="C253" s="1442" t="str">
        <f t="shared" si="17"/>
        <v>MERC/CAPEX/20172018/4782</v>
      </c>
      <c r="D253" s="1443">
        <f t="shared" si="17"/>
        <v>43067</v>
      </c>
      <c r="E253" s="1444">
        <f t="shared" si="17"/>
        <v>17.439999999999998</v>
      </c>
      <c r="F253" s="1444">
        <f t="shared" si="19"/>
        <v>0</v>
      </c>
      <c r="G253" s="1444">
        <f t="shared" si="20"/>
        <v>0</v>
      </c>
      <c r="H253" s="1444">
        <f t="shared" si="21"/>
        <v>0</v>
      </c>
      <c r="I253" s="1444">
        <v>0</v>
      </c>
      <c r="J253" s="1444">
        <v>0</v>
      </c>
      <c r="K253" s="1444"/>
      <c r="L253" s="1444"/>
      <c r="M253" s="1444">
        <f t="shared" si="26"/>
        <v>0</v>
      </c>
      <c r="N253" s="1444">
        <f t="shared" si="23"/>
        <v>0</v>
      </c>
      <c r="O253" s="1445">
        <f t="shared" si="24"/>
        <v>0</v>
      </c>
      <c r="P253" s="1377">
        <f t="shared" si="25"/>
        <v>0</v>
      </c>
    </row>
    <row r="254" spans="1:16" ht="15.5" outlineLevel="1">
      <c r="A254" s="1446">
        <f t="shared" si="18"/>
        <v>10.1</v>
      </c>
      <c r="B254" s="1447" t="str">
        <f t="shared" si="18"/>
        <v>Installation of standby Buffer Hopper parallel to existing pair of buffer hoppers</v>
      </c>
      <c r="C254" s="1472" t="str">
        <f t="shared" si="18"/>
        <v>MERC/CAPEX/20172018/4782</v>
      </c>
      <c r="D254" s="1473">
        <f t="shared" si="18"/>
        <v>43067</v>
      </c>
      <c r="E254" s="1474">
        <f t="shared" si="18"/>
        <v>11.5</v>
      </c>
      <c r="F254" s="1444">
        <f t="shared" si="19"/>
        <v>0</v>
      </c>
      <c r="G254" s="1444">
        <f t="shared" si="20"/>
        <v>0</v>
      </c>
      <c r="H254" s="1474">
        <f t="shared" si="21"/>
        <v>0</v>
      </c>
      <c r="I254" s="1444">
        <v>0</v>
      </c>
      <c r="J254" s="1444">
        <v>0</v>
      </c>
      <c r="K254" s="1474"/>
      <c r="L254" s="1474"/>
      <c r="M254" s="1474">
        <f t="shared" si="26"/>
        <v>0</v>
      </c>
      <c r="N254" s="1474">
        <f t="shared" si="23"/>
        <v>0</v>
      </c>
      <c r="O254" s="1445">
        <f t="shared" si="24"/>
        <v>0</v>
      </c>
      <c r="P254" s="1377">
        <f t="shared" si="25"/>
        <v>0</v>
      </c>
    </row>
    <row r="255" spans="1:16" ht="31" outlineLevel="1">
      <c r="A255" s="1446">
        <f t="shared" si="18"/>
        <v>10.199999999999999</v>
      </c>
      <c r="B255" s="1447" t="str">
        <f t="shared" si="18"/>
        <v>Installation of additional vacuum pump for every two passes, near to intermediate hopper.</v>
      </c>
      <c r="C255" s="1472" t="str">
        <f t="shared" si="18"/>
        <v>MERC/CAPEX/20172018/4782</v>
      </c>
      <c r="D255" s="1473">
        <f t="shared" si="18"/>
        <v>43067</v>
      </c>
      <c r="E255" s="1474">
        <f t="shared" si="18"/>
        <v>0.6</v>
      </c>
      <c r="F255" s="1444">
        <f t="shared" si="19"/>
        <v>0</v>
      </c>
      <c r="G255" s="1444">
        <f t="shared" si="20"/>
        <v>0</v>
      </c>
      <c r="H255" s="1474">
        <f t="shared" si="21"/>
        <v>0</v>
      </c>
      <c r="I255" s="1444">
        <v>0</v>
      </c>
      <c r="J255" s="1444">
        <v>0</v>
      </c>
      <c r="K255" s="1474"/>
      <c r="L255" s="1474"/>
      <c r="M255" s="1474">
        <f t="shared" si="26"/>
        <v>0</v>
      </c>
      <c r="N255" s="1474">
        <f t="shared" si="23"/>
        <v>0</v>
      </c>
      <c r="O255" s="1445">
        <f t="shared" si="24"/>
        <v>0</v>
      </c>
      <c r="P255" s="1377">
        <f t="shared" si="25"/>
        <v>0</v>
      </c>
    </row>
    <row r="256" spans="1:16" ht="62" outlineLevel="1">
      <c r="A256" s="1446">
        <f t="shared" ref="A256:E271" si="27">A26</f>
        <v>10.3</v>
      </c>
      <c r="B256" s="1447" t="str">
        <f t="shared" si="27"/>
        <v>Procurement of 02 Nos of M/s Torishima, Japan make, 350 KW, 6.6KV, Boiler Circulating Water (BCW) Pump Motors (without pump casing) with 02 lots of recommended Electrical &amp; C&amp;I spares for Bhusawal and Khaparkheda TPS 500MW.</v>
      </c>
      <c r="C256" s="1472" t="str">
        <f t="shared" si="27"/>
        <v>MERC/CAPEX/20172018/4782</v>
      </c>
      <c r="D256" s="1473">
        <f t="shared" si="27"/>
        <v>43067</v>
      </c>
      <c r="E256" s="1474">
        <f t="shared" si="27"/>
        <v>4.24</v>
      </c>
      <c r="F256" s="1444">
        <f t="shared" si="19"/>
        <v>4.6696428000000001</v>
      </c>
      <c r="G256" s="1444">
        <f t="shared" si="20"/>
        <v>4.6696428000000001</v>
      </c>
      <c r="H256" s="1474">
        <f t="shared" si="21"/>
        <v>0</v>
      </c>
      <c r="I256" s="1444">
        <v>0</v>
      </c>
      <c r="J256" s="1444">
        <v>0</v>
      </c>
      <c r="K256" s="1474"/>
      <c r="L256" s="1474"/>
      <c r="M256" s="1474">
        <f t="shared" si="26"/>
        <v>0</v>
      </c>
      <c r="N256" s="1474">
        <f t="shared" si="23"/>
        <v>0</v>
      </c>
      <c r="O256" s="1445">
        <f t="shared" si="24"/>
        <v>0</v>
      </c>
      <c r="P256" s="1377">
        <f t="shared" si="25"/>
        <v>0</v>
      </c>
    </row>
    <row r="257" spans="1:16" ht="31" outlineLevel="1">
      <c r="A257" s="1446">
        <f t="shared" si="27"/>
        <v>10.4</v>
      </c>
      <c r="B257" s="1447" t="str">
        <f t="shared" si="27"/>
        <v>Procurement of complete ACVF drive module comprising of 2 Nos. of Supply and 3 Nos. of  Inverter modules for GEHO pumps</v>
      </c>
      <c r="C257" s="1472" t="str">
        <f t="shared" si="27"/>
        <v>MERC/CAPEX/20172018/4782</v>
      </c>
      <c r="D257" s="1473">
        <f t="shared" si="27"/>
        <v>43067</v>
      </c>
      <c r="E257" s="1474">
        <f t="shared" si="27"/>
        <v>0.95</v>
      </c>
      <c r="F257" s="1444">
        <f t="shared" si="19"/>
        <v>0.92864275500000004</v>
      </c>
      <c r="G257" s="1444">
        <f t="shared" si="20"/>
        <v>0.92864275500000004</v>
      </c>
      <c r="H257" s="1474">
        <f t="shared" si="21"/>
        <v>0</v>
      </c>
      <c r="I257" s="1444">
        <v>0</v>
      </c>
      <c r="J257" s="1444">
        <v>0</v>
      </c>
      <c r="K257" s="1474"/>
      <c r="L257" s="1474"/>
      <c r="M257" s="1474">
        <f t="shared" si="26"/>
        <v>0</v>
      </c>
      <c r="N257" s="1474">
        <f t="shared" si="23"/>
        <v>0</v>
      </c>
      <c r="O257" s="1445">
        <f t="shared" si="24"/>
        <v>0</v>
      </c>
      <c r="P257" s="1377">
        <f t="shared" si="25"/>
        <v>0</v>
      </c>
    </row>
    <row r="258" spans="1:16" ht="31" outlineLevel="1">
      <c r="A258" s="1446">
        <f t="shared" si="27"/>
        <v>10.5</v>
      </c>
      <c r="B258" s="1447" t="str">
        <f t="shared" si="27"/>
        <v>Supply, erection and commissioning of 24VDC, 100A Float &amp; Float cum Boost Battery Charger with 325Ah Battery Bank for CWPH at BTPS 2x500 MW.</v>
      </c>
      <c r="C258" s="1472" t="str">
        <f t="shared" si="27"/>
        <v>MERC/CAPEX/20172018/4782</v>
      </c>
      <c r="D258" s="1473">
        <f t="shared" si="27"/>
        <v>43067</v>
      </c>
      <c r="E258" s="1474">
        <f t="shared" si="27"/>
        <v>0.15</v>
      </c>
      <c r="F258" s="1444">
        <f t="shared" si="19"/>
        <v>0.157884</v>
      </c>
      <c r="G258" s="1444">
        <f t="shared" si="20"/>
        <v>0.157884</v>
      </c>
      <c r="H258" s="1474">
        <f t="shared" si="21"/>
        <v>0</v>
      </c>
      <c r="I258" s="1444">
        <v>0</v>
      </c>
      <c r="J258" s="1444">
        <v>0</v>
      </c>
      <c r="K258" s="1474"/>
      <c r="L258" s="1474"/>
      <c r="M258" s="1474">
        <f t="shared" si="26"/>
        <v>0</v>
      </c>
      <c r="N258" s="1474">
        <f t="shared" si="23"/>
        <v>0</v>
      </c>
      <c r="O258" s="1445">
        <f t="shared" si="24"/>
        <v>0</v>
      </c>
      <c r="P258" s="1377">
        <f t="shared" si="25"/>
        <v>0</v>
      </c>
    </row>
    <row r="259" spans="1:16" ht="15.5" outlineLevel="1">
      <c r="A259" s="1446">
        <f t="shared" si="27"/>
        <v>0</v>
      </c>
      <c r="B259" s="1447" t="str">
        <f t="shared" si="27"/>
        <v xml:space="preserve">IDC </v>
      </c>
      <c r="C259" s="1472" t="str">
        <f t="shared" si="27"/>
        <v>MERC/CAPEX/20172018/4782</v>
      </c>
      <c r="D259" s="1473">
        <f t="shared" si="27"/>
        <v>43067</v>
      </c>
      <c r="E259" s="1474">
        <f t="shared" si="27"/>
        <v>0</v>
      </c>
      <c r="F259" s="1444">
        <f t="shared" si="19"/>
        <v>0</v>
      </c>
      <c r="G259" s="1444">
        <f t="shared" si="20"/>
        <v>0</v>
      </c>
      <c r="H259" s="1474">
        <f t="shared" si="21"/>
        <v>0</v>
      </c>
      <c r="I259" s="1444">
        <v>0</v>
      </c>
      <c r="J259" s="1444">
        <v>0</v>
      </c>
      <c r="K259" s="1474"/>
      <c r="L259" s="1474"/>
      <c r="M259" s="1474">
        <f t="shared" si="26"/>
        <v>0</v>
      </c>
      <c r="N259" s="1474">
        <f t="shared" si="23"/>
        <v>0</v>
      </c>
      <c r="O259" s="1445">
        <f t="shared" si="24"/>
        <v>0</v>
      </c>
      <c r="P259" s="1377">
        <f t="shared" si="25"/>
        <v>0</v>
      </c>
    </row>
    <row r="260" spans="1:16" ht="15.5" outlineLevel="1">
      <c r="A260" s="1440">
        <f t="shared" si="27"/>
        <v>11</v>
      </c>
      <c r="B260" s="1441" t="str">
        <f t="shared" si="27"/>
        <v>Various schemes for renovation of colony at Bhusawal TPS</v>
      </c>
      <c r="C260" s="1442" t="str">
        <f t="shared" si="27"/>
        <v>MERC/CAPEX/20172018/0221</v>
      </c>
      <c r="D260" s="1443">
        <f t="shared" si="27"/>
        <v>43143</v>
      </c>
      <c r="E260" s="1444">
        <f t="shared" si="27"/>
        <v>19.334125999999998</v>
      </c>
      <c r="F260" s="1444">
        <f t="shared" si="19"/>
        <v>0</v>
      </c>
      <c r="G260" s="1444">
        <f t="shared" si="20"/>
        <v>0</v>
      </c>
      <c r="H260" s="1444">
        <f t="shared" si="21"/>
        <v>0</v>
      </c>
      <c r="I260" s="1444">
        <v>0</v>
      </c>
      <c r="J260" s="1444">
        <v>0</v>
      </c>
      <c r="K260" s="1444"/>
      <c r="L260" s="1444"/>
      <c r="M260" s="1444">
        <f t="shared" si="26"/>
        <v>0</v>
      </c>
      <c r="N260" s="1444">
        <f t="shared" si="23"/>
        <v>0</v>
      </c>
      <c r="O260" s="1445">
        <f t="shared" si="24"/>
        <v>0</v>
      </c>
      <c r="P260" s="1377">
        <f t="shared" si="25"/>
        <v>0</v>
      </c>
    </row>
    <row r="261" spans="1:16" ht="15.5" outlineLevel="1">
      <c r="A261" s="1446">
        <f t="shared" si="27"/>
        <v>11.1</v>
      </c>
      <c r="B261" s="1447" t="str">
        <f t="shared" si="27"/>
        <v>Renovation of staff quarters &amp; related work at BTPS Deepnagar</v>
      </c>
      <c r="C261" s="1472" t="str">
        <f t="shared" si="27"/>
        <v>MERC/CAPEX/20172018/0221</v>
      </c>
      <c r="D261" s="1473">
        <f t="shared" si="27"/>
        <v>43143</v>
      </c>
      <c r="E261" s="1474">
        <f t="shared" si="27"/>
        <v>7.0209999999999999</v>
      </c>
      <c r="F261" s="1444">
        <f t="shared" si="19"/>
        <v>5.45837182</v>
      </c>
      <c r="G261" s="1444">
        <f t="shared" si="20"/>
        <v>5.45837182</v>
      </c>
      <c r="H261" s="1474">
        <f t="shared" si="21"/>
        <v>0</v>
      </c>
      <c r="I261" s="1444">
        <v>0</v>
      </c>
      <c r="J261" s="1444">
        <v>0</v>
      </c>
      <c r="K261" s="1474"/>
      <c r="L261" s="1474"/>
      <c r="M261" s="1474">
        <f t="shared" si="26"/>
        <v>0</v>
      </c>
      <c r="N261" s="1474">
        <f t="shared" si="23"/>
        <v>0</v>
      </c>
      <c r="O261" s="1445">
        <f t="shared" si="24"/>
        <v>0</v>
      </c>
      <c r="P261" s="1377">
        <f t="shared" si="25"/>
        <v>0</v>
      </c>
    </row>
    <row r="262" spans="1:16" ht="15.5" outlineLevel="1">
      <c r="A262" s="1446">
        <f t="shared" si="27"/>
        <v>11.2</v>
      </c>
      <c r="B262" s="1447" t="str">
        <f t="shared" si="27"/>
        <v>Colony Internal Roads at BTPS, Deepnagar</v>
      </c>
      <c r="C262" s="1472" t="str">
        <f t="shared" si="27"/>
        <v>MERC/CAPEX/20172018/0221</v>
      </c>
      <c r="D262" s="1473">
        <f t="shared" si="27"/>
        <v>43143</v>
      </c>
      <c r="E262" s="1474">
        <f t="shared" si="27"/>
        <v>3.85</v>
      </c>
      <c r="F262" s="1444">
        <f t="shared" si="19"/>
        <v>3.2500731940000001</v>
      </c>
      <c r="G262" s="1444">
        <f t="shared" si="20"/>
        <v>3.2514022229999999</v>
      </c>
      <c r="H262" s="1474">
        <f t="shared" si="21"/>
        <v>-1.3290289999998706E-3</v>
      </c>
      <c r="I262" s="1444">
        <v>0</v>
      </c>
      <c r="J262" s="1444">
        <v>0</v>
      </c>
      <c r="K262" s="1474"/>
      <c r="L262" s="1474"/>
      <c r="M262" s="1474">
        <f t="shared" si="26"/>
        <v>0</v>
      </c>
      <c r="N262" s="1474">
        <f t="shared" si="23"/>
        <v>-1.3290289999998706E-3</v>
      </c>
      <c r="O262" s="1445">
        <f t="shared" si="24"/>
        <v>0</v>
      </c>
      <c r="P262" s="1377">
        <f t="shared" si="25"/>
        <v>0</v>
      </c>
    </row>
    <row r="263" spans="1:16" ht="15.5" outlineLevel="1">
      <c r="A263" s="1446">
        <f t="shared" si="27"/>
        <v>11.3</v>
      </c>
      <c r="B263" s="1447" t="str">
        <f t="shared" si="27"/>
        <v>Water supply , sanitary &amp; drainage works at BTPS, Deepnagar</v>
      </c>
      <c r="C263" s="1472" t="str">
        <f t="shared" si="27"/>
        <v>MERC/CAPEX/20172018/0221</v>
      </c>
      <c r="D263" s="1473">
        <f t="shared" si="27"/>
        <v>43143</v>
      </c>
      <c r="E263" s="1474">
        <f t="shared" si="27"/>
        <v>7.3</v>
      </c>
      <c r="F263" s="1444">
        <f t="shared" si="19"/>
        <v>5.8360794</v>
      </c>
      <c r="G263" s="1444">
        <f t="shared" si="20"/>
        <v>5.8108501159999992</v>
      </c>
      <c r="H263" s="1474">
        <f t="shared" si="21"/>
        <v>2.5229284000000796E-2</v>
      </c>
      <c r="I263" s="1444">
        <v>0</v>
      </c>
      <c r="J263" s="1444">
        <v>0</v>
      </c>
      <c r="K263" s="1474"/>
      <c r="L263" s="1474"/>
      <c r="M263" s="1474">
        <f t="shared" si="26"/>
        <v>0</v>
      </c>
      <c r="N263" s="1474">
        <f t="shared" si="23"/>
        <v>2.5229284000000796E-2</v>
      </c>
      <c r="O263" s="1445">
        <f t="shared" si="24"/>
        <v>0</v>
      </c>
      <c r="P263" s="1377">
        <f t="shared" si="25"/>
        <v>0</v>
      </c>
    </row>
    <row r="264" spans="1:16" ht="15.5" outlineLevel="1">
      <c r="A264" s="1446">
        <f t="shared" si="27"/>
        <v>11.4</v>
      </c>
      <c r="B264" s="1447" t="str">
        <f t="shared" si="27"/>
        <v>Plinth protection to existing buildings at BTPS, Deepnagar</v>
      </c>
      <c r="C264" s="1472" t="str">
        <f t="shared" si="27"/>
        <v>MERC/CAPEX/20172018/0221</v>
      </c>
      <c r="D264" s="1473">
        <f t="shared" si="27"/>
        <v>43143</v>
      </c>
      <c r="E264" s="1474">
        <f t="shared" si="27"/>
        <v>1.1631259999999999</v>
      </c>
      <c r="F264" s="1444">
        <f t="shared" si="19"/>
        <v>0.91823160000000004</v>
      </c>
      <c r="G264" s="1444">
        <f t="shared" si="20"/>
        <v>0.91823162200000008</v>
      </c>
      <c r="H264" s="1474">
        <f t="shared" si="21"/>
        <v>-2.2000000043931323E-8</v>
      </c>
      <c r="I264" s="1444">
        <v>0</v>
      </c>
      <c r="J264" s="1444">
        <v>0</v>
      </c>
      <c r="K264" s="1474"/>
      <c r="L264" s="1474"/>
      <c r="M264" s="1474">
        <f t="shared" si="26"/>
        <v>0</v>
      </c>
      <c r="N264" s="1474">
        <f t="shared" si="23"/>
        <v>-2.2000000043931323E-8</v>
      </c>
      <c r="O264" s="1445">
        <f t="shared" si="24"/>
        <v>0</v>
      </c>
      <c r="P264" s="1377">
        <f t="shared" si="25"/>
        <v>0</v>
      </c>
    </row>
    <row r="265" spans="1:16" ht="31" outlineLevel="1">
      <c r="A265" s="1440">
        <f t="shared" si="27"/>
        <v>12</v>
      </c>
      <c r="B265" s="1441" t="str">
        <f t="shared" si="27"/>
        <v>Pipeline from River Water Pump House (RWPH) to aquaduct over Bhogawati River and Other allied power house road works under DPR scheme at BTPS, Bhusawal</v>
      </c>
      <c r="C265" s="1442" t="str">
        <f t="shared" si="27"/>
        <v>MERC/CAPEX/2018-2019/0104</v>
      </c>
      <c r="D265" s="1443">
        <f t="shared" si="27"/>
        <v>43559</v>
      </c>
      <c r="E265" s="1444">
        <f t="shared" si="27"/>
        <v>13.1172</v>
      </c>
      <c r="F265" s="1444">
        <f t="shared" si="19"/>
        <v>0</v>
      </c>
      <c r="G265" s="1444">
        <f t="shared" si="20"/>
        <v>0</v>
      </c>
      <c r="H265" s="1444">
        <f t="shared" si="21"/>
        <v>0</v>
      </c>
      <c r="I265" s="1444">
        <v>0</v>
      </c>
      <c r="J265" s="1444">
        <v>0</v>
      </c>
      <c r="K265" s="1444"/>
      <c r="L265" s="1444"/>
      <c r="M265" s="1444">
        <f t="shared" si="26"/>
        <v>0</v>
      </c>
      <c r="N265" s="1444">
        <f t="shared" si="23"/>
        <v>0</v>
      </c>
      <c r="O265" s="1445">
        <f t="shared" si="24"/>
        <v>0</v>
      </c>
      <c r="P265" s="1377">
        <f t="shared" si="25"/>
        <v>0</v>
      </c>
    </row>
    <row r="266" spans="1:16" ht="46.5" outlineLevel="1">
      <c r="A266" s="1448">
        <f t="shared" si="27"/>
        <v>12.1</v>
      </c>
      <c r="B266" s="1449" t="str">
        <f t="shared" si="27"/>
        <v>Providing supplying laying, jointing, testing and commissioning of 1650 mm Ø ID 8 mm thick M.S. pipeline for raw water supply from RWPH to aquaduct over Bhogawati river at, BTPS, Bhusawal.</v>
      </c>
      <c r="C266" s="1472" t="str">
        <f t="shared" si="27"/>
        <v>MERC/CAPEX/2018-2019/0104</v>
      </c>
      <c r="D266" s="1473">
        <f t="shared" si="27"/>
        <v>43559</v>
      </c>
      <c r="E266" s="1474">
        <f t="shared" si="27"/>
        <v>7.2569999999999997</v>
      </c>
      <c r="F266" s="1444">
        <f t="shared" si="19"/>
        <v>0</v>
      </c>
      <c r="G266" s="1444">
        <f t="shared" si="20"/>
        <v>0</v>
      </c>
      <c r="H266" s="1474">
        <f t="shared" si="21"/>
        <v>0</v>
      </c>
      <c r="I266" s="1444">
        <v>0</v>
      </c>
      <c r="J266" s="1444">
        <v>0</v>
      </c>
      <c r="K266" s="1474"/>
      <c r="L266" s="1474"/>
      <c r="M266" s="1474">
        <f t="shared" si="26"/>
        <v>0</v>
      </c>
      <c r="N266" s="1474">
        <f t="shared" si="23"/>
        <v>0</v>
      </c>
      <c r="O266" s="1445">
        <f t="shared" si="24"/>
        <v>0</v>
      </c>
      <c r="P266" s="1377">
        <f t="shared" si="25"/>
        <v>0</v>
      </c>
    </row>
    <row r="267" spans="1:16" ht="31" outlineLevel="1">
      <c r="A267" s="1448">
        <f t="shared" si="27"/>
        <v>12.2</v>
      </c>
      <c r="B267" s="1449" t="str">
        <f t="shared" si="27"/>
        <v>Construction of WBM and Bituminous road along inlet &amp; outlet canals and concreate road along periphery of Major store at BTPS, Bhusawal.</v>
      </c>
      <c r="C267" s="1472" t="str">
        <f t="shared" si="27"/>
        <v>MERC/CAPEX/2018-2019/0104</v>
      </c>
      <c r="D267" s="1473">
        <f t="shared" si="27"/>
        <v>43559</v>
      </c>
      <c r="E267" s="1474">
        <f t="shared" si="27"/>
        <v>4.22</v>
      </c>
      <c r="F267" s="1444">
        <f t="shared" si="19"/>
        <v>3.1732728800000003</v>
      </c>
      <c r="G267" s="1444">
        <f t="shared" si="20"/>
        <v>1.1931890000000001</v>
      </c>
      <c r="H267" s="1474">
        <f t="shared" si="21"/>
        <v>1.9800838800000002</v>
      </c>
      <c r="I267" s="1444">
        <v>0.65719797999999996</v>
      </c>
      <c r="J267" s="1444">
        <v>2.6372818869999999</v>
      </c>
      <c r="K267" s="1474"/>
      <c r="L267" s="1474"/>
      <c r="M267" s="1474">
        <f t="shared" si="26"/>
        <v>2.6372818869999999</v>
      </c>
      <c r="N267" s="1474">
        <f t="shared" si="23"/>
        <v>-2.6999999569454758E-8</v>
      </c>
      <c r="O267" s="1445">
        <f t="shared" si="24"/>
        <v>2.6372818869999999</v>
      </c>
      <c r="P267" s="1377">
        <f t="shared" si="25"/>
        <v>0</v>
      </c>
    </row>
    <row r="268" spans="1:16" ht="31" outlineLevel="1">
      <c r="A268" s="1446">
        <f t="shared" si="27"/>
        <v>12.3</v>
      </c>
      <c r="B268" s="1447" t="str">
        <f t="shared" si="27"/>
        <v>Work of construction of self-supporting steel roofing system for a major store godown shed of span 25M at BTPS, Deepnagar.</v>
      </c>
      <c r="C268" s="1472" t="str">
        <f t="shared" si="27"/>
        <v>MERC/CAPEX/2018-2019/0104</v>
      </c>
      <c r="D268" s="1473">
        <f t="shared" si="27"/>
        <v>43559</v>
      </c>
      <c r="E268" s="1474">
        <f t="shared" si="27"/>
        <v>1.6401999999999999</v>
      </c>
      <c r="F268" s="1444">
        <f t="shared" si="19"/>
        <v>0.27</v>
      </c>
      <c r="G268" s="1444">
        <f t="shared" si="20"/>
        <v>1.6376399460000002</v>
      </c>
      <c r="H268" s="1474">
        <f t="shared" si="21"/>
        <v>-1.3676399460000002</v>
      </c>
      <c r="I268" s="1444">
        <v>0</v>
      </c>
      <c r="J268" s="1444">
        <v>0</v>
      </c>
      <c r="K268" s="1474"/>
      <c r="L268" s="1474"/>
      <c r="M268" s="1474">
        <f t="shared" si="26"/>
        <v>0</v>
      </c>
      <c r="N268" s="1474">
        <f t="shared" si="23"/>
        <v>-1.3676399460000002</v>
      </c>
      <c r="O268" s="1445">
        <f t="shared" si="24"/>
        <v>0</v>
      </c>
      <c r="P268" s="1377">
        <f t="shared" si="25"/>
        <v>0</v>
      </c>
    </row>
    <row r="269" spans="1:16" ht="15.5" outlineLevel="1">
      <c r="A269" s="1448">
        <f t="shared" si="27"/>
        <v>0</v>
      </c>
      <c r="B269" s="1449" t="str">
        <f t="shared" si="27"/>
        <v>IDC</v>
      </c>
      <c r="C269" s="1472" t="str">
        <f t="shared" si="27"/>
        <v>MERC/CAPEX/2018-2019/0104</v>
      </c>
      <c r="D269" s="1473">
        <f t="shared" si="27"/>
        <v>43559</v>
      </c>
      <c r="E269" s="1474">
        <f t="shared" si="27"/>
        <v>0</v>
      </c>
      <c r="F269" s="1444">
        <f t="shared" si="19"/>
        <v>5.9623299999999997E-2</v>
      </c>
      <c r="G269" s="1444">
        <f t="shared" si="20"/>
        <v>0</v>
      </c>
      <c r="H269" s="1474">
        <f t="shared" si="21"/>
        <v>5.9623299999999997E-2</v>
      </c>
      <c r="I269" s="1444">
        <v>8.9551900000000004E-2</v>
      </c>
      <c r="J269" s="1444">
        <v>0.14917520000000001</v>
      </c>
      <c r="K269" s="1474"/>
      <c r="L269" s="1474"/>
      <c r="M269" s="1474">
        <f t="shared" si="26"/>
        <v>0.14917520000000001</v>
      </c>
      <c r="N269" s="1474">
        <f t="shared" si="23"/>
        <v>0</v>
      </c>
      <c r="O269" s="1445">
        <f t="shared" si="24"/>
        <v>0</v>
      </c>
      <c r="P269" s="1377">
        <f t="shared" si="25"/>
        <v>0.14917520000000001</v>
      </c>
    </row>
    <row r="270" spans="1:16" ht="46.5" outlineLevel="1">
      <c r="A270" s="1440">
        <f t="shared" si="27"/>
        <v>13</v>
      </c>
      <c r="B270" s="1441" t="str">
        <f t="shared" si="27"/>
        <v>Supply, erection, commissioning &amp; site testing of 220 V, 2035 AH, Station Battery Sets (4 Nos.) and 24 V, 2250 AH, SG/TG &amp; BOP Battery Sets (8 Nos.) for U# 4 &amp; 5 along with accessories at 2 x 500 MW BTPS, Bhusawal</v>
      </c>
      <c r="C270" s="1442" t="str">
        <f t="shared" si="27"/>
        <v>MERC/CAPEX/2017-2018/1226</v>
      </c>
      <c r="D270" s="1443">
        <f t="shared" si="27"/>
        <v>43322</v>
      </c>
      <c r="E270" s="1444">
        <f t="shared" si="27"/>
        <v>11.59</v>
      </c>
      <c r="F270" s="1444">
        <f t="shared" si="19"/>
        <v>0</v>
      </c>
      <c r="G270" s="1444">
        <f t="shared" si="20"/>
        <v>0</v>
      </c>
      <c r="H270" s="1444">
        <f t="shared" si="21"/>
        <v>0</v>
      </c>
      <c r="I270" s="1444">
        <v>0</v>
      </c>
      <c r="J270" s="1444">
        <v>0</v>
      </c>
      <c r="K270" s="1444"/>
      <c r="L270" s="1444"/>
      <c r="M270" s="1444">
        <f t="shared" si="26"/>
        <v>0</v>
      </c>
      <c r="N270" s="1444">
        <f t="shared" si="23"/>
        <v>0</v>
      </c>
      <c r="O270" s="1445">
        <f t="shared" si="24"/>
        <v>0</v>
      </c>
      <c r="P270" s="1377">
        <f t="shared" si="25"/>
        <v>0</v>
      </c>
    </row>
    <row r="271" spans="1:16" ht="46.5" outlineLevel="1">
      <c r="A271" s="1446">
        <f t="shared" si="27"/>
        <v>13.1</v>
      </c>
      <c r="B271" s="1447" t="str">
        <f t="shared" si="27"/>
        <v>Supply, erection, commissioning &amp; site testing of 220V, 2035 AH Station Battery Sets (02 Nos.) and 24V, 2250AH, SG/TG &amp; BOP Battery Set (04 Nos.) along with accessories for Unit No.5 at BTPS 2x500MW.</v>
      </c>
      <c r="C271" s="1472" t="str">
        <f t="shared" si="27"/>
        <v>MERC/CAPEX/2017-2018/1226</v>
      </c>
      <c r="D271" s="1473">
        <f t="shared" si="27"/>
        <v>43322</v>
      </c>
      <c r="E271" s="1474">
        <f t="shared" si="27"/>
        <v>5.7949999999999999</v>
      </c>
      <c r="F271" s="1444">
        <f t="shared" si="19"/>
        <v>6.3739579500000003</v>
      </c>
      <c r="G271" s="1444">
        <f t="shared" si="20"/>
        <v>6.3739579500000003</v>
      </c>
      <c r="H271" s="1474">
        <f t="shared" si="21"/>
        <v>0</v>
      </c>
      <c r="I271" s="1444">
        <v>0</v>
      </c>
      <c r="J271" s="1444">
        <v>0</v>
      </c>
      <c r="K271" s="1474"/>
      <c r="L271" s="1474"/>
      <c r="M271" s="1474">
        <f t="shared" si="26"/>
        <v>0</v>
      </c>
      <c r="N271" s="1474">
        <f t="shared" si="23"/>
        <v>0</v>
      </c>
      <c r="O271" s="1445">
        <f t="shared" si="24"/>
        <v>0</v>
      </c>
      <c r="P271" s="1377">
        <f t="shared" si="25"/>
        <v>0</v>
      </c>
    </row>
    <row r="272" spans="1:16" ht="46.5" outlineLevel="1">
      <c r="A272" s="1446">
        <f t="shared" ref="A272:E287" si="28">A42</f>
        <v>13.2</v>
      </c>
      <c r="B272" s="1447" t="str">
        <f t="shared" si="28"/>
        <v>Supply, erection, commissioning &amp; site testing of 220V, 2035 AH Station Battery Sets (02 Nos.) and 24V, 2250AH, SG/TG &amp; BOP Battery Set (04 Nos.) along with accessories for Unit No.4 at BTPS 2x500MW.</v>
      </c>
      <c r="C272" s="1472" t="str">
        <f t="shared" si="28"/>
        <v>MERC/CAPEX/2017-2018/1226</v>
      </c>
      <c r="D272" s="1473">
        <f t="shared" si="28"/>
        <v>43322</v>
      </c>
      <c r="E272" s="1474">
        <f t="shared" si="28"/>
        <v>5.7949999999999999</v>
      </c>
      <c r="F272" s="1444">
        <f t="shared" si="19"/>
        <v>6.3227326000000001</v>
      </c>
      <c r="G272" s="1444">
        <f t="shared" si="20"/>
        <v>6.3227326000000001</v>
      </c>
      <c r="H272" s="1474">
        <f t="shared" si="21"/>
        <v>0</v>
      </c>
      <c r="I272" s="1444">
        <v>0</v>
      </c>
      <c r="J272" s="1444">
        <v>0</v>
      </c>
      <c r="K272" s="1474"/>
      <c r="L272" s="1474"/>
      <c r="M272" s="1474">
        <f t="shared" si="26"/>
        <v>0</v>
      </c>
      <c r="N272" s="1474">
        <f t="shared" si="23"/>
        <v>0</v>
      </c>
      <c r="O272" s="1445">
        <f t="shared" si="24"/>
        <v>0</v>
      </c>
      <c r="P272" s="1377">
        <f t="shared" si="25"/>
        <v>0</v>
      </c>
    </row>
    <row r="273" spans="1:16" ht="31" outlineLevel="1">
      <c r="A273" s="1440">
        <f t="shared" si="28"/>
        <v>15</v>
      </c>
      <c r="B273" s="1441" t="str">
        <f t="shared" si="28"/>
        <v>Flue Gas Desulphurization (FGD) System for 500 MW Units (Total 8 Nos) of MSPGCL</v>
      </c>
      <c r="C273" s="1442" t="str">
        <f t="shared" si="28"/>
        <v>MERC/CAPEX/2020-2021/WFH/SBR/45</v>
      </c>
      <c r="D273" s="1443">
        <f t="shared" si="28"/>
        <v>44232</v>
      </c>
      <c r="E273" s="1444">
        <f t="shared" si="28"/>
        <v>869.5</v>
      </c>
      <c r="F273" s="1444">
        <f t="shared" si="19"/>
        <v>0</v>
      </c>
      <c r="G273" s="1444">
        <f t="shared" si="20"/>
        <v>0</v>
      </c>
      <c r="H273" s="1444">
        <f t="shared" si="21"/>
        <v>0</v>
      </c>
      <c r="I273" s="1444">
        <v>0</v>
      </c>
      <c r="J273" s="1444">
        <v>0</v>
      </c>
      <c r="K273" s="1444"/>
      <c r="L273" s="1444"/>
      <c r="M273" s="1444">
        <f t="shared" si="26"/>
        <v>0</v>
      </c>
      <c r="N273" s="1444">
        <f t="shared" si="23"/>
        <v>0</v>
      </c>
      <c r="O273" s="1445">
        <f t="shared" si="24"/>
        <v>0</v>
      </c>
      <c r="P273" s="1377">
        <f t="shared" si="25"/>
        <v>0</v>
      </c>
    </row>
    <row r="274" spans="1:16" ht="15.5" outlineLevel="1">
      <c r="A274" s="1450">
        <f t="shared" si="28"/>
        <v>15.1</v>
      </c>
      <c r="B274" s="1451" t="str">
        <f t="shared" si="28"/>
        <v>Flue Gas Desulphurization (FGD) System for Bhusawal Unit 4-5</v>
      </c>
      <c r="C274" s="1475" t="str">
        <f t="shared" si="28"/>
        <v>MERC/CAPEX/2020-2021/WFH/SBR/45</v>
      </c>
      <c r="D274" s="1473">
        <f t="shared" si="28"/>
        <v>44232</v>
      </c>
      <c r="E274" s="1476">
        <f t="shared" si="28"/>
        <v>830.4</v>
      </c>
      <c r="F274" s="1444">
        <f t="shared" si="19"/>
        <v>0</v>
      </c>
      <c r="G274" s="1444">
        <f t="shared" si="20"/>
        <v>0</v>
      </c>
      <c r="H274" s="1476">
        <f t="shared" si="21"/>
        <v>0</v>
      </c>
      <c r="I274" s="1444">
        <v>0</v>
      </c>
      <c r="J274" s="1444">
        <v>0</v>
      </c>
      <c r="K274" s="1476"/>
      <c r="L274" s="1476"/>
      <c r="M274" s="1476">
        <f t="shared" si="26"/>
        <v>0</v>
      </c>
      <c r="N274" s="1476">
        <f t="shared" si="23"/>
        <v>0</v>
      </c>
      <c r="O274" s="1445">
        <f t="shared" si="24"/>
        <v>0</v>
      </c>
      <c r="P274" s="1377">
        <f t="shared" si="25"/>
        <v>0</v>
      </c>
    </row>
    <row r="275" spans="1:16" ht="15.5" outlineLevel="1">
      <c r="A275" s="1450">
        <f t="shared" si="28"/>
        <v>0</v>
      </c>
      <c r="B275" s="1452" t="str">
        <f t="shared" si="28"/>
        <v>IDC</v>
      </c>
      <c r="C275" s="1475" t="str">
        <f t="shared" si="28"/>
        <v>MERC/CAPEX/2020-2021/WFH/SBR/45</v>
      </c>
      <c r="D275" s="1473">
        <f t="shared" si="28"/>
        <v>44232</v>
      </c>
      <c r="E275" s="1476">
        <f t="shared" si="28"/>
        <v>39.1</v>
      </c>
      <c r="F275" s="1444">
        <f t="shared" si="19"/>
        <v>0</v>
      </c>
      <c r="G275" s="1444">
        <f t="shared" si="20"/>
        <v>0</v>
      </c>
      <c r="H275" s="1476">
        <f t="shared" si="21"/>
        <v>0</v>
      </c>
      <c r="I275" s="1444">
        <v>0</v>
      </c>
      <c r="J275" s="1444">
        <v>0</v>
      </c>
      <c r="K275" s="1476"/>
      <c r="L275" s="1476"/>
      <c r="M275" s="1476">
        <f t="shared" si="26"/>
        <v>0</v>
      </c>
      <c r="N275" s="1476">
        <f t="shared" si="23"/>
        <v>0</v>
      </c>
      <c r="O275" s="1445">
        <f t="shared" si="24"/>
        <v>0</v>
      </c>
      <c r="P275" s="1377">
        <f t="shared" si="25"/>
        <v>0</v>
      </c>
    </row>
    <row r="276" spans="1:16" ht="31" outlineLevel="1">
      <c r="A276" s="1440">
        <f t="shared" si="28"/>
        <v>16</v>
      </c>
      <c r="B276" s="1441" t="str">
        <f t="shared" si="28"/>
        <v>Procurement of two BFP Cartridges &amp; one rotor of Turbine driven BFP &amp; at 500MW BTPS, Bhusawal</v>
      </c>
      <c r="C276" s="1442" t="str">
        <f t="shared" si="28"/>
        <v>MERC/CAPEX/2020-2021/WFO/SBR/49</v>
      </c>
      <c r="D276" s="1443">
        <f t="shared" si="28"/>
        <v>44263</v>
      </c>
      <c r="E276" s="1444">
        <f t="shared" si="28"/>
        <v>10.520000000000001</v>
      </c>
      <c r="F276" s="1444">
        <f t="shared" si="19"/>
        <v>0</v>
      </c>
      <c r="G276" s="1444">
        <f t="shared" si="20"/>
        <v>0</v>
      </c>
      <c r="H276" s="1444">
        <f t="shared" si="21"/>
        <v>0</v>
      </c>
      <c r="I276" s="1444">
        <v>0</v>
      </c>
      <c r="J276" s="1444">
        <v>0</v>
      </c>
      <c r="K276" s="1444"/>
      <c r="L276" s="1444"/>
      <c r="M276" s="1444">
        <f t="shared" si="26"/>
        <v>0</v>
      </c>
      <c r="N276" s="1444">
        <f t="shared" si="23"/>
        <v>0</v>
      </c>
      <c r="O276" s="1445">
        <f t="shared" si="24"/>
        <v>0</v>
      </c>
      <c r="P276" s="1377">
        <f t="shared" si="25"/>
        <v>0</v>
      </c>
    </row>
    <row r="277" spans="1:16" ht="15.5" outlineLevel="1">
      <c r="A277" s="1450">
        <f t="shared" si="28"/>
        <v>16.100000000000001</v>
      </c>
      <c r="B277" s="1452" t="str">
        <f t="shared" si="28"/>
        <v>Procurement of two BFP Cartridges at 500MW BTPS, Bhusawal</v>
      </c>
      <c r="C277" s="1475" t="str">
        <f t="shared" si="28"/>
        <v>MERC/CAPEX/2020-2021/WFO/SBR/49</v>
      </c>
      <c r="D277" s="1473">
        <f t="shared" si="28"/>
        <v>44263</v>
      </c>
      <c r="E277" s="1476">
        <f t="shared" si="28"/>
        <v>3.84</v>
      </c>
      <c r="F277" s="1444">
        <f t="shared" si="19"/>
        <v>2.2399997760000003</v>
      </c>
      <c r="G277" s="1444">
        <f t="shared" si="20"/>
        <v>2.2399997760000003</v>
      </c>
      <c r="H277" s="1476">
        <f t="shared" si="21"/>
        <v>0</v>
      </c>
      <c r="I277" s="1444">
        <v>0</v>
      </c>
      <c r="J277" s="1444">
        <v>0</v>
      </c>
      <c r="K277" s="1476"/>
      <c r="L277" s="1476"/>
      <c r="M277" s="1476">
        <f t="shared" si="26"/>
        <v>0</v>
      </c>
      <c r="N277" s="1476">
        <f t="shared" si="23"/>
        <v>0</v>
      </c>
      <c r="O277" s="1445">
        <f t="shared" si="24"/>
        <v>0</v>
      </c>
      <c r="P277" s="1377">
        <f t="shared" si="25"/>
        <v>0</v>
      </c>
    </row>
    <row r="278" spans="1:16" ht="15.5" outlineLevel="1">
      <c r="A278" s="1450">
        <f t="shared" si="28"/>
        <v>16.2</v>
      </c>
      <c r="B278" s="1452" t="str">
        <f t="shared" si="28"/>
        <v>Procurement of one rotor of Turbine driven BFP at 500MW BTPS, Bhusawal</v>
      </c>
      <c r="C278" s="1475" t="str">
        <f t="shared" si="28"/>
        <v>MERC/CAPEX/2020-2021/WFO/SBR/49</v>
      </c>
      <c r="D278" s="1473">
        <f t="shared" si="28"/>
        <v>44263</v>
      </c>
      <c r="E278" s="1476">
        <f t="shared" si="28"/>
        <v>6.46</v>
      </c>
      <c r="F278" s="1444">
        <f t="shared" si="19"/>
        <v>7.6135872999999998</v>
      </c>
      <c r="G278" s="1444">
        <f t="shared" si="20"/>
        <v>7.6135872999999998</v>
      </c>
      <c r="H278" s="1476">
        <f t="shared" si="21"/>
        <v>0</v>
      </c>
      <c r="I278" s="1444">
        <v>0</v>
      </c>
      <c r="J278" s="1444">
        <v>0</v>
      </c>
      <c r="K278" s="1476"/>
      <c r="L278" s="1476"/>
      <c r="M278" s="1476">
        <f t="shared" si="26"/>
        <v>0</v>
      </c>
      <c r="N278" s="1476">
        <f t="shared" si="23"/>
        <v>0</v>
      </c>
      <c r="O278" s="1445">
        <f t="shared" si="24"/>
        <v>0</v>
      </c>
      <c r="P278" s="1377">
        <f t="shared" si="25"/>
        <v>0</v>
      </c>
    </row>
    <row r="279" spans="1:16" ht="15.5" outlineLevel="1">
      <c r="A279" s="1450">
        <f t="shared" si="28"/>
        <v>0</v>
      </c>
      <c r="B279" s="1452" t="str">
        <f t="shared" si="28"/>
        <v>IDC</v>
      </c>
      <c r="C279" s="1475" t="str">
        <f t="shared" si="28"/>
        <v>MERC/CAPEX/2020-2021/WFO/SBR/49</v>
      </c>
      <c r="D279" s="1473">
        <f t="shared" si="28"/>
        <v>44263</v>
      </c>
      <c r="E279" s="1476">
        <f t="shared" si="28"/>
        <v>0.22</v>
      </c>
      <c r="F279" s="1444">
        <f t="shared" si="19"/>
        <v>0</v>
      </c>
      <c r="G279" s="1444">
        <f t="shared" si="20"/>
        <v>0</v>
      </c>
      <c r="H279" s="1476">
        <f t="shared" si="21"/>
        <v>0</v>
      </c>
      <c r="I279" s="1444">
        <v>0</v>
      </c>
      <c r="J279" s="1444">
        <v>0</v>
      </c>
      <c r="K279" s="1476"/>
      <c r="L279" s="1476"/>
      <c r="M279" s="1476">
        <f t="shared" si="26"/>
        <v>0</v>
      </c>
      <c r="N279" s="1476">
        <f t="shared" si="23"/>
        <v>0</v>
      </c>
      <c r="O279" s="1445">
        <f t="shared" si="24"/>
        <v>0</v>
      </c>
      <c r="P279" s="1377">
        <f t="shared" si="25"/>
        <v>0</v>
      </c>
    </row>
    <row r="280" spans="1:16" ht="31" outlineLevel="1">
      <c r="A280" s="1440">
        <f t="shared" si="28"/>
        <v>17</v>
      </c>
      <c r="B280" s="1441" t="str">
        <f t="shared" si="28"/>
        <v>CHP Improvement Schemes at 2X500MW, BTPS, Bhusawal</v>
      </c>
      <c r="C280" s="1442" t="str">
        <f t="shared" si="28"/>
        <v>MERC/CAPEX/2020-2021/WFH/SBR/09</v>
      </c>
      <c r="D280" s="1443">
        <f t="shared" si="28"/>
        <v>44357</v>
      </c>
      <c r="E280" s="1444">
        <f t="shared" si="28"/>
        <v>21.22</v>
      </c>
      <c r="F280" s="1444">
        <f t="shared" si="19"/>
        <v>0</v>
      </c>
      <c r="G280" s="1444">
        <f t="shared" si="20"/>
        <v>0</v>
      </c>
      <c r="H280" s="1444">
        <f t="shared" si="21"/>
        <v>0</v>
      </c>
      <c r="I280" s="1444">
        <v>0</v>
      </c>
      <c r="J280" s="1444">
        <v>0</v>
      </c>
      <c r="K280" s="1444"/>
      <c r="L280" s="1444"/>
      <c r="M280" s="1444">
        <f t="shared" si="26"/>
        <v>0</v>
      </c>
      <c r="N280" s="1444">
        <f t="shared" si="23"/>
        <v>0</v>
      </c>
      <c r="O280" s="1445">
        <f t="shared" si="24"/>
        <v>0</v>
      </c>
      <c r="P280" s="1377">
        <f t="shared" si="25"/>
        <v>0</v>
      </c>
    </row>
    <row r="281" spans="1:16" ht="15.5" outlineLevel="1">
      <c r="A281" s="1450">
        <f t="shared" si="28"/>
        <v>17.100000000000001</v>
      </c>
      <c r="B281" s="1452" t="str">
        <f t="shared" si="28"/>
        <v>Revamping of Apron Feeder in CHP at 2X500MW, BTPS</v>
      </c>
      <c r="C281" s="1475" t="str">
        <f t="shared" si="28"/>
        <v>MERC/CAPEX/2020-2021/WFH/SBR/09</v>
      </c>
      <c r="D281" s="1473">
        <f t="shared" si="28"/>
        <v>44357</v>
      </c>
      <c r="E281" s="1476">
        <f t="shared" si="28"/>
        <v>4.67</v>
      </c>
      <c r="F281" s="1444">
        <f t="shared" si="19"/>
        <v>4.6492000000000004</v>
      </c>
      <c r="G281" s="1444">
        <f t="shared" si="20"/>
        <v>4.6492000000000004</v>
      </c>
      <c r="H281" s="1476">
        <f t="shared" si="21"/>
        <v>0</v>
      </c>
      <c r="I281" s="1444">
        <v>0</v>
      </c>
      <c r="J281" s="1444">
        <v>0</v>
      </c>
      <c r="K281" s="1476"/>
      <c r="L281" s="1476"/>
      <c r="M281" s="1476">
        <f t="shared" si="26"/>
        <v>0</v>
      </c>
      <c r="N281" s="1476">
        <f t="shared" si="23"/>
        <v>0</v>
      </c>
      <c r="O281" s="1445">
        <f t="shared" si="24"/>
        <v>0</v>
      </c>
      <c r="P281" s="1377">
        <f t="shared" si="25"/>
        <v>0</v>
      </c>
    </row>
    <row r="282" spans="1:16" ht="31" outlineLevel="1">
      <c r="A282" s="1450">
        <f t="shared" si="28"/>
        <v>17.2</v>
      </c>
      <c r="B282" s="1452" t="str">
        <f t="shared" si="28"/>
        <v>Design, engineering, manufacturing, supply, Erection and commissioning of short conveyor from stack yard to belt feeder 112 in CHP 2x500MW BTPS.</v>
      </c>
      <c r="C282" s="1475" t="str">
        <f t="shared" si="28"/>
        <v>MERC/CAPEX/2020-2021/WFH/SBR/09</v>
      </c>
      <c r="D282" s="1473">
        <f t="shared" si="28"/>
        <v>44357</v>
      </c>
      <c r="E282" s="1476">
        <f t="shared" si="28"/>
        <v>3.53</v>
      </c>
      <c r="F282" s="1444">
        <f t="shared" si="19"/>
        <v>0</v>
      </c>
      <c r="G282" s="1444">
        <f t="shared" si="20"/>
        <v>0</v>
      </c>
      <c r="H282" s="1476">
        <f t="shared" si="21"/>
        <v>0</v>
      </c>
      <c r="I282" s="1444">
        <v>3.9647536259999998</v>
      </c>
      <c r="J282" s="1444">
        <v>3.9647536259999998</v>
      </c>
      <c r="K282" s="1476"/>
      <c r="L282" s="1476"/>
      <c r="M282" s="1476">
        <f t="shared" si="26"/>
        <v>3.9647536259999998</v>
      </c>
      <c r="N282" s="1476">
        <f t="shared" si="23"/>
        <v>0</v>
      </c>
      <c r="O282" s="1445">
        <f t="shared" si="24"/>
        <v>3.53</v>
      </c>
      <c r="P282" s="1377">
        <f t="shared" si="25"/>
        <v>0.434753626</v>
      </c>
    </row>
    <row r="283" spans="1:16" ht="31" outlineLevel="1">
      <c r="A283" s="1450">
        <f t="shared" si="28"/>
        <v>17.3</v>
      </c>
      <c r="B283" s="1452" t="str">
        <f t="shared" si="28"/>
        <v>Design, engineering, manufacturing, supply, Erection and commissioning of stone grappler at Wagon Tippler No.3 in CHP 2x500MW BTPS.</v>
      </c>
      <c r="C283" s="1475" t="str">
        <f t="shared" si="28"/>
        <v>MERC/CAPEX/2020-2021/WFH/SBR/09</v>
      </c>
      <c r="D283" s="1473">
        <f t="shared" si="28"/>
        <v>44357</v>
      </c>
      <c r="E283" s="1476">
        <f t="shared" si="28"/>
        <v>0.84</v>
      </c>
      <c r="F283" s="1444">
        <f t="shared" si="19"/>
        <v>0</v>
      </c>
      <c r="G283" s="1444">
        <f t="shared" si="20"/>
        <v>0</v>
      </c>
      <c r="H283" s="1476">
        <f t="shared" si="21"/>
        <v>0</v>
      </c>
      <c r="I283" s="1444">
        <v>0</v>
      </c>
      <c r="J283" s="1444">
        <v>0</v>
      </c>
      <c r="K283" s="1476"/>
      <c r="L283" s="1476"/>
      <c r="M283" s="1476">
        <f t="shared" si="26"/>
        <v>0</v>
      </c>
      <c r="N283" s="1476">
        <f t="shared" si="23"/>
        <v>0</v>
      </c>
      <c r="O283" s="1445">
        <f t="shared" si="24"/>
        <v>0</v>
      </c>
      <c r="P283" s="1377">
        <f t="shared" si="25"/>
        <v>0</v>
      </c>
    </row>
    <row r="284" spans="1:16" ht="15.5" outlineLevel="1">
      <c r="A284" s="1450">
        <f t="shared" si="28"/>
        <v>17.399999999999999</v>
      </c>
      <c r="B284" s="1452" t="str">
        <f t="shared" si="28"/>
        <v>Procurement of suspended magnets in CHP 2x500MW BTPS.</v>
      </c>
      <c r="C284" s="1475" t="str">
        <f t="shared" si="28"/>
        <v>MERC/CAPEX/2020-2021/WFH/SBR/09</v>
      </c>
      <c r="D284" s="1473">
        <f t="shared" si="28"/>
        <v>44357</v>
      </c>
      <c r="E284" s="1476">
        <f t="shared" si="28"/>
        <v>2.95</v>
      </c>
      <c r="F284" s="1444">
        <f t="shared" si="19"/>
        <v>2.9470499999999999</v>
      </c>
      <c r="G284" s="1444">
        <f t="shared" si="20"/>
        <v>2.9470499999999999</v>
      </c>
      <c r="H284" s="1476">
        <f t="shared" si="21"/>
        <v>0</v>
      </c>
      <c r="I284" s="1444">
        <v>0</v>
      </c>
      <c r="J284" s="1444">
        <v>0</v>
      </c>
      <c r="K284" s="1476"/>
      <c r="L284" s="1476"/>
      <c r="M284" s="1476">
        <f t="shared" si="26"/>
        <v>0</v>
      </c>
      <c r="N284" s="1476">
        <f t="shared" si="23"/>
        <v>0</v>
      </c>
      <c r="O284" s="1445">
        <f t="shared" si="24"/>
        <v>0</v>
      </c>
      <c r="P284" s="1377">
        <f t="shared" si="25"/>
        <v>0</v>
      </c>
    </row>
    <row r="285" spans="1:16" ht="31" outlineLevel="1">
      <c r="A285" s="1450">
        <f t="shared" si="28"/>
        <v>17.5</v>
      </c>
      <c r="B285" s="1452" t="str">
        <f t="shared" si="28"/>
        <v>Supply, Erection And Commissioning of Electro-Mechanical Drive to Apron Feeder at CHP 500MW</v>
      </c>
      <c r="C285" s="1475" t="str">
        <f t="shared" si="28"/>
        <v>MERC/CAPEX/2020-2021/WFH/SBR/09</v>
      </c>
      <c r="D285" s="1473">
        <f t="shared" si="28"/>
        <v>44357</v>
      </c>
      <c r="E285" s="1476">
        <f t="shared" si="28"/>
        <v>7.57</v>
      </c>
      <c r="F285" s="1444">
        <f t="shared" si="19"/>
        <v>0</v>
      </c>
      <c r="G285" s="1444">
        <f t="shared" si="20"/>
        <v>0</v>
      </c>
      <c r="H285" s="1476">
        <f t="shared" si="21"/>
        <v>0</v>
      </c>
      <c r="I285" s="1444">
        <v>0</v>
      </c>
      <c r="J285" s="1444">
        <v>0</v>
      </c>
      <c r="K285" s="1476"/>
      <c r="L285" s="1476"/>
      <c r="M285" s="1476">
        <f t="shared" si="26"/>
        <v>0</v>
      </c>
      <c r="N285" s="1476">
        <f t="shared" si="23"/>
        <v>0</v>
      </c>
      <c r="O285" s="1445">
        <f t="shared" si="24"/>
        <v>0</v>
      </c>
      <c r="P285" s="1377">
        <f t="shared" si="25"/>
        <v>0</v>
      </c>
    </row>
    <row r="286" spans="1:16" ht="15.5" outlineLevel="1">
      <c r="A286" s="1450">
        <f t="shared" si="28"/>
        <v>0</v>
      </c>
      <c r="B286" s="1453" t="str">
        <f t="shared" si="28"/>
        <v>IDC</v>
      </c>
      <c r="C286" s="1475" t="str">
        <f t="shared" si="28"/>
        <v>MERC/CAPEX/2020-2021/WFH/SBR/09</v>
      </c>
      <c r="D286" s="1473">
        <f t="shared" si="28"/>
        <v>44357</v>
      </c>
      <c r="E286" s="1476">
        <f t="shared" si="28"/>
        <v>1.66</v>
      </c>
      <c r="F286" s="1444">
        <f t="shared" si="19"/>
        <v>0</v>
      </c>
      <c r="G286" s="1444">
        <f t="shared" si="20"/>
        <v>0</v>
      </c>
      <c r="H286" s="1476">
        <f t="shared" si="21"/>
        <v>0</v>
      </c>
      <c r="I286" s="1444">
        <v>6.7524100000000004E-2</v>
      </c>
      <c r="J286" s="1444">
        <v>6.7524100000000004E-2</v>
      </c>
      <c r="K286" s="1476"/>
      <c r="L286" s="1476"/>
      <c r="M286" s="1476">
        <f t="shared" si="26"/>
        <v>6.7524100000000004E-2</v>
      </c>
      <c r="N286" s="1476">
        <f t="shared" si="23"/>
        <v>0</v>
      </c>
      <c r="O286" s="1445">
        <f t="shared" si="24"/>
        <v>6.7524100000000004E-2</v>
      </c>
      <c r="P286" s="1377">
        <f t="shared" si="25"/>
        <v>0</v>
      </c>
    </row>
    <row r="287" spans="1:16" ht="31" outlineLevel="1">
      <c r="A287" s="1440" t="str">
        <f t="shared" si="28"/>
        <v>HO
DPR 6</v>
      </c>
      <c r="B287" s="1441" t="str">
        <f t="shared" si="28"/>
        <v>Supply, Installation, Commissioning and Operation &amp; Maintenance Services of Continuous Ambient Air Quality Monitoring Stations (CAAQMS) at various TPS</v>
      </c>
      <c r="C287" s="1442" t="str">
        <f t="shared" si="28"/>
        <v>MERC/CAPEX/20162017/00423</v>
      </c>
      <c r="D287" s="1443">
        <f t="shared" si="28"/>
        <v>42585</v>
      </c>
      <c r="E287" s="1444">
        <f t="shared" si="28"/>
        <v>3.9772580142857143</v>
      </c>
      <c r="F287" s="1444">
        <f t="shared" si="19"/>
        <v>0</v>
      </c>
      <c r="G287" s="1444">
        <f t="shared" si="20"/>
        <v>0</v>
      </c>
      <c r="H287" s="1444">
        <f t="shared" si="21"/>
        <v>0</v>
      </c>
      <c r="I287" s="1444">
        <v>0</v>
      </c>
      <c r="J287" s="1444">
        <v>0</v>
      </c>
      <c r="K287" s="1444"/>
      <c r="L287" s="1444"/>
      <c r="M287" s="1444">
        <f t="shared" si="26"/>
        <v>0</v>
      </c>
      <c r="N287" s="1444">
        <f t="shared" si="23"/>
        <v>0</v>
      </c>
      <c r="O287" s="1445">
        <f t="shared" si="24"/>
        <v>0</v>
      </c>
      <c r="P287" s="1377">
        <f t="shared" si="25"/>
        <v>0</v>
      </c>
    </row>
    <row r="288" spans="1:16" ht="15.5" outlineLevel="1">
      <c r="A288" s="1450">
        <f t="shared" ref="A288:E303" si="29">A58</f>
        <v>1</v>
      </c>
      <c r="B288" s="1452" t="str">
        <f t="shared" si="29"/>
        <v>Bhusawal: Unit 4-5 (3 Nos.)</v>
      </c>
      <c r="C288" s="1475" t="str">
        <f t="shared" si="29"/>
        <v>MERC/CAPEX/20162017/00423</v>
      </c>
      <c r="D288" s="1473">
        <f t="shared" si="29"/>
        <v>42585</v>
      </c>
      <c r="E288" s="1476">
        <f t="shared" si="29"/>
        <v>3.9772580142857143</v>
      </c>
      <c r="F288" s="1444">
        <f t="shared" si="19"/>
        <v>1.9467999333333335</v>
      </c>
      <c r="G288" s="1444">
        <f t="shared" si="20"/>
        <v>1.9457999143333333</v>
      </c>
      <c r="H288" s="1476">
        <f t="shared" si="21"/>
        <v>1.0000190000001297E-3</v>
      </c>
      <c r="I288" s="1444">
        <v>0</v>
      </c>
      <c r="J288" s="1444">
        <v>0</v>
      </c>
      <c r="K288" s="1476"/>
      <c r="L288" s="1476"/>
      <c r="M288" s="1476">
        <f t="shared" si="26"/>
        <v>0</v>
      </c>
      <c r="N288" s="1476">
        <f t="shared" si="23"/>
        <v>1.0000190000001297E-3</v>
      </c>
      <c r="O288" s="1445">
        <f t="shared" si="24"/>
        <v>0</v>
      </c>
      <c r="P288" s="1377">
        <f t="shared" si="25"/>
        <v>0</v>
      </c>
    </row>
    <row r="289" spans="1:16" ht="31" outlineLevel="1">
      <c r="A289" s="1440" t="str">
        <f t="shared" si="29"/>
        <v>HO
DPR 7</v>
      </c>
      <c r="B289" s="1441" t="str">
        <f t="shared" si="29"/>
        <v>Installation of Real Time Online Coal-Ash Analyzer at various TPS</v>
      </c>
      <c r="C289" s="1442" t="str">
        <f t="shared" si="29"/>
        <v>MERC/CAPEX/20162017/00774</v>
      </c>
      <c r="D289" s="1443">
        <f t="shared" si="29"/>
        <v>42643</v>
      </c>
      <c r="E289" s="1444">
        <f t="shared" si="29"/>
        <v>4.0552000000000001</v>
      </c>
      <c r="F289" s="1444">
        <f t="shared" si="19"/>
        <v>0</v>
      </c>
      <c r="G289" s="1444">
        <f t="shared" si="20"/>
        <v>0</v>
      </c>
      <c r="H289" s="1444">
        <f t="shared" si="21"/>
        <v>0</v>
      </c>
      <c r="I289" s="1444">
        <v>0</v>
      </c>
      <c r="J289" s="1444">
        <v>0</v>
      </c>
      <c r="K289" s="1444"/>
      <c r="L289" s="1444"/>
      <c r="M289" s="1444">
        <f t="shared" si="26"/>
        <v>0</v>
      </c>
      <c r="N289" s="1444">
        <f t="shared" si="23"/>
        <v>0</v>
      </c>
      <c r="O289" s="1445">
        <f t="shared" si="24"/>
        <v>0</v>
      </c>
      <c r="P289" s="1377">
        <f t="shared" si="25"/>
        <v>0</v>
      </c>
    </row>
    <row r="290" spans="1:16" ht="15.5" outlineLevel="1">
      <c r="A290" s="1450">
        <f t="shared" si="29"/>
        <v>1</v>
      </c>
      <c r="B290" s="1452" t="str">
        <f t="shared" si="29"/>
        <v>Bhusawal: Unit 4-5</v>
      </c>
      <c r="C290" s="1475" t="str">
        <f t="shared" si="29"/>
        <v>MERC/CAPEX/20162017/00774</v>
      </c>
      <c r="D290" s="1473">
        <f t="shared" si="29"/>
        <v>42643</v>
      </c>
      <c r="E290" s="1476">
        <f t="shared" si="29"/>
        <v>4.0552000000000001</v>
      </c>
      <c r="F290" s="1444">
        <f t="shared" si="19"/>
        <v>0</v>
      </c>
      <c r="G290" s="1444">
        <f t="shared" si="20"/>
        <v>0</v>
      </c>
      <c r="H290" s="1476">
        <f t="shared" si="21"/>
        <v>0</v>
      </c>
      <c r="I290" s="1444">
        <v>0</v>
      </c>
      <c r="J290" s="1444">
        <v>0</v>
      </c>
      <c r="K290" s="1476"/>
      <c r="L290" s="1476"/>
      <c r="M290" s="1476">
        <f t="shared" si="26"/>
        <v>0</v>
      </c>
      <c r="N290" s="1476">
        <f t="shared" si="23"/>
        <v>0</v>
      </c>
      <c r="O290" s="1445">
        <f t="shared" si="24"/>
        <v>0</v>
      </c>
      <c r="P290" s="1377">
        <f t="shared" si="25"/>
        <v>0</v>
      </c>
    </row>
    <row r="291" spans="1:16" ht="31" outlineLevel="1">
      <c r="A291" s="1440" t="str">
        <f t="shared" si="29"/>
        <v>HO
DPR 8</v>
      </c>
      <c r="B291" s="1441" t="str">
        <f t="shared" si="29"/>
        <v>Replacement of Fire Tenders at Various Power Stations of Mahagenco</v>
      </c>
      <c r="C291" s="1442" t="str">
        <f t="shared" si="29"/>
        <v>MERC/CAPEX/20172018/4653</v>
      </c>
      <c r="D291" s="1443">
        <f t="shared" si="29"/>
        <v>43052</v>
      </c>
      <c r="E291" s="1444">
        <f t="shared" si="29"/>
        <v>3.95</v>
      </c>
      <c r="F291" s="1444">
        <f t="shared" si="19"/>
        <v>0</v>
      </c>
      <c r="G291" s="1444">
        <f t="shared" si="20"/>
        <v>0</v>
      </c>
      <c r="H291" s="1444">
        <f t="shared" si="21"/>
        <v>0</v>
      </c>
      <c r="I291" s="1444">
        <v>0</v>
      </c>
      <c r="J291" s="1444">
        <v>0</v>
      </c>
      <c r="K291" s="1444"/>
      <c r="L291" s="1444"/>
      <c r="M291" s="1444">
        <f t="shared" si="26"/>
        <v>0</v>
      </c>
      <c r="N291" s="1444">
        <f t="shared" si="23"/>
        <v>0</v>
      </c>
      <c r="O291" s="1445">
        <f t="shared" si="24"/>
        <v>0</v>
      </c>
      <c r="P291" s="1377">
        <f t="shared" si="25"/>
        <v>0</v>
      </c>
    </row>
    <row r="292" spans="1:16" ht="15.5" outlineLevel="1">
      <c r="A292" s="1450">
        <f t="shared" si="29"/>
        <v>1</v>
      </c>
      <c r="B292" s="1452" t="str">
        <f t="shared" si="29"/>
        <v>Advance Multipurpose Fire Tender for BTPS 4-5</v>
      </c>
      <c r="C292" s="1477" t="str">
        <f t="shared" si="29"/>
        <v>MERC/CAPEX/20172018/4653</v>
      </c>
      <c r="D292" s="1473">
        <f t="shared" si="29"/>
        <v>43052</v>
      </c>
      <c r="E292" s="1476">
        <f t="shared" si="29"/>
        <v>1.45</v>
      </c>
      <c r="F292" s="1444">
        <f t="shared" si="19"/>
        <v>1.7765</v>
      </c>
      <c r="G292" s="1444">
        <f t="shared" si="20"/>
        <v>1.7765</v>
      </c>
      <c r="H292" s="1476">
        <f t="shared" si="21"/>
        <v>0</v>
      </c>
      <c r="I292" s="1444">
        <v>0</v>
      </c>
      <c r="J292" s="1444">
        <v>0</v>
      </c>
      <c r="K292" s="1476"/>
      <c r="L292" s="1476"/>
      <c r="M292" s="1476">
        <f t="shared" si="26"/>
        <v>0</v>
      </c>
      <c r="N292" s="1476">
        <f t="shared" si="23"/>
        <v>0</v>
      </c>
      <c r="O292" s="1445">
        <f t="shared" si="24"/>
        <v>0</v>
      </c>
      <c r="P292" s="1377">
        <f t="shared" si="25"/>
        <v>0</v>
      </c>
    </row>
    <row r="293" spans="1:16" ht="15.5" outlineLevel="1">
      <c r="A293" s="1450">
        <f t="shared" si="29"/>
        <v>2</v>
      </c>
      <c r="B293" s="1452" t="str">
        <f t="shared" si="29"/>
        <v>Normal Multipurpose Fire Tender for BTPS 4-5</v>
      </c>
      <c r="C293" s="1477" t="str">
        <f t="shared" si="29"/>
        <v>MERC/CAPEX/20172018/4653</v>
      </c>
      <c r="D293" s="1473">
        <f t="shared" si="29"/>
        <v>43052</v>
      </c>
      <c r="E293" s="1476">
        <f t="shared" si="29"/>
        <v>2.5</v>
      </c>
      <c r="F293" s="1444">
        <f t="shared" si="19"/>
        <v>2.1846524010000001</v>
      </c>
      <c r="G293" s="1444">
        <f t="shared" si="20"/>
        <v>2.1846524010000001</v>
      </c>
      <c r="H293" s="1476">
        <f t="shared" si="21"/>
        <v>0</v>
      </c>
      <c r="I293" s="1444">
        <v>0</v>
      </c>
      <c r="J293" s="1444">
        <v>0</v>
      </c>
      <c r="K293" s="1476"/>
      <c r="L293" s="1476"/>
      <c r="M293" s="1476">
        <f t="shared" si="26"/>
        <v>0</v>
      </c>
      <c r="N293" s="1476">
        <f t="shared" si="23"/>
        <v>0</v>
      </c>
      <c r="O293" s="1445">
        <f t="shared" si="24"/>
        <v>0</v>
      </c>
      <c r="P293" s="1377">
        <f t="shared" si="25"/>
        <v>0</v>
      </c>
    </row>
    <row r="294" spans="1:16" ht="15.5" outlineLevel="1">
      <c r="A294" s="1450">
        <f t="shared" si="29"/>
        <v>0</v>
      </c>
      <c r="B294" s="1452" t="str">
        <f t="shared" si="29"/>
        <v>IDC</v>
      </c>
      <c r="C294" s="1477" t="str">
        <f t="shared" si="29"/>
        <v>MERC/CAPEX/20172018/4653</v>
      </c>
      <c r="D294" s="1473">
        <f t="shared" si="29"/>
        <v>43052</v>
      </c>
      <c r="E294" s="1476">
        <f t="shared" si="29"/>
        <v>0</v>
      </c>
      <c r="F294" s="1444">
        <f t="shared" si="19"/>
        <v>0</v>
      </c>
      <c r="G294" s="1444">
        <f t="shared" si="20"/>
        <v>0</v>
      </c>
      <c r="H294" s="1476">
        <f t="shared" si="21"/>
        <v>0</v>
      </c>
      <c r="I294" s="1444">
        <v>0</v>
      </c>
      <c r="J294" s="1444">
        <v>0</v>
      </c>
      <c r="K294" s="1476"/>
      <c r="L294" s="1476"/>
      <c r="M294" s="1476">
        <f t="shared" si="26"/>
        <v>0</v>
      </c>
      <c r="N294" s="1476">
        <f t="shared" si="23"/>
        <v>0</v>
      </c>
      <c r="O294" s="1445">
        <f t="shared" si="24"/>
        <v>0</v>
      </c>
      <c r="P294" s="1377">
        <f t="shared" si="25"/>
        <v>0</v>
      </c>
    </row>
    <row r="295" spans="1:16" ht="31" outlineLevel="1">
      <c r="A295" s="1440" t="str">
        <f t="shared" si="29"/>
        <v>HO
DPR 10</v>
      </c>
      <c r="B295" s="1441" t="str">
        <f t="shared" si="29"/>
        <v>Implementation of IB recommendations- Civil works at various TPS of Mahagenco</v>
      </c>
      <c r="C295" s="1442" t="str">
        <f t="shared" si="29"/>
        <v>MERC/CAPEX/20172018/0177</v>
      </c>
      <c r="D295" s="1443">
        <f t="shared" si="29"/>
        <v>43137</v>
      </c>
      <c r="E295" s="1444">
        <f t="shared" si="29"/>
        <v>10.065399999999999</v>
      </c>
      <c r="F295" s="1444">
        <f t="shared" si="19"/>
        <v>0</v>
      </c>
      <c r="G295" s="1444">
        <f t="shared" si="20"/>
        <v>0</v>
      </c>
      <c r="H295" s="1444">
        <f t="shared" si="21"/>
        <v>0</v>
      </c>
      <c r="I295" s="1444">
        <v>0</v>
      </c>
      <c r="J295" s="1444">
        <v>0</v>
      </c>
      <c r="K295" s="1444"/>
      <c r="L295" s="1444"/>
      <c r="M295" s="1444">
        <f t="shared" si="26"/>
        <v>0</v>
      </c>
      <c r="N295" s="1444">
        <f t="shared" si="23"/>
        <v>0</v>
      </c>
      <c r="O295" s="1445">
        <f t="shared" si="24"/>
        <v>0</v>
      </c>
      <c r="P295" s="1377">
        <f t="shared" si="25"/>
        <v>0</v>
      </c>
    </row>
    <row r="296" spans="1:16" ht="15.5" outlineLevel="1">
      <c r="A296" s="1450">
        <f t="shared" si="29"/>
        <v>1</v>
      </c>
      <c r="B296" s="1452" t="str">
        <f t="shared" si="29"/>
        <v>Bhusawal: Unit 4-5</v>
      </c>
      <c r="C296" s="1478" t="str">
        <f t="shared" si="29"/>
        <v>MERC/CAPEX/20172018/0177</v>
      </c>
      <c r="D296" s="1473">
        <f t="shared" si="29"/>
        <v>43137</v>
      </c>
      <c r="E296" s="1476">
        <f t="shared" si="29"/>
        <v>10.065399999999999</v>
      </c>
      <c r="F296" s="1444">
        <f t="shared" si="19"/>
        <v>8.795445668000001</v>
      </c>
      <c r="G296" s="1444">
        <f t="shared" si="20"/>
        <v>8.7936842300000002</v>
      </c>
      <c r="H296" s="1476">
        <f t="shared" si="21"/>
        <v>1.7614380000008367E-3</v>
      </c>
      <c r="I296" s="1444">
        <v>0.38999150599999999</v>
      </c>
      <c r="J296" s="1444">
        <v>0.38999150599999999</v>
      </c>
      <c r="K296" s="1476"/>
      <c r="L296" s="1476"/>
      <c r="M296" s="1476">
        <f t="shared" si="26"/>
        <v>0.38999150599999999</v>
      </c>
      <c r="N296" s="1476">
        <f t="shared" si="23"/>
        <v>1.7614380000008367E-3</v>
      </c>
      <c r="O296" s="1445">
        <f t="shared" si="24"/>
        <v>0.38999150599999999</v>
      </c>
      <c r="P296" s="1377">
        <f t="shared" si="25"/>
        <v>0</v>
      </c>
    </row>
    <row r="297" spans="1:16" ht="46.5" outlineLevel="1">
      <c r="A297" s="1440">
        <f t="shared" si="29"/>
        <v>18</v>
      </c>
      <c r="B297" s="1441" t="str">
        <f t="shared" si="29"/>
        <v>Procurement of assembly of baskets for Air Pre-heater of type 31.5 VIM 2000 (72° PA), Replacement of thermal insulation of Boiler, Ducts &amp; Steam Pipelines and Coal Mill Gear Box in 2x500MW at BTPS, Bhusawal</v>
      </c>
      <c r="C297" s="1442" t="str">
        <f t="shared" si="29"/>
        <v>MERC/CAPEX/2021-2022/ SBR/ 15</v>
      </c>
      <c r="D297" s="1443">
        <f t="shared" si="29"/>
        <v>44461</v>
      </c>
      <c r="E297" s="1444">
        <f t="shared" si="29"/>
        <v>14.96</v>
      </c>
      <c r="F297" s="1444">
        <f t="shared" si="19"/>
        <v>0</v>
      </c>
      <c r="G297" s="1444">
        <f t="shared" si="20"/>
        <v>0</v>
      </c>
      <c r="H297" s="1444">
        <f t="shared" si="21"/>
        <v>0</v>
      </c>
      <c r="I297" s="1444">
        <v>0</v>
      </c>
      <c r="J297" s="1444">
        <v>0</v>
      </c>
      <c r="K297" s="1444"/>
      <c r="L297" s="1444"/>
      <c r="M297" s="1444">
        <f t="shared" si="26"/>
        <v>0</v>
      </c>
      <c r="N297" s="1444">
        <f t="shared" si="23"/>
        <v>0</v>
      </c>
      <c r="O297" s="1445">
        <f t="shared" si="24"/>
        <v>0</v>
      </c>
      <c r="P297" s="1377">
        <f t="shared" si="25"/>
        <v>0</v>
      </c>
    </row>
    <row r="298" spans="1:16" ht="31" outlineLevel="1">
      <c r="A298" s="1314">
        <f t="shared" si="29"/>
        <v>18.100000000000001</v>
      </c>
      <c r="B298" s="1447" t="str">
        <f t="shared" si="29"/>
        <v>Procurement of assembly of baskets for Air Preheater of type 31.5 VIM 2000 (72° PA) for Unit-4&amp;5</v>
      </c>
      <c r="C298" s="1378" t="str">
        <f t="shared" si="29"/>
        <v>MERC/CAPEX/2021-2022/ SBR/ 15</v>
      </c>
      <c r="D298" s="1473">
        <f t="shared" si="29"/>
        <v>44461</v>
      </c>
      <c r="E298" s="305">
        <f t="shared" si="29"/>
        <v>5.53</v>
      </c>
      <c r="F298" s="1444">
        <f t="shared" si="19"/>
        <v>8.4110399999999998</v>
      </c>
      <c r="G298" s="1444">
        <f t="shared" si="20"/>
        <v>8.4110399999999998</v>
      </c>
      <c r="H298" s="305">
        <f t="shared" si="21"/>
        <v>0</v>
      </c>
      <c r="I298" s="1444">
        <v>0</v>
      </c>
      <c r="J298" s="1444">
        <v>0</v>
      </c>
      <c r="K298" s="305"/>
      <c r="L298" s="305"/>
      <c r="M298" s="305">
        <f t="shared" si="26"/>
        <v>0</v>
      </c>
      <c r="N298" s="305">
        <f t="shared" si="23"/>
        <v>0</v>
      </c>
      <c r="O298" s="1445">
        <f t="shared" si="24"/>
        <v>0</v>
      </c>
      <c r="P298" s="1377">
        <f t="shared" si="25"/>
        <v>0</v>
      </c>
    </row>
    <row r="299" spans="1:16" ht="31" outlineLevel="1">
      <c r="A299" s="1450">
        <f t="shared" si="29"/>
        <v>18.2</v>
      </c>
      <c r="B299" s="1452" t="str">
        <f t="shared" si="29"/>
        <v>Replacement of thermal insulation of Boiler, Ducts &amp; Steam Pipelines along with supply</v>
      </c>
      <c r="C299" s="1378" t="str">
        <f t="shared" si="29"/>
        <v>MERC/CAPEX/2021-2022/ SBR/ 15</v>
      </c>
      <c r="D299" s="1473">
        <f t="shared" si="29"/>
        <v>44461</v>
      </c>
      <c r="E299" s="305">
        <f t="shared" si="29"/>
        <v>3.52</v>
      </c>
      <c r="F299" s="1444">
        <f t="shared" si="19"/>
        <v>0</v>
      </c>
      <c r="G299" s="1444">
        <f t="shared" si="20"/>
        <v>0</v>
      </c>
      <c r="H299" s="305">
        <f t="shared" si="21"/>
        <v>0</v>
      </c>
      <c r="I299" s="1444">
        <v>0</v>
      </c>
      <c r="J299" s="1444">
        <v>0</v>
      </c>
      <c r="K299" s="305"/>
      <c r="L299" s="305"/>
      <c r="M299" s="305">
        <f t="shared" si="26"/>
        <v>0</v>
      </c>
      <c r="N299" s="305">
        <f t="shared" si="23"/>
        <v>0</v>
      </c>
      <c r="O299" s="1445">
        <f t="shared" si="24"/>
        <v>0</v>
      </c>
      <c r="P299" s="1377">
        <f t="shared" si="25"/>
        <v>0</v>
      </c>
    </row>
    <row r="300" spans="1:16" ht="15.5" outlineLevel="1">
      <c r="A300" s="1450">
        <f t="shared" si="29"/>
        <v>18.3</v>
      </c>
      <c r="B300" s="1452" t="str">
        <f t="shared" si="29"/>
        <v>Supply of XRP-1043 coal mill gearbox spares in unit-4&amp;5.</v>
      </c>
      <c r="C300" s="1378" t="str">
        <f t="shared" si="29"/>
        <v>MERC/CAPEX/2021-2022/ SBR/ 15</v>
      </c>
      <c r="D300" s="1473">
        <f t="shared" si="29"/>
        <v>44461</v>
      </c>
      <c r="E300" s="305">
        <f t="shared" si="29"/>
        <v>5.39</v>
      </c>
      <c r="F300" s="1444">
        <f t="shared" si="19"/>
        <v>0</v>
      </c>
      <c r="G300" s="1444">
        <f t="shared" si="20"/>
        <v>0</v>
      </c>
      <c r="H300" s="305">
        <f t="shared" si="21"/>
        <v>0</v>
      </c>
      <c r="I300" s="1444">
        <v>0</v>
      </c>
      <c r="J300" s="1444">
        <v>3.7043509000000001</v>
      </c>
      <c r="K300" s="305"/>
      <c r="L300" s="305"/>
      <c r="M300" s="305">
        <f t="shared" si="26"/>
        <v>3.7043509000000001</v>
      </c>
      <c r="N300" s="305">
        <f t="shared" si="23"/>
        <v>-3.7043509000000001</v>
      </c>
      <c r="O300" s="1445">
        <f t="shared" si="24"/>
        <v>3.7043509000000001</v>
      </c>
      <c r="P300" s="1377">
        <f t="shared" si="25"/>
        <v>0</v>
      </c>
    </row>
    <row r="301" spans="1:16" ht="15.5" outlineLevel="1">
      <c r="A301" s="1314">
        <f t="shared" si="29"/>
        <v>0</v>
      </c>
      <c r="B301" s="1452" t="str">
        <f t="shared" si="29"/>
        <v>IDC</v>
      </c>
      <c r="C301" s="1378" t="str">
        <f t="shared" si="29"/>
        <v>MERC/CAPEX/2021-2022/ SBR/ 15</v>
      </c>
      <c r="D301" s="1473">
        <f t="shared" si="29"/>
        <v>44461</v>
      </c>
      <c r="E301" s="305">
        <f t="shared" si="29"/>
        <v>0.52</v>
      </c>
      <c r="F301" s="1444">
        <f t="shared" si="19"/>
        <v>0</v>
      </c>
      <c r="G301" s="1444">
        <f t="shared" si="20"/>
        <v>0</v>
      </c>
      <c r="H301" s="305">
        <f t="shared" si="21"/>
        <v>0</v>
      </c>
      <c r="I301" s="1444">
        <v>0</v>
      </c>
      <c r="J301" s="1444">
        <v>0</v>
      </c>
      <c r="K301" s="305"/>
      <c r="L301" s="305"/>
      <c r="M301" s="305">
        <f t="shared" si="26"/>
        <v>0</v>
      </c>
      <c r="N301" s="305">
        <f t="shared" si="23"/>
        <v>0</v>
      </c>
      <c r="O301" s="1445">
        <f t="shared" si="24"/>
        <v>0</v>
      </c>
      <c r="P301" s="1377">
        <f t="shared" si="25"/>
        <v>0</v>
      </c>
    </row>
    <row r="302" spans="1:16" ht="46.5" outlineLevel="1">
      <c r="A302" s="1440">
        <f t="shared" si="29"/>
        <v>19</v>
      </c>
      <c r="B302" s="1441" t="str">
        <f t="shared" si="29"/>
        <v>Up-gradation of Operating System of Max DNA DCS, GE Fanuc PLC system &amp; Schneider PLC system &amp; Procurement of Critical Insurance spares for PA and FD fans System at 2 x 500 MW Units BTPS Bhusawal</v>
      </c>
      <c r="C302" s="1442" t="str">
        <f t="shared" si="29"/>
        <v>MERC/CAPEX/2023-2024/0178</v>
      </c>
      <c r="D302" s="1443">
        <f t="shared" si="29"/>
        <v>45362</v>
      </c>
      <c r="E302" s="1444">
        <f t="shared" si="29"/>
        <v>31.049999999999997</v>
      </c>
      <c r="F302" s="1444">
        <f t="shared" si="19"/>
        <v>0</v>
      </c>
      <c r="G302" s="1444">
        <f t="shared" si="20"/>
        <v>0</v>
      </c>
      <c r="H302" s="1444">
        <f t="shared" si="21"/>
        <v>0</v>
      </c>
      <c r="I302" s="1444">
        <v>0</v>
      </c>
      <c r="J302" s="1444">
        <v>0</v>
      </c>
      <c r="K302" s="1444"/>
      <c r="L302" s="1444"/>
      <c r="M302" s="1444">
        <f t="shared" si="26"/>
        <v>0</v>
      </c>
      <c r="N302" s="1444">
        <f t="shared" si="23"/>
        <v>0</v>
      </c>
      <c r="O302" s="1445">
        <f t="shared" si="24"/>
        <v>0</v>
      </c>
      <c r="P302" s="1377">
        <f t="shared" si="25"/>
        <v>0</v>
      </c>
    </row>
    <row r="303" spans="1:16" ht="15.5" outlineLevel="1">
      <c r="A303" s="1450">
        <f t="shared" si="29"/>
        <v>19.100000000000001</v>
      </c>
      <c r="B303" s="1452" t="str">
        <f t="shared" si="29"/>
        <v>Up-gradation of Existing MaxDNA System (HMI) at 500MW BTPS, Bhusawal</v>
      </c>
      <c r="C303" s="1378" t="str">
        <f t="shared" si="29"/>
        <v>MERC/CAPEX/2023-2024/0178</v>
      </c>
      <c r="D303" s="1473">
        <f t="shared" si="29"/>
        <v>45362</v>
      </c>
      <c r="E303" s="305">
        <f t="shared" si="29"/>
        <v>8.69</v>
      </c>
      <c r="F303" s="1444">
        <f t="shared" si="19"/>
        <v>0</v>
      </c>
      <c r="G303" s="1444">
        <f t="shared" si="20"/>
        <v>0</v>
      </c>
      <c r="H303" s="305">
        <f t="shared" si="21"/>
        <v>0</v>
      </c>
      <c r="I303" s="1444">
        <v>0</v>
      </c>
      <c r="J303" s="1444">
        <v>0</v>
      </c>
      <c r="K303" s="305"/>
      <c r="L303" s="305"/>
      <c r="M303" s="305">
        <f t="shared" si="26"/>
        <v>0</v>
      </c>
      <c r="N303" s="305">
        <f t="shared" si="23"/>
        <v>0</v>
      </c>
      <c r="O303" s="1445">
        <f t="shared" si="24"/>
        <v>0</v>
      </c>
      <c r="P303" s="1377">
        <f t="shared" si="25"/>
        <v>0</v>
      </c>
    </row>
    <row r="304" spans="1:16" ht="31" outlineLevel="1">
      <c r="A304" s="1450">
        <f t="shared" ref="A304:E319" si="30">A74</f>
        <v>19.2</v>
      </c>
      <c r="B304" s="1452" t="str">
        <f t="shared" si="30"/>
        <v>Up-gradation of GE IP (GE-Fanuc) make PLC system (HMI) installed at AHP, CPU plant, FOPH, FWPH and Mill Reject system at 2x500MW BTPS, Bhusawal.</v>
      </c>
      <c r="C304" s="1378" t="str">
        <f t="shared" si="30"/>
        <v>MERC/CAPEX/2023-2024/0178</v>
      </c>
      <c r="D304" s="1473">
        <f t="shared" si="30"/>
        <v>45362</v>
      </c>
      <c r="E304" s="305">
        <f t="shared" si="30"/>
        <v>1.35</v>
      </c>
      <c r="F304" s="1444">
        <f t="shared" ref="F304:F367" si="31">F74+I74</f>
        <v>0</v>
      </c>
      <c r="G304" s="1444">
        <f t="shared" ref="G304:G367" si="32">G74+M74</f>
        <v>0</v>
      </c>
      <c r="H304" s="305">
        <f t="shared" ref="H304:H367" si="33">F304-G304</f>
        <v>0</v>
      </c>
      <c r="I304" s="1444">
        <v>0</v>
      </c>
      <c r="J304" s="1444">
        <v>0</v>
      </c>
      <c r="K304" s="305"/>
      <c r="L304" s="305"/>
      <c r="M304" s="305">
        <f t="shared" si="26"/>
        <v>0</v>
      </c>
      <c r="N304" s="305">
        <f t="shared" ref="N304:N367" si="34">H304+I304-M304</f>
        <v>0</v>
      </c>
      <c r="O304" s="1445">
        <f t="shared" ref="O304:O314" si="35">MAX(0,IF(M304=0,0,IF(G304+M304&lt;E304,M304,E304-G304)))</f>
        <v>0</v>
      </c>
      <c r="P304" s="1377">
        <f t="shared" ref="P304:P314" si="36">M304-O304</f>
        <v>0</v>
      </c>
    </row>
    <row r="305" spans="1:16" ht="15.5" outlineLevel="1">
      <c r="A305" s="1450">
        <f t="shared" si="30"/>
        <v>19.3</v>
      </c>
      <c r="B305" s="1452" t="str">
        <f t="shared" si="30"/>
        <v>Up-gradation of Schneider PLC System at 2x500MW, BTPS, Bhusawal</v>
      </c>
      <c r="C305" s="1442" t="str">
        <f t="shared" si="30"/>
        <v>MERC/CAPEX/2023-2024/0178</v>
      </c>
      <c r="D305" s="1443">
        <f t="shared" si="30"/>
        <v>45362</v>
      </c>
      <c r="E305" s="1444">
        <f t="shared" si="30"/>
        <v>2.33</v>
      </c>
      <c r="F305" s="1444">
        <f t="shared" si="31"/>
        <v>0</v>
      </c>
      <c r="G305" s="1444">
        <f t="shared" si="32"/>
        <v>0</v>
      </c>
      <c r="H305" s="1444">
        <f t="shared" si="33"/>
        <v>0</v>
      </c>
      <c r="I305" s="1444">
        <v>0</v>
      </c>
      <c r="J305" s="1444">
        <v>0</v>
      </c>
      <c r="K305" s="1444"/>
      <c r="L305" s="1444"/>
      <c r="M305" s="1444">
        <f t="shared" ref="M305:M388" si="37">SUM(J305:L305)</f>
        <v>0</v>
      </c>
      <c r="N305" s="1444">
        <f t="shared" si="34"/>
        <v>0</v>
      </c>
      <c r="O305" s="1445">
        <f t="shared" si="35"/>
        <v>0</v>
      </c>
      <c r="P305" s="1377">
        <f t="shared" si="36"/>
        <v>0</v>
      </c>
    </row>
    <row r="306" spans="1:16" ht="31" outlineLevel="1">
      <c r="A306" s="1450">
        <f t="shared" si="30"/>
        <v>19.399999999999999</v>
      </c>
      <c r="B306" s="1452" t="str">
        <f t="shared" si="30"/>
        <v>Procurement of Rotor assembly with blade set for PA and FD fan at 2 X 500 MW BTPS Bhusawal</v>
      </c>
      <c r="C306" s="1475" t="str">
        <f t="shared" si="30"/>
        <v>MERC/CAPEX/2023-2024/0178</v>
      </c>
      <c r="D306" s="1473">
        <f t="shared" si="30"/>
        <v>45362</v>
      </c>
      <c r="E306" s="1476">
        <f t="shared" si="30"/>
        <v>18.18</v>
      </c>
      <c r="F306" s="1444">
        <f t="shared" si="31"/>
        <v>0</v>
      </c>
      <c r="G306" s="1444">
        <f t="shared" si="32"/>
        <v>0</v>
      </c>
      <c r="H306" s="1476">
        <f t="shared" si="33"/>
        <v>0</v>
      </c>
      <c r="I306" s="1444">
        <v>0</v>
      </c>
      <c r="J306" s="1444">
        <v>0</v>
      </c>
      <c r="K306" s="1476"/>
      <c r="L306" s="1476"/>
      <c r="M306" s="1476">
        <f t="shared" si="37"/>
        <v>0</v>
      </c>
      <c r="N306" s="1476">
        <f t="shared" si="34"/>
        <v>0</v>
      </c>
      <c r="O306" s="1445">
        <f t="shared" si="35"/>
        <v>0</v>
      </c>
      <c r="P306" s="1377">
        <f t="shared" si="36"/>
        <v>0</v>
      </c>
    </row>
    <row r="307" spans="1:16" ht="15.5" outlineLevel="1">
      <c r="A307" s="1314">
        <f t="shared" si="30"/>
        <v>0</v>
      </c>
      <c r="B307" s="1452" t="str">
        <f t="shared" si="30"/>
        <v>IDC</v>
      </c>
      <c r="C307" s="1475" t="str">
        <f t="shared" si="30"/>
        <v>MERC/CAPEX/2023-2024/0178</v>
      </c>
      <c r="D307" s="1473">
        <f t="shared" si="30"/>
        <v>45362</v>
      </c>
      <c r="E307" s="1476">
        <f t="shared" si="30"/>
        <v>0.5</v>
      </c>
      <c r="F307" s="1444">
        <f t="shared" si="31"/>
        <v>0</v>
      </c>
      <c r="G307" s="1444">
        <f t="shared" si="32"/>
        <v>0</v>
      </c>
      <c r="H307" s="1476">
        <f t="shared" si="33"/>
        <v>0</v>
      </c>
      <c r="I307" s="1444">
        <v>0</v>
      </c>
      <c r="J307" s="1444">
        <v>0</v>
      </c>
      <c r="K307" s="1476"/>
      <c r="L307" s="1476"/>
      <c r="M307" s="1476">
        <f t="shared" si="37"/>
        <v>0</v>
      </c>
      <c r="N307" s="1476">
        <f t="shared" si="34"/>
        <v>0</v>
      </c>
      <c r="O307" s="1445">
        <f t="shared" si="35"/>
        <v>0</v>
      </c>
      <c r="P307" s="1377">
        <f t="shared" si="36"/>
        <v>0</v>
      </c>
    </row>
    <row r="308" spans="1:16" ht="31" outlineLevel="1">
      <c r="A308" s="1440" t="str">
        <f t="shared" si="30"/>
        <v>HO
DPR 13</v>
      </c>
      <c r="B308" s="1441" t="str">
        <f t="shared" si="30"/>
        <v>Construction of new Administrative Building for Mahagenco at Vidyut Bhawan, Katol Road, Nagpur</v>
      </c>
      <c r="C308" s="1475" t="str">
        <f t="shared" si="30"/>
        <v>MERC/CAPEX/2021-2022/MSPGCL/063</v>
      </c>
      <c r="D308" s="1473">
        <f t="shared" si="30"/>
        <v>44604</v>
      </c>
      <c r="E308" s="1476">
        <f t="shared" si="30"/>
        <v>57</v>
      </c>
      <c r="F308" s="1444">
        <f t="shared" si="31"/>
        <v>0</v>
      </c>
      <c r="G308" s="1444">
        <f t="shared" si="32"/>
        <v>0</v>
      </c>
      <c r="H308" s="1476">
        <f t="shared" si="33"/>
        <v>0</v>
      </c>
      <c r="I308" s="1444">
        <v>0</v>
      </c>
      <c r="J308" s="1444">
        <v>0</v>
      </c>
      <c r="K308" s="1476"/>
      <c r="L308" s="1476"/>
      <c r="M308" s="1476">
        <f t="shared" si="37"/>
        <v>0</v>
      </c>
      <c r="N308" s="1476">
        <f t="shared" si="34"/>
        <v>0</v>
      </c>
      <c r="O308" s="1445">
        <f t="shared" si="35"/>
        <v>0</v>
      </c>
      <c r="P308" s="1377">
        <f t="shared" si="36"/>
        <v>0</v>
      </c>
    </row>
    <row r="309" spans="1:16" ht="31" outlineLevel="1">
      <c r="A309" s="1446">
        <f t="shared" si="30"/>
        <v>1</v>
      </c>
      <c r="B309" s="1447" t="str">
        <f t="shared" si="30"/>
        <v>Construction of new Administrative Building for Mahagenco at Vidyut Bhawan, Katol Road, Nagpur</v>
      </c>
      <c r="C309" s="1475" t="str">
        <f t="shared" si="30"/>
        <v>MERC/CAPEX/2021-2022/MSPGCL/063</v>
      </c>
      <c r="D309" s="1473">
        <f t="shared" si="30"/>
        <v>44604</v>
      </c>
      <c r="E309" s="1476">
        <f t="shared" si="30"/>
        <v>54.24</v>
      </c>
      <c r="F309" s="1444">
        <f t="shared" si="31"/>
        <v>0</v>
      </c>
      <c r="G309" s="1444">
        <f t="shared" si="32"/>
        <v>0</v>
      </c>
      <c r="H309" s="1476">
        <f t="shared" si="33"/>
        <v>0</v>
      </c>
      <c r="I309" s="1444">
        <v>0</v>
      </c>
      <c r="J309" s="1444">
        <v>0</v>
      </c>
      <c r="K309" s="1476"/>
      <c r="L309" s="1476"/>
      <c r="M309" s="1476">
        <f t="shared" si="37"/>
        <v>0</v>
      </c>
      <c r="N309" s="1476">
        <f t="shared" si="34"/>
        <v>0</v>
      </c>
      <c r="O309" s="1445">
        <f t="shared" si="35"/>
        <v>0</v>
      </c>
      <c r="P309" s="1377">
        <f t="shared" si="36"/>
        <v>0</v>
      </c>
    </row>
    <row r="310" spans="1:16" ht="31" outlineLevel="1">
      <c r="A310" s="1446">
        <f t="shared" si="30"/>
        <v>0</v>
      </c>
      <c r="B310" s="1447" t="str">
        <f t="shared" si="30"/>
        <v>IDC</v>
      </c>
      <c r="C310" s="1442" t="str">
        <f t="shared" si="30"/>
        <v>MERC/CAPEX/2021-2022/MSPGCL/063</v>
      </c>
      <c r="D310" s="1443">
        <f t="shared" si="30"/>
        <v>44604</v>
      </c>
      <c r="E310" s="1444">
        <f t="shared" si="30"/>
        <v>2.76</v>
      </c>
      <c r="F310" s="1444">
        <f t="shared" si="31"/>
        <v>0</v>
      </c>
      <c r="G310" s="1444">
        <f t="shared" si="32"/>
        <v>0</v>
      </c>
      <c r="H310" s="1444">
        <f t="shared" si="33"/>
        <v>0</v>
      </c>
      <c r="I310" s="1444">
        <v>0</v>
      </c>
      <c r="J310" s="1444">
        <v>0</v>
      </c>
      <c r="K310" s="1444"/>
      <c r="L310" s="1444"/>
      <c r="M310" s="1444">
        <f t="shared" si="37"/>
        <v>0</v>
      </c>
      <c r="N310" s="1444">
        <f t="shared" si="34"/>
        <v>0</v>
      </c>
      <c r="O310" s="1445">
        <f t="shared" si="35"/>
        <v>0</v>
      </c>
      <c r="P310" s="1377">
        <f t="shared" si="36"/>
        <v>0</v>
      </c>
    </row>
    <row r="311" spans="1:16" ht="31" outlineLevel="1">
      <c r="A311" s="1440" t="str">
        <f t="shared" si="30"/>
        <v>HO
DPR 16</v>
      </c>
      <c r="B311" s="1441" t="str">
        <f t="shared" si="30"/>
        <v>Centralized Monitoring Solution</v>
      </c>
      <c r="C311" s="1475" t="str">
        <f t="shared" si="30"/>
        <v>MERC/CAPEX/MSPGCL/2023-24/0576</v>
      </c>
      <c r="D311" s="1473">
        <f t="shared" si="30"/>
        <v>45232</v>
      </c>
      <c r="E311" s="1476">
        <f t="shared" si="30"/>
        <v>69.308999999999997</v>
      </c>
      <c r="F311" s="1444">
        <f t="shared" si="31"/>
        <v>0</v>
      </c>
      <c r="G311" s="1444">
        <f t="shared" si="32"/>
        <v>0</v>
      </c>
      <c r="H311" s="1476">
        <f t="shared" si="33"/>
        <v>0</v>
      </c>
      <c r="I311" s="1444">
        <v>0</v>
      </c>
      <c r="J311" s="1444">
        <v>0</v>
      </c>
      <c r="K311" s="1476"/>
      <c r="L311" s="1476"/>
      <c r="M311" s="1476">
        <f t="shared" si="37"/>
        <v>0</v>
      </c>
      <c r="N311" s="1476">
        <f t="shared" si="34"/>
        <v>0</v>
      </c>
      <c r="O311" s="1445">
        <f t="shared" si="35"/>
        <v>0</v>
      </c>
      <c r="P311" s="1377">
        <f t="shared" si="36"/>
        <v>0</v>
      </c>
    </row>
    <row r="312" spans="1:16" ht="15.5" outlineLevel="1">
      <c r="A312" s="1446">
        <f t="shared" si="30"/>
        <v>1</v>
      </c>
      <c r="B312" s="1447" t="str">
        <f t="shared" si="30"/>
        <v>Centralized Monitoring Solution</v>
      </c>
      <c r="C312" s="1475" t="str">
        <f t="shared" si="30"/>
        <v>MERC/CAPEX/MSPGCL/2023-24/0576</v>
      </c>
      <c r="D312" s="1473">
        <f t="shared" si="30"/>
        <v>45232</v>
      </c>
      <c r="E312" s="1476">
        <f t="shared" si="30"/>
        <v>66.009</v>
      </c>
      <c r="F312" s="1444">
        <f t="shared" si="31"/>
        <v>0</v>
      </c>
      <c r="G312" s="1444">
        <f t="shared" si="32"/>
        <v>0</v>
      </c>
      <c r="H312" s="1476">
        <f t="shared" si="33"/>
        <v>0</v>
      </c>
      <c r="I312" s="1444">
        <v>0</v>
      </c>
      <c r="J312" s="1444">
        <v>0</v>
      </c>
      <c r="K312" s="1476"/>
      <c r="L312" s="1476"/>
      <c r="M312" s="1476">
        <f t="shared" si="37"/>
        <v>0</v>
      </c>
      <c r="N312" s="1476">
        <f t="shared" si="34"/>
        <v>0</v>
      </c>
      <c r="O312" s="1445">
        <f t="shared" si="35"/>
        <v>0</v>
      </c>
      <c r="P312" s="1377">
        <f t="shared" si="36"/>
        <v>0</v>
      </c>
    </row>
    <row r="313" spans="1:16" ht="15.5" outlineLevel="1">
      <c r="A313" s="1446">
        <f t="shared" si="30"/>
        <v>0</v>
      </c>
      <c r="B313" s="1447" t="str">
        <f t="shared" si="30"/>
        <v>IDC</v>
      </c>
      <c r="C313" s="1475" t="str">
        <f t="shared" si="30"/>
        <v>MERC/CAPEX/MSPGCL/2023-24/0576</v>
      </c>
      <c r="D313" s="1473">
        <f t="shared" si="30"/>
        <v>45232</v>
      </c>
      <c r="E313" s="1476">
        <f t="shared" si="30"/>
        <v>3.3</v>
      </c>
      <c r="F313" s="1444">
        <f t="shared" si="31"/>
        <v>0</v>
      </c>
      <c r="G313" s="1444">
        <f t="shared" si="32"/>
        <v>0</v>
      </c>
      <c r="H313" s="1476">
        <f t="shared" si="33"/>
        <v>0</v>
      </c>
      <c r="I313" s="1444">
        <v>0</v>
      </c>
      <c r="J313" s="1444">
        <v>0</v>
      </c>
      <c r="K313" s="1476"/>
      <c r="L313" s="1476"/>
      <c r="M313" s="1476">
        <f t="shared" si="37"/>
        <v>0</v>
      </c>
      <c r="N313" s="1476">
        <f t="shared" si="34"/>
        <v>0</v>
      </c>
      <c r="O313" s="1445">
        <f t="shared" si="35"/>
        <v>0</v>
      </c>
      <c r="P313" s="1377">
        <f t="shared" si="36"/>
        <v>0</v>
      </c>
    </row>
    <row r="314" spans="1:16" ht="31" outlineLevel="1">
      <c r="A314" s="1440">
        <f t="shared" si="30"/>
        <v>20</v>
      </c>
      <c r="B314" s="1441" t="str">
        <f t="shared" si="30"/>
        <v>Improvement of Loadability and Availability of Coal Handling Plant at BTPS, Bhusawal</v>
      </c>
      <c r="C314" s="1475" t="str">
        <f t="shared" si="30"/>
        <v>MERC/CAPEX/MSPGCL/2024-25/0309</v>
      </c>
      <c r="D314" s="1473">
        <f t="shared" si="30"/>
        <v>45429</v>
      </c>
      <c r="E314" s="1476">
        <f t="shared" si="30"/>
        <v>0</v>
      </c>
      <c r="F314" s="1444">
        <f t="shared" si="31"/>
        <v>0</v>
      </c>
      <c r="G314" s="1444">
        <f t="shared" si="32"/>
        <v>0</v>
      </c>
      <c r="H314" s="1476">
        <f t="shared" si="33"/>
        <v>0</v>
      </c>
      <c r="I314" s="1444">
        <v>0</v>
      </c>
      <c r="J314" s="1444">
        <v>0</v>
      </c>
      <c r="K314" s="1476"/>
      <c r="L314" s="1476"/>
      <c r="M314" s="1476">
        <f t="shared" si="37"/>
        <v>0</v>
      </c>
      <c r="N314" s="1476">
        <f t="shared" si="34"/>
        <v>0</v>
      </c>
      <c r="O314" s="1445">
        <f t="shared" si="35"/>
        <v>0</v>
      </c>
      <c r="P314" s="1377">
        <f t="shared" si="36"/>
        <v>0</v>
      </c>
    </row>
    <row r="315" spans="1:16" ht="46.5" outlineLevel="1">
      <c r="A315" s="1446">
        <f t="shared" si="30"/>
        <v>20.100000000000001</v>
      </c>
      <c r="B315" s="1447" t="str">
        <f t="shared" si="30"/>
        <v>Scheme-1:-Design Engineering, Supply, Erection, commissioning, Extension of travel Length &amp; Capacity Enhancement of coal yard with additional drive system of stacker reclaimer conveyor No. 110 at in coal handling Plant BTPS.</v>
      </c>
      <c r="C315" s="1475" t="str">
        <f t="shared" si="30"/>
        <v>MERC/CAPEX/MSPGCL/2024-25/0309</v>
      </c>
      <c r="D315" s="1473">
        <f t="shared" si="30"/>
        <v>45429</v>
      </c>
      <c r="E315" s="1476">
        <f t="shared" si="30"/>
        <v>14.27</v>
      </c>
      <c r="F315" s="1444">
        <f t="shared" si="31"/>
        <v>0</v>
      </c>
      <c r="G315" s="1444">
        <f t="shared" si="32"/>
        <v>0</v>
      </c>
      <c r="H315" s="1476">
        <f t="shared" si="33"/>
        <v>0</v>
      </c>
      <c r="I315" s="1444">
        <v>0</v>
      </c>
      <c r="J315" s="1444">
        <v>0</v>
      </c>
      <c r="K315" s="1476"/>
      <c r="L315" s="1476"/>
      <c r="M315" s="1476">
        <f t="shared" ref="M315:M334" si="38">SUM(J315:L315)</f>
        <v>0</v>
      </c>
      <c r="N315" s="1476">
        <f t="shared" si="34"/>
        <v>0</v>
      </c>
      <c r="O315" s="1445"/>
      <c r="P315" s="1377"/>
    </row>
    <row r="316" spans="1:16" ht="31" outlineLevel="1">
      <c r="A316" s="1446">
        <f t="shared" si="30"/>
        <v>20.2</v>
      </c>
      <c r="B316" s="1447" t="str">
        <f t="shared" si="30"/>
        <v>Scheme-2:-Design, Engineering, Rectification, Erection &amp; Commissioning of Z point at Conveyor 108A &amp; B at CHP-500MW.</v>
      </c>
      <c r="C316" s="1475" t="str">
        <f t="shared" si="30"/>
        <v>MERC/CAPEX/MSPGCL/2024-25/0309</v>
      </c>
      <c r="D316" s="1473">
        <f t="shared" si="30"/>
        <v>45429</v>
      </c>
      <c r="E316" s="1476">
        <f t="shared" si="30"/>
        <v>8.18</v>
      </c>
      <c r="F316" s="1444">
        <f t="shared" si="31"/>
        <v>0</v>
      </c>
      <c r="G316" s="1444">
        <f t="shared" si="32"/>
        <v>0</v>
      </c>
      <c r="H316" s="1476">
        <f t="shared" si="33"/>
        <v>0</v>
      </c>
      <c r="I316" s="1444">
        <v>0</v>
      </c>
      <c r="J316" s="1444">
        <v>0</v>
      </c>
      <c r="K316" s="1476"/>
      <c r="L316" s="1476"/>
      <c r="M316" s="1476">
        <f t="shared" si="38"/>
        <v>0</v>
      </c>
      <c r="N316" s="1476">
        <f t="shared" si="34"/>
        <v>0</v>
      </c>
      <c r="O316" s="1445"/>
      <c r="P316" s="1377"/>
    </row>
    <row r="317" spans="1:16" ht="31" outlineLevel="1">
      <c r="A317" s="1446">
        <f t="shared" si="30"/>
        <v>20.3</v>
      </c>
      <c r="B317" s="1447" t="str">
        <f t="shared" si="30"/>
        <v>Scheme-3:-Design, Engineering and provision of material lifting arrangement for crusher floor, wobbler feeder  &amp; C-105 floor In CHP BTPS.</v>
      </c>
      <c r="C317" s="1475" t="str">
        <f t="shared" si="30"/>
        <v>MERC/CAPEX/MSPGCL/2024-25/0309</v>
      </c>
      <c r="D317" s="1473">
        <f t="shared" si="30"/>
        <v>45429</v>
      </c>
      <c r="E317" s="1476">
        <f t="shared" si="30"/>
        <v>1.88</v>
      </c>
      <c r="F317" s="1444">
        <f t="shared" si="31"/>
        <v>0</v>
      </c>
      <c r="G317" s="1444">
        <f t="shared" si="32"/>
        <v>0</v>
      </c>
      <c r="H317" s="1476">
        <f t="shared" si="33"/>
        <v>0</v>
      </c>
      <c r="I317" s="1444">
        <v>0</v>
      </c>
      <c r="J317" s="1444">
        <v>0</v>
      </c>
      <c r="K317" s="1476"/>
      <c r="L317" s="1476"/>
      <c r="M317" s="1476">
        <f t="shared" si="38"/>
        <v>0</v>
      </c>
      <c r="N317" s="1476">
        <f t="shared" si="34"/>
        <v>0</v>
      </c>
      <c r="O317" s="1445"/>
      <c r="P317" s="1377"/>
    </row>
    <row r="318" spans="1:16" ht="31" outlineLevel="1">
      <c r="A318" s="1446">
        <f t="shared" si="30"/>
        <v>20.399999999999999</v>
      </c>
      <c r="B318" s="1447" t="str">
        <f t="shared" si="30"/>
        <v>Scheme-4:-Structural up-gradation and rehabilitation of reversible yard conveyor in coal handling plant.</v>
      </c>
      <c r="C318" s="1475" t="str">
        <f t="shared" si="30"/>
        <v>MERC/CAPEX/MSPGCL/2024-25/0309</v>
      </c>
      <c r="D318" s="1473">
        <f t="shared" si="30"/>
        <v>45429</v>
      </c>
      <c r="E318" s="1476">
        <f t="shared" si="30"/>
        <v>4.21</v>
      </c>
      <c r="F318" s="1444">
        <f t="shared" si="31"/>
        <v>0</v>
      </c>
      <c r="G318" s="1444">
        <f t="shared" si="32"/>
        <v>0</v>
      </c>
      <c r="H318" s="1476">
        <f t="shared" si="33"/>
        <v>0</v>
      </c>
      <c r="I318" s="1444">
        <v>0</v>
      </c>
      <c r="J318" s="1444">
        <v>0</v>
      </c>
      <c r="K318" s="1476"/>
      <c r="L318" s="1476"/>
      <c r="M318" s="1476">
        <f t="shared" si="38"/>
        <v>0</v>
      </c>
      <c r="N318" s="1476">
        <f t="shared" si="34"/>
        <v>0</v>
      </c>
      <c r="O318" s="1445"/>
      <c r="P318" s="1377"/>
    </row>
    <row r="319" spans="1:16" ht="31" outlineLevel="1">
      <c r="A319" s="1446">
        <f t="shared" si="30"/>
        <v>20.5</v>
      </c>
      <c r="B319" s="1447" t="str">
        <f t="shared" si="30"/>
        <v>Scheme-5:-Design, Engineering, Erection and commissioning of Receiving and discharge chutes of wobbler feeders in CHP BTPS.</v>
      </c>
      <c r="C319" s="1475" t="str">
        <f t="shared" si="30"/>
        <v>MERC/CAPEX/MSPGCL/2024-25/0309</v>
      </c>
      <c r="D319" s="1473">
        <f t="shared" si="30"/>
        <v>45429</v>
      </c>
      <c r="E319" s="1476">
        <f t="shared" si="30"/>
        <v>6.25</v>
      </c>
      <c r="F319" s="1444">
        <f t="shared" si="31"/>
        <v>0</v>
      </c>
      <c r="G319" s="1444">
        <f t="shared" si="32"/>
        <v>0</v>
      </c>
      <c r="H319" s="1476">
        <f t="shared" si="33"/>
        <v>0</v>
      </c>
      <c r="I319" s="1444">
        <v>0</v>
      </c>
      <c r="J319" s="1444">
        <v>0</v>
      </c>
      <c r="K319" s="1476"/>
      <c r="L319" s="1476"/>
      <c r="M319" s="1476">
        <f t="shared" si="38"/>
        <v>0</v>
      </c>
      <c r="N319" s="1476">
        <f t="shared" si="34"/>
        <v>0</v>
      </c>
      <c r="O319" s="1445"/>
      <c r="P319" s="1377"/>
    </row>
    <row r="320" spans="1:16" ht="15.5" outlineLevel="1">
      <c r="A320" s="1446">
        <f t="shared" ref="A320:E335" si="39">A90</f>
        <v>20.6</v>
      </c>
      <c r="B320" s="1447" t="str">
        <f t="shared" si="39"/>
        <v>Scheme-6: Procurement of 3 Nos. of Bulldozers at BTPS, Bhusawal.</v>
      </c>
      <c r="C320" s="1475" t="str">
        <f t="shared" si="39"/>
        <v>MERC/CAPEX/MSPGCL/2024-25/0309</v>
      </c>
      <c r="D320" s="1473">
        <f t="shared" si="39"/>
        <v>45429</v>
      </c>
      <c r="E320" s="1476">
        <f t="shared" si="39"/>
        <v>7.35</v>
      </c>
      <c r="F320" s="1444">
        <f t="shared" si="31"/>
        <v>0</v>
      </c>
      <c r="G320" s="1444">
        <f t="shared" si="32"/>
        <v>0</v>
      </c>
      <c r="H320" s="1476">
        <f t="shared" si="33"/>
        <v>0</v>
      </c>
      <c r="I320" s="1444">
        <v>0</v>
      </c>
      <c r="J320" s="1444">
        <v>0</v>
      </c>
      <c r="K320" s="1476"/>
      <c r="L320" s="1476"/>
      <c r="M320" s="1476">
        <f t="shared" si="38"/>
        <v>0</v>
      </c>
      <c r="N320" s="1476">
        <f t="shared" si="34"/>
        <v>0</v>
      </c>
      <c r="O320" s="1445"/>
      <c r="P320" s="1377"/>
    </row>
    <row r="321" spans="1:16" ht="15.5" outlineLevel="1">
      <c r="A321" s="1446">
        <f t="shared" si="39"/>
        <v>0</v>
      </c>
      <c r="B321" s="1447" t="str">
        <f t="shared" si="39"/>
        <v>IDC</v>
      </c>
      <c r="C321" s="1475">
        <f t="shared" si="39"/>
        <v>0</v>
      </c>
      <c r="D321" s="1473" t="str">
        <f t="shared" si="39"/>
        <v>-</v>
      </c>
      <c r="E321" s="1476">
        <f t="shared" si="39"/>
        <v>0</v>
      </c>
      <c r="F321" s="1444">
        <f t="shared" si="31"/>
        <v>0</v>
      </c>
      <c r="G321" s="1444">
        <f t="shared" si="32"/>
        <v>0</v>
      </c>
      <c r="H321" s="1476">
        <f t="shared" si="33"/>
        <v>0</v>
      </c>
      <c r="I321" s="1444">
        <v>0</v>
      </c>
      <c r="J321" s="1444">
        <v>0</v>
      </c>
      <c r="K321" s="1476"/>
      <c r="L321" s="1476"/>
      <c r="M321" s="1476">
        <f t="shared" si="38"/>
        <v>0</v>
      </c>
      <c r="N321" s="1476">
        <f t="shared" si="34"/>
        <v>0</v>
      </c>
      <c r="O321" s="1445"/>
      <c r="P321" s="1377"/>
    </row>
    <row r="322" spans="1:16" ht="15.5" outlineLevel="1">
      <c r="A322" s="1440">
        <f t="shared" si="39"/>
        <v>21</v>
      </c>
      <c r="B322" s="1441" t="str">
        <f t="shared" si="39"/>
        <v>Performance Improvement of Coal Handling Plant at BTPS-U4 &amp; 5, Bhusawal</v>
      </c>
      <c r="C322" s="1475" t="str">
        <f t="shared" si="39"/>
        <v>MERC/CAPEX/MSPGCL/2024-25/0310</v>
      </c>
      <c r="D322" s="1473" t="str">
        <f t="shared" si="39"/>
        <v>-</v>
      </c>
      <c r="E322" s="1476">
        <f t="shared" si="39"/>
        <v>0</v>
      </c>
      <c r="F322" s="1444">
        <f t="shared" si="31"/>
        <v>0</v>
      </c>
      <c r="G322" s="1444">
        <f t="shared" si="32"/>
        <v>0</v>
      </c>
      <c r="H322" s="1476">
        <f t="shared" si="33"/>
        <v>0</v>
      </c>
      <c r="I322" s="1444">
        <v>0</v>
      </c>
      <c r="J322" s="1444">
        <v>0</v>
      </c>
      <c r="K322" s="1476"/>
      <c r="L322" s="1476"/>
      <c r="M322" s="1476">
        <f t="shared" si="38"/>
        <v>0</v>
      </c>
      <c r="N322" s="1476">
        <f t="shared" si="34"/>
        <v>0</v>
      </c>
      <c r="O322" s="1445"/>
      <c r="P322" s="1377"/>
    </row>
    <row r="323" spans="1:16" ht="31" outlineLevel="1">
      <c r="A323" s="1446">
        <f t="shared" si="39"/>
        <v>21.1</v>
      </c>
      <c r="B323" s="1447" t="str">
        <f t="shared" si="39"/>
        <v>Scheme-1: Revamping, Modification of Gravity take-up and Drive Augmentation of Bunkering conveyor in CHP BTPS</v>
      </c>
      <c r="C323" s="1475" t="str">
        <f t="shared" si="39"/>
        <v>MERC/CAPEX/MSPGCL/2024-25/0310</v>
      </c>
      <c r="D323" s="1473">
        <f t="shared" si="39"/>
        <v>45429</v>
      </c>
      <c r="E323" s="1476">
        <f t="shared" si="39"/>
        <v>11.35</v>
      </c>
      <c r="F323" s="1444">
        <f t="shared" si="31"/>
        <v>0</v>
      </c>
      <c r="G323" s="1444">
        <f t="shared" si="32"/>
        <v>0</v>
      </c>
      <c r="H323" s="1476">
        <f t="shared" si="33"/>
        <v>0</v>
      </c>
      <c r="I323" s="1444">
        <v>0</v>
      </c>
      <c r="J323" s="1444">
        <v>0</v>
      </c>
      <c r="K323" s="1476"/>
      <c r="L323" s="1476"/>
      <c r="M323" s="1476">
        <f t="shared" si="38"/>
        <v>0</v>
      </c>
      <c r="N323" s="1476">
        <f t="shared" si="34"/>
        <v>0</v>
      </c>
      <c r="O323" s="1445"/>
      <c r="P323" s="1377"/>
    </row>
    <row r="324" spans="1:16" ht="15.5" outlineLevel="1">
      <c r="A324" s="1446">
        <f t="shared" si="39"/>
        <v>21.2</v>
      </c>
      <c r="B324" s="1447" t="str">
        <f t="shared" si="39"/>
        <v>Scheme-2: Revamping of coal diverting chutes in CHP 2x500 MW BTPS</v>
      </c>
      <c r="C324" s="1475" t="str">
        <f t="shared" si="39"/>
        <v>MERC/CAPEX/MSPGCL/2024-25/0310</v>
      </c>
      <c r="D324" s="1473">
        <f t="shared" si="39"/>
        <v>45429</v>
      </c>
      <c r="E324" s="1476">
        <f t="shared" si="39"/>
        <v>5.73</v>
      </c>
      <c r="F324" s="1444">
        <f t="shared" si="31"/>
        <v>0</v>
      </c>
      <c r="G324" s="1444">
        <f t="shared" si="32"/>
        <v>0</v>
      </c>
      <c r="H324" s="1476">
        <f t="shared" si="33"/>
        <v>0</v>
      </c>
      <c r="I324" s="1444">
        <v>0</v>
      </c>
      <c r="J324" s="1444">
        <v>0</v>
      </c>
      <c r="K324" s="1476"/>
      <c r="L324" s="1476"/>
      <c r="M324" s="1476">
        <f t="shared" si="38"/>
        <v>0</v>
      </c>
      <c r="N324" s="1476">
        <f t="shared" si="34"/>
        <v>0</v>
      </c>
      <c r="O324" s="1445"/>
      <c r="P324" s="1377"/>
    </row>
    <row r="325" spans="1:16" ht="31" outlineLevel="1">
      <c r="A325" s="1446">
        <f t="shared" si="39"/>
        <v>21.3</v>
      </c>
      <c r="B325" s="1447" t="str">
        <f t="shared" si="39"/>
        <v>Scheme-3: Revamping and structural augmentation of Reversible feeder conveyors in CHP-BTPS.</v>
      </c>
      <c r="C325" s="1475" t="str">
        <f t="shared" si="39"/>
        <v>MERC/CAPEX/MSPGCL/2024-25/0310</v>
      </c>
      <c r="D325" s="1473">
        <f t="shared" si="39"/>
        <v>45429</v>
      </c>
      <c r="E325" s="1476">
        <f t="shared" si="39"/>
        <v>1.77</v>
      </c>
      <c r="F325" s="1444">
        <f t="shared" si="31"/>
        <v>0</v>
      </c>
      <c r="G325" s="1444">
        <f t="shared" si="32"/>
        <v>0</v>
      </c>
      <c r="H325" s="1476">
        <f t="shared" si="33"/>
        <v>0</v>
      </c>
      <c r="I325" s="1444">
        <v>0</v>
      </c>
      <c r="J325" s="1444">
        <v>0</v>
      </c>
      <c r="K325" s="1476"/>
      <c r="L325" s="1476"/>
      <c r="M325" s="1476">
        <f t="shared" si="38"/>
        <v>0</v>
      </c>
      <c r="N325" s="1476">
        <f t="shared" si="34"/>
        <v>0</v>
      </c>
      <c r="O325" s="1445"/>
      <c r="P325" s="1377"/>
    </row>
    <row r="326" spans="1:16" ht="31" outlineLevel="1">
      <c r="A326" s="1446">
        <f t="shared" si="39"/>
        <v>21.4</v>
      </c>
      <c r="B326" s="1447" t="str">
        <f t="shared" si="39"/>
        <v>Scheme-4: Revamping and up-gradation of air &amp; ventilation system in Coal Handling Plant-BTPS.</v>
      </c>
      <c r="C326" s="1475" t="str">
        <f t="shared" si="39"/>
        <v>MERC/CAPEX/MSPGCL/2024-25/0310</v>
      </c>
      <c r="D326" s="1473">
        <f t="shared" si="39"/>
        <v>45429</v>
      </c>
      <c r="E326" s="1476">
        <f t="shared" si="39"/>
        <v>9.01</v>
      </c>
      <c r="F326" s="1444">
        <f t="shared" si="31"/>
        <v>0</v>
      </c>
      <c r="G326" s="1444">
        <f t="shared" si="32"/>
        <v>0</v>
      </c>
      <c r="H326" s="1476">
        <f t="shared" si="33"/>
        <v>0</v>
      </c>
      <c r="I326" s="1444">
        <v>0</v>
      </c>
      <c r="J326" s="1444">
        <v>0</v>
      </c>
      <c r="K326" s="1476"/>
      <c r="L326" s="1476"/>
      <c r="M326" s="1476">
        <f t="shared" si="38"/>
        <v>0</v>
      </c>
      <c r="N326" s="1476">
        <f t="shared" si="34"/>
        <v>0</v>
      </c>
      <c r="O326" s="1445"/>
      <c r="P326" s="1377"/>
    </row>
    <row r="327" spans="1:16" ht="31" outlineLevel="1">
      <c r="A327" s="1446">
        <f t="shared" si="39"/>
        <v>21.5</v>
      </c>
      <c r="B327" s="1447" t="str">
        <f t="shared" si="39"/>
        <v>Scheme-5: Revamping, Structural &amp; drive up-gradation  of conveyor-111 in CHP-BTPS.</v>
      </c>
      <c r="C327" s="1475" t="str">
        <f t="shared" si="39"/>
        <v>MERC/CAPEX/MSPGCL/2024-25/0310</v>
      </c>
      <c r="D327" s="1473">
        <f t="shared" si="39"/>
        <v>45429</v>
      </c>
      <c r="E327" s="1476">
        <f t="shared" si="39"/>
        <v>3.85</v>
      </c>
      <c r="F327" s="1444">
        <f t="shared" si="31"/>
        <v>0</v>
      </c>
      <c r="G327" s="1444">
        <f t="shared" si="32"/>
        <v>0</v>
      </c>
      <c r="H327" s="1476">
        <f t="shared" si="33"/>
        <v>0</v>
      </c>
      <c r="I327" s="1444">
        <v>0</v>
      </c>
      <c r="J327" s="1444">
        <v>0</v>
      </c>
      <c r="K327" s="1476"/>
      <c r="L327" s="1476"/>
      <c r="M327" s="1476">
        <f t="shared" si="38"/>
        <v>0</v>
      </c>
      <c r="N327" s="1476">
        <f t="shared" si="34"/>
        <v>0</v>
      </c>
      <c r="O327" s="1445"/>
      <c r="P327" s="1377"/>
    </row>
    <row r="328" spans="1:16" ht="31" outlineLevel="1">
      <c r="A328" s="1446">
        <f t="shared" si="39"/>
        <v>21.6</v>
      </c>
      <c r="B328" s="1447" t="str">
        <f t="shared" si="39"/>
        <v>Scheme-6: Revamping and structural up-gradation of conveyor system in tunnel area in Coal Handling Plant-BTPS.</v>
      </c>
      <c r="C328" s="1475" t="str">
        <f t="shared" si="39"/>
        <v>MERC/CAPEX/MSPGCL/2024-25/0310</v>
      </c>
      <c r="D328" s="1473">
        <f t="shared" si="39"/>
        <v>45429</v>
      </c>
      <c r="E328" s="1476">
        <f t="shared" si="39"/>
        <v>8.6199999999999992</v>
      </c>
      <c r="F328" s="1444">
        <f t="shared" si="31"/>
        <v>0</v>
      </c>
      <c r="G328" s="1444">
        <f t="shared" si="32"/>
        <v>0</v>
      </c>
      <c r="H328" s="1476">
        <f t="shared" si="33"/>
        <v>0</v>
      </c>
      <c r="I328" s="1444">
        <v>0</v>
      </c>
      <c r="J328" s="1444">
        <v>0</v>
      </c>
      <c r="K328" s="1476"/>
      <c r="L328" s="1476"/>
      <c r="M328" s="1476">
        <f t="shared" si="38"/>
        <v>0</v>
      </c>
      <c r="N328" s="1476">
        <f t="shared" si="34"/>
        <v>0</v>
      </c>
      <c r="O328" s="1445"/>
      <c r="P328" s="1377"/>
    </row>
    <row r="329" spans="1:16" ht="15.5" outlineLevel="1">
      <c r="A329" s="1446">
        <f t="shared" si="39"/>
        <v>21.7</v>
      </c>
      <c r="B329" s="1447" t="str">
        <f t="shared" si="39"/>
        <v>Scheme-7: Erection &amp; Commissioning of Travelling type coal chutes in CHP BTPS.</v>
      </c>
      <c r="C329" s="1475" t="str">
        <f t="shared" si="39"/>
        <v>MERC/CAPEX/MSPGCL/2024-25/0310</v>
      </c>
      <c r="D329" s="1473">
        <f t="shared" si="39"/>
        <v>45429</v>
      </c>
      <c r="E329" s="1476">
        <f t="shared" si="39"/>
        <v>8.06</v>
      </c>
      <c r="F329" s="1444">
        <f t="shared" si="31"/>
        <v>0</v>
      </c>
      <c r="G329" s="1444">
        <f t="shared" si="32"/>
        <v>0</v>
      </c>
      <c r="H329" s="1476">
        <f t="shared" si="33"/>
        <v>0</v>
      </c>
      <c r="I329" s="1444">
        <v>0</v>
      </c>
      <c r="J329" s="1444">
        <v>0</v>
      </c>
      <c r="K329" s="1476"/>
      <c r="L329" s="1476"/>
      <c r="M329" s="1476">
        <f t="shared" si="38"/>
        <v>0</v>
      </c>
      <c r="N329" s="1476">
        <f t="shared" si="34"/>
        <v>0</v>
      </c>
      <c r="O329" s="1445"/>
      <c r="P329" s="1377"/>
    </row>
    <row r="330" spans="1:16" ht="31" outlineLevel="1">
      <c r="A330" s="1446">
        <f t="shared" si="39"/>
        <v>21.8</v>
      </c>
      <c r="B330" s="1447" t="str">
        <f t="shared" si="39"/>
        <v>Scheme-8: Revamping of scoop cooling system installed in coal handling plant BTPS.</v>
      </c>
      <c r="C330" s="1475" t="str">
        <f t="shared" si="39"/>
        <v>MERC/CAPEX/MSPGCL/2024-25/0310</v>
      </c>
      <c r="D330" s="1473">
        <f t="shared" si="39"/>
        <v>45429</v>
      </c>
      <c r="E330" s="1476">
        <f t="shared" si="39"/>
        <v>4.9800000000000004</v>
      </c>
      <c r="F330" s="1444">
        <f t="shared" si="31"/>
        <v>0</v>
      </c>
      <c r="G330" s="1444">
        <f t="shared" si="32"/>
        <v>0</v>
      </c>
      <c r="H330" s="1476">
        <f t="shared" si="33"/>
        <v>0</v>
      </c>
      <c r="I330" s="1444">
        <v>0</v>
      </c>
      <c r="J330" s="1444">
        <v>0</v>
      </c>
      <c r="K330" s="1476"/>
      <c r="L330" s="1476"/>
      <c r="M330" s="1476">
        <f t="shared" si="38"/>
        <v>0</v>
      </c>
      <c r="N330" s="1476">
        <f t="shared" si="34"/>
        <v>0</v>
      </c>
      <c r="O330" s="1445"/>
      <c r="P330" s="1377"/>
    </row>
    <row r="331" spans="1:16" ht="15.5" outlineLevel="1">
      <c r="A331" s="1454">
        <f t="shared" si="39"/>
        <v>21.9</v>
      </c>
      <c r="B331" s="1454" t="str">
        <f t="shared" si="39"/>
        <v>Scheme-9: Retrofitting and Up-gradation of Dewatering system in CHP-BTPS.</v>
      </c>
      <c r="C331" s="1475" t="str">
        <f t="shared" si="39"/>
        <v>MERC/CAPEX/MSPGCL/2024-25/0310</v>
      </c>
      <c r="D331" s="1473">
        <f t="shared" si="39"/>
        <v>45429</v>
      </c>
      <c r="E331" s="1476">
        <f t="shared" si="39"/>
        <v>3.92</v>
      </c>
      <c r="F331" s="1444">
        <f t="shared" si="31"/>
        <v>0</v>
      </c>
      <c r="G331" s="1444">
        <f t="shared" si="32"/>
        <v>0</v>
      </c>
      <c r="H331" s="1476">
        <f t="shared" si="33"/>
        <v>0</v>
      </c>
      <c r="I331" s="1444">
        <v>0</v>
      </c>
      <c r="J331" s="1444">
        <v>0</v>
      </c>
      <c r="K331" s="1476"/>
      <c r="L331" s="1476"/>
      <c r="M331" s="1476">
        <f t="shared" si="38"/>
        <v>0</v>
      </c>
      <c r="N331" s="1476">
        <f t="shared" si="34"/>
        <v>0</v>
      </c>
      <c r="O331" s="1445"/>
      <c r="P331" s="1377"/>
    </row>
    <row r="332" spans="1:16" ht="15.5" outlineLevel="1">
      <c r="A332" s="1455">
        <f t="shared" si="39"/>
        <v>0</v>
      </c>
      <c r="B332" s="1455" t="str">
        <f t="shared" si="39"/>
        <v>IDC</v>
      </c>
      <c r="C332" s="1475">
        <f t="shared" si="39"/>
        <v>0</v>
      </c>
      <c r="D332" s="1473" t="str">
        <f t="shared" si="39"/>
        <v>-</v>
      </c>
      <c r="E332" s="1476">
        <f t="shared" si="39"/>
        <v>0</v>
      </c>
      <c r="F332" s="1444">
        <f t="shared" si="31"/>
        <v>0</v>
      </c>
      <c r="G332" s="1444">
        <f t="shared" si="32"/>
        <v>0</v>
      </c>
      <c r="H332" s="1476">
        <f t="shared" si="33"/>
        <v>0</v>
      </c>
      <c r="I332" s="1444">
        <v>0</v>
      </c>
      <c r="J332" s="1444">
        <v>0</v>
      </c>
      <c r="K332" s="1476"/>
      <c r="L332" s="1476"/>
      <c r="M332" s="1476">
        <f t="shared" si="38"/>
        <v>0</v>
      </c>
      <c r="N332" s="1476">
        <f t="shared" si="34"/>
        <v>0</v>
      </c>
      <c r="O332" s="1445"/>
      <c r="P332" s="1377"/>
    </row>
    <row r="333" spans="1:16" ht="15.5" outlineLevel="1">
      <c r="A333" s="1456">
        <f t="shared" si="39"/>
        <v>0</v>
      </c>
      <c r="B333" s="1456" t="str">
        <f t="shared" si="39"/>
        <v>Asset Transfer from Projects</v>
      </c>
      <c r="C333" s="1475">
        <f t="shared" si="39"/>
        <v>0</v>
      </c>
      <c r="D333" s="1473" t="str">
        <f t="shared" si="39"/>
        <v>-</v>
      </c>
      <c r="E333" s="1476">
        <f t="shared" si="39"/>
        <v>0</v>
      </c>
      <c r="F333" s="1444">
        <f t="shared" si="31"/>
        <v>0</v>
      </c>
      <c r="G333" s="1444">
        <f t="shared" si="32"/>
        <v>0</v>
      </c>
      <c r="H333" s="1476">
        <f t="shared" si="33"/>
        <v>0</v>
      </c>
      <c r="I333" s="1444">
        <v>0</v>
      </c>
      <c r="J333" s="1444">
        <v>0</v>
      </c>
      <c r="K333" s="1476"/>
      <c r="L333" s="1476"/>
      <c r="M333" s="1476">
        <f t="shared" si="38"/>
        <v>0</v>
      </c>
      <c r="N333" s="1476">
        <f t="shared" si="34"/>
        <v>0</v>
      </c>
      <c r="O333" s="1445"/>
      <c r="P333" s="1377"/>
    </row>
    <row r="334" spans="1:16" ht="15.5" outlineLevel="1">
      <c r="A334" s="1455">
        <f t="shared" si="39"/>
        <v>0</v>
      </c>
      <c r="B334" s="1455" t="str">
        <f t="shared" si="39"/>
        <v>SP Busduct Unit 4&amp;5</v>
      </c>
      <c r="C334" s="1475">
        <f t="shared" si="39"/>
        <v>0</v>
      </c>
      <c r="D334" s="1473" t="str">
        <f t="shared" si="39"/>
        <v>-</v>
      </c>
      <c r="E334" s="1476">
        <f t="shared" si="39"/>
        <v>0</v>
      </c>
      <c r="F334" s="1444">
        <f t="shared" si="31"/>
        <v>0.30071745999999999</v>
      </c>
      <c r="G334" s="1444">
        <f t="shared" si="32"/>
        <v>0.30071745999999999</v>
      </c>
      <c r="H334" s="1476">
        <f t="shared" si="33"/>
        <v>0</v>
      </c>
      <c r="I334" s="1444">
        <v>0</v>
      </c>
      <c r="J334" s="1444">
        <v>0</v>
      </c>
      <c r="K334" s="1476"/>
      <c r="L334" s="1476"/>
      <c r="M334" s="1476">
        <f t="shared" si="38"/>
        <v>0</v>
      </c>
      <c r="N334" s="1476">
        <f t="shared" si="34"/>
        <v>0</v>
      </c>
      <c r="O334" s="1445"/>
      <c r="P334" s="1377"/>
    </row>
    <row r="335" spans="1:16" ht="15.5" outlineLevel="1">
      <c r="A335" s="1455">
        <f t="shared" si="39"/>
        <v>0</v>
      </c>
      <c r="B335" s="1455" t="str">
        <f t="shared" si="39"/>
        <v>ESP,ID,FD,PA Fans &amp;Other Boiler Auxiliaries</v>
      </c>
      <c r="C335" s="1442">
        <f t="shared" si="39"/>
        <v>0</v>
      </c>
      <c r="D335" s="1443" t="str">
        <f t="shared" si="39"/>
        <v>-</v>
      </c>
      <c r="E335" s="1444">
        <f t="shared" si="39"/>
        <v>0</v>
      </c>
      <c r="F335" s="1444">
        <f t="shared" si="31"/>
        <v>1.0282827000000001</v>
      </c>
      <c r="G335" s="1444">
        <f t="shared" si="32"/>
        <v>1.0282827000000001</v>
      </c>
      <c r="H335" s="1444">
        <f t="shared" si="33"/>
        <v>0</v>
      </c>
      <c r="I335" s="1444">
        <v>0</v>
      </c>
      <c r="J335" s="1444">
        <v>0</v>
      </c>
      <c r="K335" s="1444"/>
      <c r="L335" s="1444"/>
      <c r="M335" s="1444">
        <f t="shared" si="37"/>
        <v>0</v>
      </c>
      <c r="N335" s="1444">
        <f t="shared" si="34"/>
        <v>0</v>
      </c>
    </row>
    <row r="336" spans="1:16" ht="15.5" outlineLevel="1">
      <c r="A336" s="1456">
        <f t="shared" ref="A336:E351" si="40">A106</f>
        <v>0</v>
      </c>
      <c r="B336" s="1456" t="str">
        <f t="shared" si="40"/>
        <v>(ii) DPR Yet to be Submitted to MERC</v>
      </c>
      <c r="C336" s="1442">
        <f t="shared" si="40"/>
        <v>0</v>
      </c>
      <c r="D336" s="1443" t="str">
        <f t="shared" si="40"/>
        <v>-</v>
      </c>
      <c r="E336" s="1444">
        <f t="shared" si="40"/>
        <v>0</v>
      </c>
      <c r="F336" s="1444">
        <f t="shared" si="31"/>
        <v>0</v>
      </c>
      <c r="G336" s="1444">
        <f t="shared" si="32"/>
        <v>0</v>
      </c>
      <c r="H336" s="1444">
        <f t="shared" si="33"/>
        <v>0</v>
      </c>
      <c r="I336" s="1444">
        <v>0</v>
      </c>
      <c r="J336" s="1444">
        <v>0</v>
      </c>
      <c r="K336" s="1444"/>
      <c r="L336" s="1444"/>
      <c r="M336" s="1444">
        <f t="shared" si="37"/>
        <v>0</v>
      </c>
      <c r="N336" s="1444">
        <f t="shared" si="34"/>
        <v>0</v>
      </c>
    </row>
    <row r="337" spans="1:14" ht="15.5" outlineLevel="1">
      <c r="A337" s="1457">
        <f t="shared" si="40"/>
        <v>0</v>
      </c>
      <c r="B337" s="1457" t="str">
        <f t="shared" si="40"/>
        <v xml:space="preserve">FY 2025-26 </v>
      </c>
      <c r="C337" s="1475">
        <f t="shared" si="40"/>
        <v>0</v>
      </c>
      <c r="D337" s="1473" t="str">
        <f t="shared" si="40"/>
        <v>-</v>
      </c>
      <c r="E337" s="1476">
        <f t="shared" si="40"/>
        <v>0</v>
      </c>
      <c r="F337" s="1444">
        <f t="shared" si="31"/>
        <v>0</v>
      </c>
      <c r="G337" s="1444">
        <f t="shared" si="32"/>
        <v>0</v>
      </c>
      <c r="H337" s="1476">
        <f t="shared" si="33"/>
        <v>0</v>
      </c>
      <c r="I337" s="1444">
        <v>0</v>
      </c>
      <c r="J337" s="1444">
        <v>0</v>
      </c>
      <c r="K337" s="1476"/>
      <c r="L337" s="1476"/>
      <c r="M337" s="1476">
        <f t="shared" si="37"/>
        <v>0</v>
      </c>
      <c r="N337" s="1476">
        <f t="shared" si="34"/>
        <v>0</v>
      </c>
    </row>
    <row r="338" spans="1:14" ht="31" outlineLevel="1">
      <c r="A338" s="1458">
        <f t="shared" si="40"/>
        <v>1</v>
      </c>
      <c r="B338" s="1459" t="str">
        <f t="shared" si="40"/>
        <v>Up gradation of coal mill reject system, Procurement of Air heater baskets &amp; spare Air heater gearbox at 2X500MW, Bhusawal TPS</v>
      </c>
      <c r="C338" s="1475">
        <f t="shared" si="40"/>
        <v>0</v>
      </c>
      <c r="D338" s="1473" t="str">
        <f t="shared" si="40"/>
        <v>-</v>
      </c>
      <c r="E338" s="1476">
        <f t="shared" si="40"/>
        <v>0</v>
      </c>
      <c r="F338" s="1444">
        <f t="shared" si="31"/>
        <v>0</v>
      </c>
      <c r="G338" s="1444">
        <f t="shared" si="32"/>
        <v>0</v>
      </c>
      <c r="H338" s="1476">
        <f t="shared" si="33"/>
        <v>0</v>
      </c>
      <c r="I338" s="1444">
        <v>0</v>
      </c>
      <c r="J338" s="1444">
        <v>0</v>
      </c>
      <c r="K338" s="1476"/>
      <c r="L338" s="1476"/>
      <c r="M338" s="1476">
        <f t="shared" si="37"/>
        <v>0</v>
      </c>
      <c r="N338" s="1476">
        <f t="shared" si="34"/>
        <v>0</v>
      </c>
    </row>
    <row r="339" spans="1:14" ht="62" outlineLevel="1">
      <c r="A339" s="1455">
        <f t="shared" si="40"/>
        <v>1.1000000000000001</v>
      </c>
      <c r="B339" s="1455" t="str">
        <f t="shared" si="40"/>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339" s="1475">
        <f t="shared" si="40"/>
        <v>0</v>
      </c>
      <c r="D339" s="1473" t="str">
        <f t="shared" si="40"/>
        <v>-</v>
      </c>
      <c r="E339" s="1476">
        <f t="shared" si="40"/>
        <v>0</v>
      </c>
      <c r="F339" s="1444">
        <f t="shared" si="31"/>
        <v>0</v>
      </c>
      <c r="G339" s="1444">
        <f t="shared" si="32"/>
        <v>0</v>
      </c>
      <c r="H339" s="1476">
        <f t="shared" si="33"/>
        <v>0</v>
      </c>
      <c r="I339" s="1444">
        <v>0</v>
      </c>
      <c r="J339" s="1444">
        <v>0</v>
      </c>
      <c r="K339" s="1476"/>
      <c r="L339" s="1476"/>
      <c r="M339" s="1476">
        <f t="shared" si="37"/>
        <v>0</v>
      </c>
      <c r="N339" s="1476">
        <f t="shared" si="34"/>
        <v>0</v>
      </c>
    </row>
    <row r="340" spans="1:14" ht="31" outlineLevel="1">
      <c r="A340" s="1455">
        <f t="shared" si="40"/>
        <v>1.2</v>
      </c>
      <c r="B340" s="1455" t="str">
        <f t="shared" si="40"/>
        <v>Procurement of assembly of baskets &amp; seals for Air Preheater of type 31.5 VIM 2000 (72° PA), in Unit-5 2x500MW, BTPS Bhusawal</v>
      </c>
      <c r="C340" s="1475">
        <f t="shared" si="40"/>
        <v>0</v>
      </c>
      <c r="D340" s="1473" t="str">
        <f t="shared" si="40"/>
        <v>-</v>
      </c>
      <c r="E340" s="1476">
        <f t="shared" si="40"/>
        <v>0</v>
      </c>
      <c r="F340" s="1444">
        <f t="shared" si="31"/>
        <v>0</v>
      </c>
      <c r="G340" s="1444">
        <f t="shared" si="32"/>
        <v>0</v>
      </c>
      <c r="H340" s="1476">
        <f t="shared" si="33"/>
        <v>0</v>
      </c>
      <c r="I340" s="1444">
        <v>0</v>
      </c>
      <c r="J340" s="1444">
        <v>0</v>
      </c>
      <c r="K340" s="1476"/>
      <c r="L340" s="1476"/>
      <c r="M340" s="1476">
        <f t="shared" si="37"/>
        <v>0</v>
      </c>
      <c r="N340" s="1476">
        <f t="shared" si="34"/>
        <v>0</v>
      </c>
    </row>
    <row r="341" spans="1:14" ht="31" outlineLevel="1">
      <c r="A341" s="1455">
        <f t="shared" si="40"/>
        <v>1.3</v>
      </c>
      <c r="B341" s="1455" t="str">
        <f t="shared" si="40"/>
        <v>Procurement of APH Gearbox to improve availability and performance of Air preheaters at 2 x 500 MW Units, BTPS, Bhusawal. </v>
      </c>
      <c r="C341" s="1475">
        <f t="shared" si="40"/>
        <v>0</v>
      </c>
      <c r="D341" s="1473" t="str">
        <f t="shared" si="40"/>
        <v>-</v>
      </c>
      <c r="E341" s="1476">
        <f t="shared" si="40"/>
        <v>0</v>
      </c>
      <c r="F341" s="1444">
        <f t="shared" si="31"/>
        <v>0</v>
      </c>
      <c r="G341" s="1444">
        <f t="shared" si="32"/>
        <v>0</v>
      </c>
      <c r="H341" s="1476">
        <f t="shared" si="33"/>
        <v>0</v>
      </c>
      <c r="I341" s="1444">
        <v>0</v>
      </c>
      <c r="J341" s="1444">
        <v>0</v>
      </c>
      <c r="K341" s="1476"/>
      <c r="L341" s="1476"/>
      <c r="M341" s="1476">
        <f t="shared" si="37"/>
        <v>0</v>
      </c>
      <c r="N341" s="1476">
        <f t="shared" si="34"/>
        <v>0</v>
      </c>
    </row>
    <row r="342" spans="1:14" ht="15.5" outlineLevel="1">
      <c r="A342" s="1458">
        <f t="shared" si="40"/>
        <v>2</v>
      </c>
      <c r="B342" s="1459" t="str">
        <f t="shared" si="40"/>
        <v>Boiler Reliability &amp; Availability improvement at 2x500MW, Bhusawal TPS.</v>
      </c>
      <c r="C342" s="1442">
        <f t="shared" si="40"/>
        <v>0</v>
      </c>
      <c r="D342" s="1443" t="str">
        <f t="shared" si="40"/>
        <v>-</v>
      </c>
      <c r="E342" s="1444">
        <f t="shared" si="40"/>
        <v>0</v>
      </c>
      <c r="F342" s="1444">
        <f t="shared" si="31"/>
        <v>0</v>
      </c>
      <c r="G342" s="1444">
        <f t="shared" si="32"/>
        <v>0</v>
      </c>
      <c r="H342" s="1444">
        <f t="shared" si="33"/>
        <v>0</v>
      </c>
      <c r="I342" s="1444">
        <v>0</v>
      </c>
      <c r="J342" s="1444">
        <v>0</v>
      </c>
      <c r="K342" s="1444"/>
      <c r="L342" s="1444"/>
      <c r="M342" s="1444">
        <f t="shared" si="37"/>
        <v>0</v>
      </c>
      <c r="N342" s="1444">
        <f t="shared" si="34"/>
        <v>0</v>
      </c>
    </row>
    <row r="343" spans="1:14" ht="31" outlineLevel="1">
      <c r="A343" s="1455">
        <f t="shared" si="40"/>
        <v>2.1</v>
      </c>
      <c r="B343" s="1455" t="str">
        <f t="shared" si="40"/>
        <v xml:space="preserve">Procurement &amp; Replacement Of LTSH Coils for Unit - 4 &amp; 5 (500MW) TPS, Bhusawal. </v>
      </c>
      <c r="C343" s="1475">
        <f t="shared" si="40"/>
        <v>0</v>
      </c>
      <c r="D343" s="1473" t="str">
        <f t="shared" si="40"/>
        <v>-</v>
      </c>
      <c r="E343" s="1476">
        <f t="shared" si="40"/>
        <v>0</v>
      </c>
      <c r="F343" s="1444">
        <f t="shared" si="31"/>
        <v>0</v>
      </c>
      <c r="G343" s="1444">
        <f t="shared" si="32"/>
        <v>0</v>
      </c>
      <c r="H343" s="1476">
        <f t="shared" si="33"/>
        <v>0</v>
      </c>
      <c r="I343" s="1444">
        <v>0</v>
      </c>
      <c r="J343" s="1444">
        <v>0</v>
      </c>
      <c r="K343" s="1476"/>
      <c r="L343" s="1476"/>
      <c r="M343" s="1476">
        <f t="shared" si="37"/>
        <v>0</v>
      </c>
      <c r="N343" s="1476">
        <f t="shared" si="34"/>
        <v>0</v>
      </c>
    </row>
    <row r="344" spans="1:14" ht="31" outlineLevel="1">
      <c r="A344" s="1455">
        <f t="shared" si="40"/>
        <v>2.2000000000000002</v>
      </c>
      <c r="B344" s="1455" t="str">
        <f t="shared" si="40"/>
        <v>Procurement &amp; Replacement Of Economiser Coils For Unit - 4 &amp; 5 (500MW) TPS, Bhusawal</v>
      </c>
      <c r="C344" s="1475">
        <f t="shared" si="40"/>
        <v>0</v>
      </c>
      <c r="D344" s="1473" t="str">
        <f t="shared" si="40"/>
        <v>-</v>
      </c>
      <c r="E344" s="1476">
        <f t="shared" si="40"/>
        <v>0</v>
      </c>
      <c r="F344" s="1444">
        <f t="shared" si="31"/>
        <v>0</v>
      </c>
      <c r="G344" s="1444">
        <f t="shared" si="32"/>
        <v>0</v>
      </c>
      <c r="H344" s="1476">
        <f t="shared" si="33"/>
        <v>0</v>
      </c>
      <c r="I344" s="1444">
        <v>0</v>
      </c>
      <c r="J344" s="1444">
        <v>0</v>
      </c>
      <c r="K344" s="1476"/>
      <c r="L344" s="1476"/>
      <c r="M344" s="1476">
        <f t="shared" si="37"/>
        <v>0</v>
      </c>
      <c r="N344" s="1476">
        <f t="shared" si="34"/>
        <v>0</v>
      </c>
    </row>
    <row r="345" spans="1:14" ht="15.5" outlineLevel="1">
      <c r="A345" s="1455">
        <f t="shared" si="40"/>
        <v>2.2999999999999998</v>
      </c>
      <c r="B345" s="1455" t="str">
        <f t="shared" si="40"/>
        <v>Procurement of assembly of APH Baskets Unit-4</v>
      </c>
      <c r="C345" s="1442">
        <f t="shared" si="40"/>
        <v>0</v>
      </c>
      <c r="D345" s="1443" t="str">
        <f t="shared" si="40"/>
        <v>-</v>
      </c>
      <c r="E345" s="1444">
        <f t="shared" si="40"/>
        <v>0</v>
      </c>
      <c r="F345" s="1444">
        <f t="shared" si="31"/>
        <v>0</v>
      </c>
      <c r="G345" s="1444">
        <f t="shared" si="32"/>
        <v>0</v>
      </c>
      <c r="H345" s="1444">
        <f t="shared" si="33"/>
        <v>0</v>
      </c>
      <c r="I345" s="1444">
        <v>0</v>
      </c>
      <c r="J345" s="1444">
        <v>0</v>
      </c>
      <c r="K345" s="1444"/>
      <c r="L345" s="1444"/>
      <c r="M345" s="1444">
        <f t="shared" si="37"/>
        <v>0</v>
      </c>
      <c r="N345" s="1444">
        <f t="shared" si="34"/>
        <v>0</v>
      </c>
    </row>
    <row r="346" spans="1:14" ht="15.5" outlineLevel="1">
      <c r="A346" s="1455">
        <f t="shared" si="40"/>
        <v>2.4</v>
      </c>
      <c r="B346" s="1455" t="str">
        <f t="shared" si="40"/>
        <v>Procurement of APH Gearbox Unit-4&amp;5</v>
      </c>
      <c r="C346" s="1475">
        <f t="shared" si="40"/>
        <v>0</v>
      </c>
      <c r="D346" s="1473" t="str">
        <f t="shared" si="40"/>
        <v>-</v>
      </c>
      <c r="E346" s="1476">
        <f t="shared" si="40"/>
        <v>0</v>
      </c>
      <c r="F346" s="1444">
        <f t="shared" si="31"/>
        <v>0</v>
      </c>
      <c r="G346" s="1444">
        <f t="shared" si="32"/>
        <v>0</v>
      </c>
      <c r="H346" s="1476">
        <f t="shared" si="33"/>
        <v>0</v>
      </c>
      <c r="I346" s="1444">
        <v>0</v>
      </c>
      <c r="J346" s="1444">
        <v>0</v>
      </c>
      <c r="K346" s="1476"/>
      <c r="L346" s="1476"/>
      <c r="M346" s="1476">
        <f t="shared" si="37"/>
        <v>0</v>
      </c>
      <c r="N346" s="1476">
        <f t="shared" si="34"/>
        <v>0</v>
      </c>
    </row>
    <row r="347" spans="1:14" ht="15.5" outlineLevel="1">
      <c r="A347" s="1458">
        <f t="shared" si="40"/>
        <v>3</v>
      </c>
      <c r="B347" s="1459" t="str">
        <f t="shared" si="40"/>
        <v>Various Turbine side reliability improvement schemes at 2x500MW, BTPS</v>
      </c>
      <c r="C347" s="1475">
        <f t="shared" si="40"/>
        <v>0</v>
      </c>
      <c r="D347" s="1473" t="str">
        <f t="shared" si="40"/>
        <v>-</v>
      </c>
      <c r="E347" s="1476">
        <f t="shared" si="40"/>
        <v>0</v>
      </c>
      <c r="F347" s="1444">
        <f t="shared" si="31"/>
        <v>0</v>
      </c>
      <c r="G347" s="1444">
        <f t="shared" si="32"/>
        <v>0</v>
      </c>
      <c r="H347" s="1476">
        <f t="shared" si="33"/>
        <v>0</v>
      </c>
      <c r="I347" s="1444">
        <v>0</v>
      </c>
      <c r="J347" s="1444">
        <v>0</v>
      </c>
      <c r="K347" s="1476"/>
      <c r="L347" s="1476"/>
      <c r="M347" s="1476">
        <f t="shared" si="37"/>
        <v>0</v>
      </c>
      <c r="N347" s="1476">
        <f t="shared" si="34"/>
        <v>0</v>
      </c>
    </row>
    <row r="348" spans="1:14" ht="15.5" outlineLevel="1">
      <c r="A348" s="1455">
        <f t="shared" si="40"/>
        <v>3.1</v>
      </c>
      <c r="B348" s="1455" t="str">
        <f t="shared" si="40"/>
        <v>Reliability improvement of Atlas copco make (mode -ZR -500)</v>
      </c>
      <c r="C348" s="1475">
        <f t="shared" si="40"/>
        <v>0</v>
      </c>
      <c r="D348" s="1473" t="str">
        <f t="shared" si="40"/>
        <v>-</v>
      </c>
      <c r="E348" s="1476">
        <f t="shared" si="40"/>
        <v>0</v>
      </c>
      <c r="F348" s="1444">
        <f t="shared" si="31"/>
        <v>0</v>
      </c>
      <c r="G348" s="1444">
        <f t="shared" si="32"/>
        <v>0</v>
      </c>
      <c r="H348" s="1476">
        <f t="shared" si="33"/>
        <v>0</v>
      </c>
      <c r="I348" s="1444">
        <v>0</v>
      </c>
      <c r="J348" s="1444">
        <v>0</v>
      </c>
      <c r="K348" s="1476"/>
      <c r="L348" s="1476"/>
      <c r="M348" s="1476">
        <f t="shared" si="37"/>
        <v>0</v>
      </c>
      <c r="N348" s="1476">
        <f t="shared" si="34"/>
        <v>0</v>
      </c>
    </row>
    <row r="349" spans="1:14" ht="15.5" outlineLevel="1">
      <c r="A349" s="1455">
        <f t="shared" si="40"/>
        <v>3.2</v>
      </c>
      <c r="B349" s="1455" t="str">
        <f t="shared" si="40"/>
        <v xml:space="preserve">Reliability improvement of  HPCV Valve with procurment cone assy </v>
      </c>
      <c r="C349" s="1475">
        <f t="shared" si="40"/>
        <v>0</v>
      </c>
      <c r="D349" s="1473" t="str">
        <f t="shared" si="40"/>
        <v>-</v>
      </c>
      <c r="E349" s="1476">
        <f t="shared" si="40"/>
        <v>0</v>
      </c>
      <c r="F349" s="1444">
        <f t="shared" si="31"/>
        <v>0</v>
      </c>
      <c r="G349" s="1444">
        <f t="shared" si="32"/>
        <v>0</v>
      </c>
      <c r="H349" s="1476">
        <f t="shared" si="33"/>
        <v>0</v>
      </c>
      <c r="I349" s="1444">
        <v>0</v>
      </c>
      <c r="J349" s="1444">
        <v>0</v>
      </c>
      <c r="K349" s="1476"/>
      <c r="L349" s="1476"/>
      <c r="M349" s="1476">
        <f t="shared" si="37"/>
        <v>0</v>
      </c>
      <c r="N349" s="1476">
        <f t="shared" si="34"/>
        <v>0</v>
      </c>
    </row>
    <row r="350" spans="1:14" ht="15.5" outlineLevel="1">
      <c r="A350" s="1455">
        <f t="shared" si="40"/>
        <v>3.3</v>
      </c>
      <c r="B350" s="1455" t="str">
        <f t="shared" si="40"/>
        <v>Reliability improvement of Alfa Laval make Portable COP</v>
      </c>
      <c r="C350" s="1475">
        <f t="shared" si="40"/>
        <v>0</v>
      </c>
      <c r="D350" s="1473" t="str">
        <f t="shared" si="40"/>
        <v>-</v>
      </c>
      <c r="E350" s="1476">
        <f t="shared" si="40"/>
        <v>0</v>
      </c>
      <c r="F350" s="1444">
        <f t="shared" si="31"/>
        <v>0</v>
      </c>
      <c r="G350" s="1444">
        <f t="shared" si="32"/>
        <v>0</v>
      </c>
      <c r="H350" s="1476">
        <f t="shared" si="33"/>
        <v>0</v>
      </c>
      <c r="I350" s="1444">
        <v>0</v>
      </c>
      <c r="J350" s="1444">
        <v>0</v>
      </c>
      <c r="K350" s="1476"/>
      <c r="L350" s="1476"/>
      <c r="M350" s="1476">
        <f t="shared" si="37"/>
        <v>0</v>
      </c>
      <c r="N350" s="1476">
        <f t="shared" si="34"/>
        <v>0</v>
      </c>
    </row>
    <row r="351" spans="1:14" ht="31" outlineLevel="1">
      <c r="A351" s="1455">
        <f t="shared" si="40"/>
        <v>3.4</v>
      </c>
      <c r="B351" s="1455" t="str">
        <f t="shared" si="40"/>
        <v>Reliability improvement of Seal Oil System with procurement of various U Seal rings</v>
      </c>
      <c r="C351" s="1475">
        <f t="shared" si="40"/>
        <v>0</v>
      </c>
      <c r="D351" s="1473" t="str">
        <f t="shared" si="40"/>
        <v>-</v>
      </c>
      <c r="E351" s="1476">
        <f t="shared" si="40"/>
        <v>0</v>
      </c>
      <c r="F351" s="1444">
        <f t="shared" si="31"/>
        <v>0</v>
      </c>
      <c r="G351" s="1444">
        <f t="shared" si="32"/>
        <v>0</v>
      </c>
      <c r="H351" s="1476">
        <f t="shared" si="33"/>
        <v>0</v>
      </c>
      <c r="I351" s="1444">
        <v>0</v>
      </c>
      <c r="J351" s="1444">
        <v>0</v>
      </c>
      <c r="K351" s="1476"/>
      <c r="L351" s="1476"/>
      <c r="M351" s="1476">
        <f t="shared" si="37"/>
        <v>0</v>
      </c>
      <c r="N351" s="1476">
        <f t="shared" si="34"/>
        <v>0</v>
      </c>
    </row>
    <row r="352" spans="1:14" ht="31" outlineLevel="1">
      <c r="A352" s="1455">
        <f t="shared" ref="A352:E367" si="41">A122</f>
        <v>3.5</v>
      </c>
      <c r="B352" s="1455" t="str">
        <f t="shared" si="41"/>
        <v>Reliability improvement of Unit-4 &amp; 5 NDCT with replacement of PVC fills and allied work</v>
      </c>
      <c r="C352" s="1442">
        <f t="shared" si="41"/>
        <v>0</v>
      </c>
      <c r="D352" s="1443" t="str">
        <f t="shared" si="41"/>
        <v>-</v>
      </c>
      <c r="E352" s="1444">
        <f t="shared" si="41"/>
        <v>0</v>
      </c>
      <c r="F352" s="1444">
        <f t="shared" si="31"/>
        <v>0</v>
      </c>
      <c r="G352" s="1444">
        <f t="shared" si="32"/>
        <v>0</v>
      </c>
      <c r="H352" s="1444">
        <f t="shared" si="33"/>
        <v>0</v>
      </c>
      <c r="I352" s="1444">
        <v>0</v>
      </c>
      <c r="J352" s="1444">
        <v>0</v>
      </c>
      <c r="K352" s="1444"/>
      <c r="L352" s="1444"/>
      <c r="M352" s="1444">
        <f t="shared" si="37"/>
        <v>0</v>
      </c>
      <c r="N352" s="1444">
        <f t="shared" si="34"/>
        <v>0</v>
      </c>
    </row>
    <row r="353" spans="1:14" ht="15.5" outlineLevel="1">
      <c r="A353" s="1455">
        <f t="shared" si="41"/>
        <v>3.6</v>
      </c>
      <c r="B353" s="1455" t="str">
        <f t="shared" si="41"/>
        <v>Upgradation of Chiller plant, GEHO pump house &amp; OLTC PLC system.</v>
      </c>
      <c r="C353" s="1475">
        <f t="shared" si="41"/>
        <v>0</v>
      </c>
      <c r="D353" s="1473" t="str">
        <f t="shared" si="41"/>
        <v>-</v>
      </c>
      <c r="E353" s="1476">
        <f t="shared" si="41"/>
        <v>0</v>
      </c>
      <c r="F353" s="1444">
        <f t="shared" si="31"/>
        <v>0</v>
      </c>
      <c r="G353" s="1444">
        <f t="shared" si="32"/>
        <v>0</v>
      </c>
      <c r="H353" s="1476">
        <f t="shared" si="33"/>
        <v>0</v>
      </c>
      <c r="I353" s="1444">
        <v>0</v>
      </c>
      <c r="J353" s="1444">
        <v>0</v>
      </c>
      <c r="K353" s="1476"/>
      <c r="L353" s="1476"/>
      <c r="M353" s="1476">
        <f t="shared" si="37"/>
        <v>0</v>
      </c>
      <c r="N353" s="1476">
        <f t="shared" si="34"/>
        <v>0</v>
      </c>
    </row>
    <row r="354" spans="1:14" ht="15.5" outlineLevel="1">
      <c r="A354" s="1458">
        <f t="shared" si="41"/>
        <v>4</v>
      </c>
      <c r="B354" s="1459" t="str">
        <f t="shared" si="41"/>
        <v>IB recommended scheme related (Civil and Electrical)</v>
      </c>
      <c r="C354" s="1475">
        <f t="shared" si="41"/>
        <v>0</v>
      </c>
      <c r="D354" s="1473" t="str">
        <f t="shared" si="41"/>
        <v>-</v>
      </c>
      <c r="E354" s="1476">
        <f t="shared" si="41"/>
        <v>0</v>
      </c>
      <c r="F354" s="1444">
        <f t="shared" si="31"/>
        <v>0</v>
      </c>
      <c r="G354" s="1444">
        <f t="shared" si="32"/>
        <v>0</v>
      </c>
      <c r="H354" s="1476">
        <f t="shared" si="33"/>
        <v>0</v>
      </c>
      <c r="I354" s="1444">
        <v>0</v>
      </c>
      <c r="J354" s="1444">
        <v>0</v>
      </c>
      <c r="K354" s="1476"/>
      <c r="L354" s="1476"/>
      <c r="M354" s="1476">
        <f t="shared" si="37"/>
        <v>0</v>
      </c>
      <c r="N354" s="1476">
        <f t="shared" si="34"/>
        <v>0</v>
      </c>
    </row>
    <row r="355" spans="1:14" ht="31" outlineLevel="1">
      <c r="A355" s="1455">
        <f t="shared" si="41"/>
        <v>4.0999999999999996</v>
      </c>
      <c r="B355" s="1455" t="str">
        <f t="shared" si="41"/>
        <v>Work of fabricating and erecting structural steel watch tower (10 Nos.) in major store, plant area, ash pipe line and ash bund area at BTPS, Deepnagar.</v>
      </c>
      <c r="C355" s="1475">
        <f t="shared" si="41"/>
        <v>0</v>
      </c>
      <c r="D355" s="1473" t="str">
        <f t="shared" si="41"/>
        <v>-</v>
      </c>
      <c r="E355" s="1476">
        <f t="shared" si="41"/>
        <v>0</v>
      </c>
      <c r="F355" s="1444">
        <f t="shared" si="31"/>
        <v>0</v>
      </c>
      <c r="G355" s="1444">
        <f t="shared" si="32"/>
        <v>0</v>
      </c>
      <c r="H355" s="1476">
        <f t="shared" si="33"/>
        <v>0</v>
      </c>
      <c r="I355" s="1444">
        <v>0</v>
      </c>
      <c r="J355" s="1444">
        <v>0</v>
      </c>
      <c r="K355" s="1476"/>
      <c r="L355" s="1476"/>
      <c r="M355" s="1476">
        <f t="shared" si="37"/>
        <v>0</v>
      </c>
      <c r="N355" s="1476">
        <f t="shared" si="34"/>
        <v>0</v>
      </c>
    </row>
    <row r="356" spans="1:14" ht="31" outlineLevel="1">
      <c r="A356" s="1455">
        <f t="shared" si="41"/>
        <v>4.2</v>
      </c>
      <c r="B356" s="1455" t="str">
        <f t="shared" si="41"/>
        <v>Work of construction of ladies frisking room for security section and visitors room near factory gate and providing at 2x500MW, BTPS, Deepnagar.</v>
      </c>
      <c r="C356" s="1442">
        <f t="shared" si="41"/>
        <v>0</v>
      </c>
      <c r="D356" s="1443" t="str">
        <f t="shared" si="41"/>
        <v>-</v>
      </c>
      <c r="E356" s="1444">
        <f t="shared" si="41"/>
        <v>0</v>
      </c>
      <c r="F356" s="1444">
        <f t="shared" si="31"/>
        <v>0</v>
      </c>
      <c r="G356" s="1444">
        <f t="shared" si="32"/>
        <v>0</v>
      </c>
      <c r="H356" s="1444">
        <f t="shared" si="33"/>
        <v>0</v>
      </c>
      <c r="I356" s="1444">
        <v>0</v>
      </c>
      <c r="J356" s="1444">
        <v>0</v>
      </c>
      <c r="K356" s="1444"/>
      <c r="L356" s="1444"/>
      <c r="M356" s="1444">
        <f t="shared" si="37"/>
        <v>0</v>
      </c>
      <c r="N356" s="1444">
        <f t="shared" si="34"/>
        <v>0</v>
      </c>
    </row>
    <row r="357" spans="1:14" ht="31" outlineLevel="1">
      <c r="A357" s="1455">
        <f t="shared" si="41"/>
        <v>4.3</v>
      </c>
      <c r="B357" s="1455" t="str">
        <f t="shared" si="41"/>
        <v>Work of dismantling and construction old weathered UCR compound wall on bhogawati riverside in 2x500 MW at BTPS.</v>
      </c>
      <c r="C357" s="1475">
        <f t="shared" si="41"/>
        <v>0</v>
      </c>
      <c r="D357" s="1473" t="str">
        <f t="shared" si="41"/>
        <v>-</v>
      </c>
      <c r="E357" s="1476">
        <f t="shared" si="41"/>
        <v>0</v>
      </c>
      <c r="F357" s="1444">
        <f t="shared" si="31"/>
        <v>0</v>
      </c>
      <c r="G357" s="1444">
        <f t="shared" si="32"/>
        <v>0</v>
      </c>
      <c r="H357" s="1476">
        <f t="shared" si="33"/>
        <v>0</v>
      </c>
      <c r="I357" s="1444">
        <v>0</v>
      </c>
      <c r="J357" s="1444">
        <v>0</v>
      </c>
      <c r="K357" s="1476"/>
      <c r="L357" s="1476"/>
      <c r="M357" s="1476">
        <f t="shared" si="37"/>
        <v>0</v>
      </c>
      <c r="N357" s="1476">
        <f t="shared" si="34"/>
        <v>0</v>
      </c>
    </row>
    <row r="358" spans="1:14" ht="31" outlineLevel="1">
      <c r="A358" s="1455">
        <f t="shared" si="41"/>
        <v>4.4000000000000004</v>
      </c>
      <c r="B358" s="1455" t="str">
        <f t="shared" si="41"/>
        <v>Construcion of RCC comppund wall from remote silo to pimpri sekam railway siding cabin at BTPS</v>
      </c>
      <c r="C358" s="1475">
        <f t="shared" si="41"/>
        <v>0</v>
      </c>
      <c r="D358" s="1473" t="str">
        <f t="shared" si="41"/>
        <v>-</v>
      </c>
      <c r="E358" s="1476">
        <f t="shared" si="41"/>
        <v>0</v>
      </c>
      <c r="F358" s="1444">
        <f t="shared" si="31"/>
        <v>0</v>
      </c>
      <c r="G358" s="1444">
        <f t="shared" si="32"/>
        <v>0</v>
      </c>
      <c r="H358" s="1476">
        <f t="shared" si="33"/>
        <v>0</v>
      </c>
      <c r="I358" s="1444">
        <v>0</v>
      </c>
      <c r="J358" s="1444">
        <v>0</v>
      </c>
      <c r="K358" s="1476"/>
      <c r="L358" s="1476"/>
      <c r="M358" s="1476">
        <f t="shared" si="37"/>
        <v>0</v>
      </c>
      <c r="N358" s="1476">
        <f t="shared" si="34"/>
        <v>0</v>
      </c>
    </row>
    <row r="359" spans="1:14" ht="15.5" outlineLevel="1">
      <c r="A359" s="1455">
        <f t="shared" si="41"/>
        <v>4.5</v>
      </c>
      <c r="B359" s="1455" t="str">
        <f t="shared" si="41"/>
        <v>Installation of Highmast towers</v>
      </c>
      <c r="C359" s="1475">
        <f t="shared" si="41"/>
        <v>0</v>
      </c>
      <c r="D359" s="1473" t="str">
        <f t="shared" si="41"/>
        <v>-</v>
      </c>
      <c r="E359" s="1476">
        <f t="shared" si="41"/>
        <v>0</v>
      </c>
      <c r="F359" s="1444">
        <f t="shared" si="31"/>
        <v>0</v>
      </c>
      <c r="G359" s="1444">
        <f t="shared" si="32"/>
        <v>0</v>
      </c>
      <c r="H359" s="1476">
        <f t="shared" si="33"/>
        <v>0</v>
      </c>
      <c r="I359" s="1444">
        <v>0</v>
      </c>
      <c r="J359" s="1444">
        <v>0</v>
      </c>
      <c r="K359" s="1476"/>
      <c r="L359" s="1476"/>
      <c r="M359" s="1476">
        <f t="shared" si="37"/>
        <v>0</v>
      </c>
      <c r="N359" s="1476">
        <f t="shared" si="34"/>
        <v>0</v>
      </c>
    </row>
    <row r="360" spans="1:14" ht="15.5" outlineLevel="1">
      <c r="A360" s="1457">
        <f t="shared" si="41"/>
        <v>0</v>
      </c>
      <c r="B360" s="1457" t="str">
        <f t="shared" si="41"/>
        <v xml:space="preserve">FY 2026-27 </v>
      </c>
      <c r="C360" s="1475">
        <f t="shared" si="41"/>
        <v>0</v>
      </c>
      <c r="D360" s="1473" t="str">
        <f t="shared" si="41"/>
        <v>-</v>
      </c>
      <c r="E360" s="1476">
        <f t="shared" si="41"/>
        <v>0</v>
      </c>
      <c r="F360" s="1444">
        <f t="shared" si="31"/>
        <v>0</v>
      </c>
      <c r="G360" s="1444">
        <f t="shared" si="32"/>
        <v>0</v>
      </c>
      <c r="H360" s="1476">
        <f t="shared" si="33"/>
        <v>0</v>
      </c>
      <c r="I360" s="1444">
        <v>0</v>
      </c>
      <c r="J360" s="1444">
        <v>0</v>
      </c>
      <c r="K360" s="1476"/>
      <c r="L360" s="1476"/>
      <c r="M360" s="1476">
        <f t="shared" si="37"/>
        <v>0</v>
      </c>
      <c r="N360" s="1476">
        <f t="shared" si="34"/>
        <v>0</v>
      </c>
    </row>
    <row r="361" spans="1:14" ht="31" outlineLevel="1">
      <c r="A361" s="1458">
        <f t="shared" si="41"/>
        <v>1</v>
      </c>
      <c r="B361" s="1459" t="str">
        <f t="shared" si="41"/>
        <v>Coal Mill Performance Improvement and Life Enhancement of BHEL Make XRP-1043 Coal Mills in 2x500 MW BTPS.</v>
      </c>
      <c r="C361" s="1475">
        <f t="shared" si="41"/>
        <v>0</v>
      </c>
      <c r="D361" s="1473" t="str">
        <f t="shared" si="41"/>
        <v>-</v>
      </c>
      <c r="E361" s="1476">
        <f t="shared" si="41"/>
        <v>0</v>
      </c>
      <c r="F361" s="1444">
        <f t="shared" si="31"/>
        <v>0</v>
      </c>
      <c r="G361" s="1444">
        <f t="shared" si="32"/>
        <v>0</v>
      </c>
      <c r="H361" s="1476">
        <f t="shared" si="33"/>
        <v>0</v>
      </c>
      <c r="I361" s="1444">
        <v>0</v>
      </c>
      <c r="J361" s="1444">
        <v>0</v>
      </c>
      <c r="K361" s="1476"/>
      <c r="L361" s="1476"/>
      <c r="M361" s="1476">
        <f t="shared" si="37"/>
        <v>0</v>
      </c>
      <c r="N361" s="1476">
        <f t="shared" si="34"/>
        <v>0</v>
      </c>
    </row>
    <row r="362" spans="1:14" ht="31" outlineLevel="1">
      <c r="A362" s="1455">
        <f t="shared" si="41"/>
        <v>1.1000000000000001</v>
      </c>
      <c r="B362" s="1455" t="str">
        <f t="shared" si="41"/>
        <v>Coal Mill Performance Improvement and Life Enhancement of BHEL Make XRP-1043 Coal Mills in 2x500 MW BTPS.</v>
      </c>
      <c r="C362" s="1475">
        <f t="shared" si="41"/>
        <v>0</v>
      </c>
      <c r="D362" s="1473" t="str">
        <f t="shared" si="41"/>
        <v>-</v>
      </c>
      <c r="E362" s="1476">
        <f t="shared" si="41"/>
        <v>0</v>
      </c>
      <c r="F362" s="1444">
        <f t="shared" si="31"/>
        <v>0</v>
      </c>
      <c r="G362" s="1444">
        <f t="shared" si="32"/>
        <v>0</v>
      </c>
      <c r="H362" s="1476">
        <f t="shared" si="33"/>
        <v>0</v>
      </c>
      <c r="I362" s="1444">
        <v>0</v>
      </c>
      <c r="J362" s="1444">
        <v>0</v>
      </c>
      <c r="K362" s="1476"/>
      <c r="L362" s="1476"/>
      <c r="M362" s="1476">
        <f t="shared" si="37"/>
        <v>0</v>
      </c>
      <c r="N362" s="1476">
        <f t="shared" si="34"/>
        <v>0</v>
      </c>
    </row>
    <row r="363" spans="1:14" ht="46.5" outlineLevel="1">
      <c r="A363" s="1455">
        <f t="shared" si="41"/>
        <v>2</v>
      </c>
      <c r="B363" s="1455" t="str">
        <f t="shared" si="41"/>
        <v xml:space="preserve">Upgradation of Coal feeder weighing system and revamping of Boiler side pneumatic dampers system of Hot air, cold air, FD,PA and burner tilt at Bhusawal TPS 2x500W </v>
      </c>
      <c r="C363" s="1475">
        <f t="shared" si="41"/>
        <v>0</v>
      </c>
      <c r="D363" s="1473" t="str">
        <f t="shared" si="41"/>
        <v>-</v>
      </c>
      <c r="E363" s="1476">
        <f t="shared" si="41"/>
        <v>0</v>
      </c>
      <c r="F363" s="1444">
        <f t="shared" si="31"/>
        <v>0</v>
      </c>
      <c r="G363" s="1444">
        <f t="shared" si="32"/>
        <v>0</v>
      </c>
      <c r="H363" s="1476">
        <f t="shared" si="33"/>
        <v>0</v>
      </c>
      <c r="I363" s="1444">
        <v>0</v>
      </c>
      <c r="J363" s="1444">
        <v>0</v>
      </c>
      <c r="K363" s="1476"/>
      <c r="L363" s="1476"/>
      <c r="M363" s="1476">
        <f t="shared" si="37"/>
        <v>0</v>
      </c>
      <c r="N363" s="1476">
        <f t="shared" si="34"/>
        <v>0</v>
      </c>
    </row>
    <row r="364" spans="1:14" ht="15.5" outlineLevel="1">
      <c r="A364" s="1455">
        <f t="shared" si="41"/>
        <v>2.1</v>
      </c>
      <c r="B364" s="1455" t="str">
        <f t="shared" si="41"/>
        <v xml:space="preserve">Upgradation of Coal feeder weighing system  at Bhusawal TPS 2x500W </v>
      </c>
      <c r="C364" s="1475">
        <f t="shared" si="41"/>
        <v>0</v>
      </c>
      <c r="D364" s="1473" t="str">
        <f t="shared" si="41"/>
        <v>-</v>
      </c>
      <c r="E364" s="1476">
        <f t="shared" si="41"/>
        <v>0</v>
      </c>
      <c r="F364" s="1444">
        <f t="shared" si="31"/>
        <v>0</v>
      </c>
      <c r="G364" s="1444">
        <f t="shared" si="32"/>
        <v>0</v>
      </c>
      <c r="H364" s="1476">
        <f t="shared" si="33"/>
        <v>0</v>
      </c>
      <c r="I364" s="1444">
        <v>0</v>
      </c>
      <c r="J364" s="1444">
        <v>0</v>
      </c>
      <c r="K364" s="1476"/>
      <c r="L364" s="1476"/>
      <c r="M364" s="1476">
        <f t="shared" si="37"/>
        <v>0</v>
      </c>
      <c r="N364" s="1476">
        <f t="shared" si="34"/>
        <v>0</v>
      </c>
    </row>
    <row r="365" spans="1:14" ht="15.5" outlineLevel="1">
      <c r="A365" s="1455">
        <f t="shared" si="41"/>
        <v>2.2000000000000002</v>
      </c>
      <c r="B365" s="1455" t="str">
        <f t="shared" si="41"/>
        <v>Up-gradation of carbon monoxide analyzer in flue gas installed</v>
      </c>
      <c r="C365" s="1475">
        <f t="shared" si="41"/>
        <v>0</v>
      </c>
      <c r="D365" s="1473" t="str">
        <f t="shared" si="41"/>
        <v>-</v>
      </c>
      <c r="E365" s="1476">
        <f t="shared" si="41"/>
        <v>0</v>
      </c>
      <c r="F365" s="1444">
        <f t="shared" si="31"/>
        <v>0</v>
      </c>
      <c r="G365" s="1444">
        <f t="shared" si="32"/>
        <v>0</v>
      </c>
      <c r="H365" s="1476">
        <f t="shared" si="33"/>
        <v>0</v>
      </c>
      <c r="I365" s="1444">
        <v>0</v>
      </c>
      <c r="J365" s="1444">
        <v>0</v>
      </c>
      <c r="K365" s="1476"/>
      <c r="L365" s="1476"/>
      <c r="M365" s="1476">
        <f t="shared" si="37"/>
        <v>0</v>
      </c>
      <c r="N365" s="1476">
        <f t="shared" si="34"/>
        <v>0</v>
      </c>
    </row>
    <row r="366" spans="1:14" ht="31" outlineLevel="1">
      <c r="A366" s="1455">
        <f t="shared" si="41"/>
        <v>2.2999999999999998</v>
      </c>
      <c r="B366" s="1455" t="str">
        <f t="shared" si="41"/>
        <v>Up- Gradation of condition monitoring &amp; analysis system for TSI of Main Turbine , TDBFP &amp; BOP System 2x500 MW BTPS.</v>
      </c>
      <c r="C366" s="1475">
        <f t="shared" si="41"/>
        <v>0</v>
      </c>
      <c r="D366" s="1473" t="str">
        <f t="shared" si="41"/>
        <v>-</v>
      </c>
      <c r="E366" s="1476">
        <f t="shared" si="41"/>
        <v>0</v>
      </c>
      <c r="F366" s="1444">
        <f t="shared" si="31"/>
        <v>0</v>
      </c>
      <c r="G366" s="1444">
        <f t="shared" si="32"/>
        <v>0</v>
      </c>
      <c r="H366" s="1476">
        <f t="shared" si="33"/>
        <v>0</v>
      </c>
      <c r="I366" s="1444">
        <v>0</v>
      </c>
      <c r="J366" s="1444">
        <v>0</v>
      </c>
      <c r="K366" s="1476"/>
      <c r="L366" s="1476"/>
      <c r="M366" s="1476">
        <f t="shared" si="37"/>
        <v>0</v>
      </c>
      <c r="N366" s="1476">
        <f t="shared" si="34"/>
        <v>0</v>
      </c>
    </row>
    <row r="367" spans="1:14" ht="31" outlineLevel="1">
      <c r="A367" s="1455">
        <f t="shared" si="41"/>
        <v>2.5</v>
      </c>
      <c r="B367" s="1455" t="str">
        <f t="shared" si="41"/>
        <v xml:space="preserve">Revamping of Boiler side pneumatic dampers system of Hot air, cold air, FD,PA and burner tilt at BTPS 2X500MW </v>
      </c>
      <c r="C367" s="1475">
        <f t="shared" si="41"/>
        <v>0</v>
      </c>
      <c r="D367" s="1473" t="str">
        <f t="shared" si="41"/>
        <v>-</v>
      </c>
      <c r="E367" s="1476">
        <f t="shared" si="41"/>
        <v>0</v>
      </c>
      <c r="F367" s="1444">
        <f t="shared" si="31"/>
        <v>0</v>
      </c>
      <c r="G367" s="1444">
        <f t="shared" si="32"/>
        <v>0</v>
      </c>
      <c r="H367" s="1476">
        <f t="shared" si="33"/>
        <v>0</v>
      </c>
      <c r="I367" s="1444">
        <v>0</v>
      </c>
      <c r="J367" s="1444">
        <v>0</v>
      </c>
      <c r="K367" s="1476"/>
      <c r="L367" s="1476"/>
      <c r="M367" s="1476">
        <f t="shared" si="37"/>
        <v>0</v>
      </c>
      <c r="N367" s="1476">
        <f t="shared" si="34"/>
        <v>0</v>
      </c>
    </row>
    <row r="368" spans="1:14" ht="15.5" outlineLevel="1">
      <c r="A368" s="1455">
        <f t="shared" ref="A368:E383" si="42">A138</f>
        <v>2.6</v>
      </c>
      <c r="B368" s="1455" t="str">
        <f t="shared" si="42"/>
        <v>Procurement of various high pressure valves at 2x500 MW.</v>
      </c>
      <c r="C368" s="1442">
        <f t="shared" si="42"/>
        <v>0</v>
      </c>
      <c r="D368" s="1443" t="str">
        <f t="shared" si="42"/>
        <v>-</v>
      </c>
      <c r="E368" s="1444">
        <f t="shared" si="42"/>
        <v>0</v>
      </c>
      <c r="F368" s="1444">
        <f t="shared" ref="F368:F431" si="43">F138+I138</f>
        <v>0</v>
      </c>
      <c r="G368" s="1444">
        <f t="shared" ref="G368:G431" si="44">G138+M138</f>
        <v>0</v>
      </c>
      <c r="H368" s="1444">
        <f t="shared" ref="H368:H451" si="45">F368-G368</f>
        <v>0</v>
      </c>
      <c r="I368" s="1444">
        <v>0</v>
      </c>
      <c r="J368" s="1444">
        <v>0</v>
      </c>
      <c r="K368" s="1444"/>
      <c r="L368" s="1444"/>
      <c r="M368" s="1444">
        <f t="shared" si="37"/>
        <v>0</v>
      </c>
      <c r="N368" s="1444">
        <f t="shared" ref="N368:N451" si="46">H368+I368-M368</f>
        <v>0</v>
      </c>
    </row>
    <row r="369" spans="1:14" ht="31" outlineLevel="1">
      <c r="A369" s="1458">
        <f t="shared" si="42"/>
        <v>3</v>
      </c>
      <c r="B369" s="1459" t="str">
        <f t="shared" si="42"/>
        <v>Schemes for Turbine side auxiliaries systems Performance &amp; efficiency improvement schemes at 2X500MW, Bhusawal TPS</v>
      </c>
      <c r="C369" s="1475">
        <f t="shared" si="42"/>
        <v>0</v>
      </c>
      <c r="D369" s="1473" t="str">
        <f t="shared" si="42"/>
        <v>-</v>
      </c>
      <c r="E369" s="1476">
        <f t="shared" si="42"/>
        <v>0</v>
      </c>
      <c r="F369" s="1444">
        <f t="shared" si="43"/>
        <v>0</v>
      </c>
      <c r="G369" s="1444">
        <f t="shared" si="44"/>
        <v>0</v>
      </c>
      <c r="H369" s="1476">
        <f t="shared" si="45"/>
        <v>0</v>
      </c>
      <c r="I369" s="1444">
        <v>0</v>
      </c>
      <c r="J369" s="1444">
        <v>0</v>
      </c>
      <c r="K369" s="1476"/>
      <c r="L369" s="1476"/>
      <c r="M369" s="1476">
        <f t="shared" si="37"/>
        <v>0</v>
      </c>
      <c r="N369" s="1476">
        <f t="shared" si="46"/>
        <v>0</v>
      </c>
    </row>
    <row r="370" spans="1:14" ht="31" outlineLevel="1">
      <c r="A370" s="1455">
        <f t="shared" si="42"/>
        <v>3.1</v>
      </c>
      <c r="B370" s="1455" t="str">
        <f t="shared" si="42"/>
        <v>Procurement of BFP Booster Pump (FA-1B-75) complete assembly (04 Nos) at 500MW BTPS, Bhusawal.</v>
      </c>
      <c r="C370" s="1475">
        <f t="shared" si="42"/>
        <v>0</v>
      </c>
      <c r="D370" s="1473" t="str">
        <f t="shared" si="42"/>
        <v>-</v>
      </c>
      <c r="E370" s="1476">
        <f t="shared" si="42"/>
        <v>0</v>
      </c>
      <c r="F370" s="1444">
        <f t="shared" si="43"/>
        <v>0</v>
      </c>
      <c r="G370" s="1444">
        <f t="shared" si="44"/>
        <v>0</v>
      </c>
      <c r="H370" s="1476">
        <f t="shared" si="45"/>
        <v>0</v>
      </c>
      <c r="I370" s="1444">
        <v>0</v>
      </c>
      <c r="J370" s="1444">
        <v>0</v>
      </c>
      <c r="K370" s="1476"/>
      <c r="L370" s="1476"/>
      <c r="M370" s="1476">
        <f t="shared" si="37"/>
        <v>0</v>
      </c>
      <c r="N370" s="1476">
        <f t="shared" si="46"/>
        <v>0</v>
      </c>
    </row>
    <row r="371" spans="1:14" ht="31" outlineLevel="1">
      <c r="A371" s="1455">
        <f t="shared" si="42"/>
        <v>3.2</v>
      </c>
      <c r="B371" s="1455" t="str">
        <f t="shared" si="42"/>
        <v>Procurement of Vacuum Pump complete assembly with recirculation Pump (01 No) and Impeller assembly (2 Nos) at 500MW BTPS, Bhusawal.</v>
      </c>
      <c r="C371" s="1475">
        <f t="shared" si="42"/>
        <v>0</v>
      </c>
      <c r="D371" s="1473" t="str">
        <f t="shared" si="42"/>
        <v>-</v>
      </c>
      <c r="E371" s="1476">
        <f t="shared" si="42"/>
        <v>0</v>
      </c>
      <c r="F371" s="1444">
        <f t="shared" si="43"/>
        <v>0</v>
      </c>
      <c r="G371" s="1444">
        <f t="shared" si="44"/>
        <v>0</v>
      </c>
      <c r="H371" s="1476">
        <f t="shared" si="45"/>
        <v>0</v>
      </c>
      <c r="I371" s="1444">
        <v>0</v>
      </c>
      <c r="J371" s="1444">
        <v>0</v>
      </c>
      <c r="K371" s="1476"/>
      <c r="L371" s="1476"/>
      <c r="M371" s="1476">
        <f t="shared" si="37"/>
        <v>0</v>
      </c>
      <c r="N371" s="1476">
        <f t="shared" si="46"/>
        <v>0</v>
      </c>
    </row>
    <row r="372" spans="1:14" ht="31" outlineLevel="1">
      <c r="A372" s="1455">
        <f t="shared" si="42"/>
        <v>3.3</v>
      </c>
      <c r="B372" s="1455" t="str">
        <f t="shared" si="42"/>
        <v>Revamping, modification of outdoor ducting of Air ventilation system at 2x500MW BTPS, Bhusawal.</v>
      </c>
      <c r="C372" s="1475">
        <f t="shared" si="42"/>
        <v>0</v>
      </c>
      <c r="D372" s="1473" t="str">
        <f t="shared" si="42"/>
        <v>-</v>
      </c>
      <c r="E372" s="1476">
        <f t="shared" si="42"/>
        <v>0</v>
      </c>
      <c r="F372" s="1444">
        <f t="shared" si="43"/>
        <v>0</v>
      </c>
      <c r="G372" s="1444">
        <f t="shared" si="44"/>
        <v>0</v>
      </c>
      <c r="H372" s="1476">
        <f t="shared" si="45"/>
        <v>0</v>
      </c>
      <c r="I372" s="1444">
        <v>0</v>
      </c>
      <c r="J372" s="1444">
        <v>0</v>
      </c>
      <c r="K372" s="1476"/>
      <c r="L372" s="1476"/>
      <c r="M372" s="1476">
        <f t="shared" si="37"/>
        <v>0</v>
      </c>
      <c r="N372" s="1476">
        <f t="shared" si="46"/>
        <v>0</v>
      </c>
    </row>
    <row r="373" spans="1:14" ht="15.5" outlineLevel="1">
      <c r="A373" s="1455">
        <f t="shared" si="42"/>
        <v>3.4</v>
      </c>
      <c r="B373" s="1455" t="str">
        <f t="shared" si="42"/>
        <v>Performance improvement of compressors</v>
      </c>
      <c r="C373" s="1475">
        <f t="shared" si="42"/>
        <v>0</v>
      </c>
      <c r="D373" s="1473" t="str">
        <f t="shared" si="42"/>
        <v>-</v>
      </c>
      <c r="E373" s="1476">
        <f t="shared" si="42"/>
        <v>0</v>
      </c>
      <c r="F373" s="1444">
        <f t="shared" si="43"/>
        <v>0</v>
      </c>
      <c r="G373" s="1444">
        <f t="shared" si="44"/>
        <v>0</v>
      </c>
      <c r="H373" s="1476">
        <f t="shared" si="45"/>
        <v>0</v>
      </c>
      <c r="I373" s="1444">
        <v>0</v>
      </c>
      <c r="J373" s="1444">
        <v>0</v>
      </c>
      <c r="K373" s="1476"/>
      <c r="L373" s="1476"/>
      <c r="M373" s="1476">
        <f t="shared" si="37"/>
        <v>0</v>
      </c>
      <c r="N373" s="1476">
        <f t="shared" si="46"/>
        <v>0</v>
      </c>
    </row>
    <row r="374" spans="1:14" ht="15.5" outlineLevel="1">
      <c r="A374" s="1455">
        <f t="shared" si="42"/>
        <v>3.5</v>
      </c>
      <c r="B374" s="1455" t="str">
        <f t="shared" si="42"/>
        <v>Centralized Water Management System at BTPS, Deepnagar, Bhusawal</v>
      </c>
      <c r="C374" s="1475">
        <f t="shared" si="42"/>
        <v>0</v>
      </c>
      <c r="D374" s="1473" t="str">
        <f t="shared" si="42"/>
        <v>-</v>
      </c>
      <c r="E374" s="1476">
        <f t="shared" si="42"/>
        <v>0</v>
      </c>
      <c r="F374" s="1444">
        <f t="shared" si="43"/>
        <v>0</v>
      </c>
      <c r="G374" s="1444">
        <f t="shared" si="44"/>
        <v>0</v>
      </c>
      <c r="H374" s="1476">
        <f t="shared" si="45"/>
        <v>0</v>
      </c>
      <c r="I374" s="1444">
        <v>0</v>
      </c>
      <c r="J374" s="1444">
        <v>0</v>
      </c>
      <c r="K374" s="1476"/>
      <c r="L374" s="1476"/>
      <c r="M374" s="1476">
        <f t="shared" si="37"/>
        <v>0</v>
      </c>
      <c r="N374" s="1476">
        <f t="shared" si="46"/>
        <v>0</v>
      </c>
    </row>
    <row r="375" spans="1:14" ht="31" outlineLevel="1">
      <c r="A375" s="1455">
        <f t="shared" si="42"/>
        <v>3.6</v>
      </c>
      <c r="B375" s="1455" t="str">
        <f t="shared" si="42"/>
        <v>Revamping and upgradation of Forbes Marshal make Steam &amp; Water Analysis System Installed at 2x500MW BTPS.</v>
      </c>
      <c r="C375" s="1475">
        <f t="shared" si="42"/>
        <v>0</v>
      </c>
      <c r="D375" s="1473" t="str">
        <f t="shared" si="42"/>
        <v>-</v>
      </c>
      <c r="E375" s="1476">
        <f t="shared" si="42"/>
        <v>0</v>
      </c>
      <c r="F375" s="1444">
        <f t="shared" si="43"/>
        <v>0</v>
      </c>
      <c r="G375" s="1444">
        <f t="shared" si="44"/>
        <v>0</v>
      </c>
      <c r="H375" s="1476">
        <f t="shared" si="45"/>
        <v>0</v>
      </c>
      <c r="I375" s="1444">
        <v>0</v>
      </c>
      <c r="J375" s="1444">
        <v>0</v>
      </c>
      <c r="K375" s="1476"/>
      <c r="L375" s="1476"/>
      <c r="M375" s="1476">
        <f t="shared" si="37"/>
        <v>0</v>
      </c>
      <c r="N375" s="1476">
        <f t="shared" si="46"/>
        <v>0</v>
      </c>
    </row>
    <row r="376" spans="1:14" ht="31" outlineLevel="1">
      <c r="A376" s="1458">
        <f t="shared" si="42"/>
        <v>4</v>
      </c>
      <c r="B376" s="1459" t="str">
        <f t="shared" si="42"/>
        <v>Implementation of flexible operation solutions for technical minimum operation of 2x500MW, BTPS.</v>
      </c>
      <c r="C376" s="1475">
        <f t="shared" si="42"/>
        <v>0</v>
      </c>
      <c r="D376" s="1473" t="str">
        <f t="shared" si="42"/>
        <v>-</v>
      </c>
      <c r="E376" s="1476">
        <f t="shared" si="42"/>
        <v>0</v>
      </c>
      <c r="F376" s="1444">
        <f t="shared" si="43"/>
        <v>0</v>
      </c>
      <c r="G376" s="1444">
        <f t="shared" si="44"/>
        <v>0</v>
      </c>
      <c r="H376" s="1476">
        <f t="shared" si="45"/>
        <v>0</v>
      </c>
      <c r="I376" s="1444">
        <v>0</v>
      </c>
      <c r="J376" s="1444">
        <v>0</v>
      </c>
      <c r="K376" s="1476"/>
      <c r="L376" s="1476"/>
      <c r="M376" s="1476">
        <f t="shared" si="37"/>
        <v>0</v>
      </c>
      <c r="N376" s="1476">
        <f t="shared" si="46"/>
        <v>0</v>
      </c>
    </row>
    <row r="377" spans="1:14" ht="31" outlineLevel="1">
      <c r="A377" s="1455">
        <f t="shared" si="42"/>
        <v>4.0999999999999996</v>
      </c>
      <c r="B377" s="1455" t="str">
        <f t="shared" si="42"/>
        <v>Implementation of flexible operation solutions for technical minimum operation of 2x500MW, BTPS.</v>
      </c>
      <c r="C377" s="1475">
        <f t="shared" si="42"/>
        <v>0</v>
      </c>
      <c r="D377" s="1473" t="str">
        <f t="shared" si="42"/>
        <v>-</v>
      </c>
      <c r="E377" s="1476">
        <f t="shared" si="42"/>
        <v>0</v>
      </c>
      <c r="F377" s="1444">
        <f t="shared" si="43"/>
        <v>0</v>
      </c>
      <c r="G377" s="1444">
        <f t="shared" si="44"/>
        <v>0</v>
      </c>
      <c r="H377" s="1476">
        <f t="shared" si="45"/>
        <v>0</v>
      </c>
      <c r="I377" s="1444">
        <v>0</v>
      </c>
      <c r="J377" s="1444">
        <v>0</v>
      </c>
      <c r="K377" s="1476"/>
      <c r="L377" s="1476"/>
      <c r="M377" s="1476">
        <f t="shared" si="37"/>
        <v>0</v>
      </c>
      <c r="N377" s="1476">
        <f t="shared" si="46"/>
        <v>0</v>
      </c>
    </row>
    <row r="378" spans="1:14" ht="15.5" outlineLevel="1">
      <c r="A378" s="1457">
        <f t="shared" si="42"/>
        <v>0</v>
      </c>
      <c r="B378" s="1457" t="str">
        <f t="shared" si="42"/>
        <v xml:space="preserve">FY 2027-28 </v>
      </c>
      <c r="C378" s="1442">
        <f t="shared" si="42"/>
        <v>0</v>
      </c>
      <c r="D378" s="1443" t="str">
        <f t="shared" si="42"/>
        <v>-</v>
      </c>
      <c r="E378" s="1444">
        <f t="shared" si="42"/>
        <v>0</v>
      </c>
      <c r="F378" s="1444">
        <f t="shared" si="43"/>
        <v>0</v>
      </c>
      <c r="G378" s="1444">
        <f t="shared" si="44"/>
        <v>0</v>
      </c>
      <c r="H378" s="1444">
        <f t="shared" si="45"/>
        <v>0</v>
      </c>
      <c r="I378" s="1444">
        <v>0</v>
      </c>
      <c r="J378" s="1444">
        <v>0</v>
      </c>
      <c r="K378" s="1444"/>
      <c r="L378" s="1444"/>
      <c r="M378" s="1444">
        <f t="shared" si="37"/>
        <v>0</v>
      </c>
      <c r="N378" s="1444">
        <f t="shared" si="46"/>
        <v>0</v>
      </c>
    </row>
    <row r="379" spans="1:14" ht="31" outlineLevel="1">
      <c r="A379" s="1458">
        <f t="shared" si="42"/>
        <v>1</v>
      </c>
      <c r="B379" s="1459" t="str">
        <f t="shared" si="42"/>
        <v>Supply,Installation and commissioning of Boiler performance and reliability improvement schemes at BTPS 2x500MW.</v>
      </c>
      <c r="C379" s="1475">
        <f t="shared" si="42"/>
        <v>0</v>
      </c>
      <c r="D379" s="1473" t="str">
        <f t="shared" si="42"/>
        <v>-</v>
      </c>
      <c r="E379" s="1476">
        <f t="shared" si="42"/>
        <v>0</v>
      </c>
      <c r="F379" s="1444">
        <f t="shared" si="43"/>
        <v>0</v>
      </c>
      <c r="G379" s="1444">
        <f t="shared" si="44"/>
        <v>0</v>
      </c>
      <c r="H379" s="1476">
        <f t="shared" si="45"/>
        <v>0</v>
      </c>
      <c r="I379" s="1444">
        <v>0</v>
      </c>
      <c r="J379" s="1444">
        <v>0</v>
      </c>
      <c r="K379" s="1476"/>
      <c r="L379" s="1476"/>
      <c r="M379" s="1476">
        <f t="shared" si="37"/>
        <v>0</v>
      </c>
      <c r="N379" s="1476">
        <f t="shared" si="46"/>
        <v>0</v>
      </c>
    </row>
    <row r="380" spans="1:14" ht="31" outlineLevel="1">
      <c r="A380" s="1455">
        <f t="shared" si="42"/>
        <v>1.1000000000000001</v>
      </c>
      <c r="B380" s="1455" t="str">
        <f t="shared" si="42"/>
        <v>Procurement of  M/s Torishima, Japan make, 350 KW, 6.6KV, Boiler Circulating Water (BCW) Pump Motors at BTPS 2x500MW.</v>
      </c>
      <c r="C380" s="1475">
        <f t="shared" si="42"/>
        <v>0</v>
      </c>
      <c r="D380" s="1473" t="str">
        <f t="shared" si="42"/>
        <v>-</v>
      </c>
      <c r="E380" s="1476">
        <f t="shared" si="42"/>
        <v>0</v>
      </c>
      <c r="F380" s="1444">
        <f t="shared" si="43"/>
        <v>0</v>
      </c>
      <c r="G380" s="1444">
        <f t="shared" si="44"/>
        <v>0</v>
      </c>
      <c r="H380" s="1476">
        <f t="shared" si="45"/>
        <v>0</v>
      </c>
      <c r="I380" s="1444">
        <v>0</v>
      </c>
      <c r="J380" s="1444">
        <v>0</v>
      </c>
      <c r="K380" s="1476"/>
      <c r="L380" s="1476"/>
      <c r="M380" s="1476">
        <f t="shared" si="37"/>
        <v>0</v>
      </c>
      <c r="N380" s="1476">
        <f t="shared" si="46"/>
        <v>0</v>
      </c>
    </row>
    <row r="381" spans="1:14" ht="31" outlineLevel="1">
      <c r="A381" s="1455">
        <f t="shared" si="42"/>
        <v>1.2</v>
      </c>
      <c r="B381" s="1455" t="str">
        <f t="shared" si="42"/>
        <v>Installation commissioning of Online DC Earth fault monitoring system at 220V DCDB at 500MW U-4&amp;5.</v>
      </c>
      <c r="C381" s="1475">
        <f t="shared" si="42"/>
        <v>0</v>
      </c>
      <c r="D381" s="1473" t="str">
        <f t="shared" si="42"/>
        <v>-</v>
      </c>
      <c r="E381" s="1476">
        <f t="shared" si="42"/>
        <v>0</v>
      </c>
      <c r="F381" s="1444">
        <f t="shared" si="43"/>
        <v>0</v>
      </c>
      <c r="G381" s="1444">
        <f t="shared" si="44"/>
        <v>0</v>
      </c>
      <c r="H381" s="1476">
        <f t="shared" si="45"/>
        <v>0</v>
      </c>
      <c r="I381" s="1444">
        <v>0</v>
      </c>
      <c r="J381" s="1444">
        <v>0</v>
      </c>
      <c r="K381" s="1476"/>
      <c r="L381" s="1476"/>
      <c r="M381" s="1476">
        <f t="shared" si="37"/>
        <v>0</v>
      </c>
      <c r="N381" s="1476">
        <f t="shared" si="46"/>
        <v>0</v>
      </c>
    </row>
    <row r="382" spans="1:14" ht="31" outlineLevel="1">
      <c r="A382" s="1455">
        <f t="shared" si="42"/>
        <v>1.3</v>
      </c>
      <c r="B382" s="1455" t="str">
        <f t="shared" si="42"/>
        <v>Design,  supply, erection, comms. Of ID VFD &amp; AHP transformers for 2x500MW BTPS.</v>
      </c>
      <c r="C382" s="1475">
        <f t="shared" si="42"/>
        <v>0</v>
      </c>
      <c r="D382" s="1473" t="str">
        <f t="shared" si="42"/>
        <v>-</v>
      </c>
      <c r="E382" s="1476">
        <f t="shared" si="42"/>
        <v>0</v>
      </c>
      <c r="F382" s="1444">
        <f t="shared" si="43"/>
        <v>0</v>
      </c>
      <c r="G382" s="1444">
        <f t="shared" si="44"/>
        <v>0</v>
      </c>
      <c r="H382" s="1476">
        <f t="shared" si="45"/>
        <v>0</v>
      </c>
      <c r="I382" s="1444">
        <v>0</v>
      </c>
      <c r="J382" s="1444">
        <v>0</v>
      </c>
      <c r="K382" s="1476"/>
      <c r="L382" s="1476"/>
      <c r="M382" s="1476">
        <f t="shared" si="37"/>
        <v>0</v>
      </c>
      <c r="N382" s="1476">
        <f t="shared" si="46"/>
        <v>0</v>
      </c>
    </row>
    <row r="383" spans="1:14" ht="31" outlineLevel="1">
      <c r="A383" s="1455">
        <f t="shared" si="42"/>
        <v>1.4</v>
      </c>
      <c r="B383" s="1455" t="str">
        <f t="shared" si="42"/>
        <v>Design,supply,installation and commissioning of Energy efficient  System for illumination at BTPS 2x500MW.</v>
      </c>
      <c r="C383" s="1475">
        <f t="shared" si="42"/>
        <v>0</v>
      </c>
      <c r="D383" s="1473" t="str">
        <f t="shared" si="42"/>
        <v>-</v>
      </c>
      <c r="E383" s="1476">
        <f t="shared" si="42"/>
        <v>0</v>
      </c>
      <c r="F383" s="1444">
        <f t="shared" si="43"/>
        <v>0</v>
      </c>
      <c r="G383" s="1444">
        <f t="shared" si="44"/>
        <v>0</v>
      </c>
      <c r="H383" s="1476">
        <f t="shared" si="45"/>
        <v>0</v>
      </c>
      <c r="I383" s="1444">
        <v>0</v>
      </c>
      <c r="J383" s="1444">
        <v>0</v>
      </c>
      <c r="K383" s="1476"/>
      <c r="L383" s="1476"/>
      <c r="M383" s="1476">
        <f t="shared" si="37"/>
        <v>0</v>
      </c>
      <c r="N383" s="1476">
        <f t="shared" si="46"/>
        <v>0</v>
      </c>
    </row>
    <row r="384" spans="1:14" ht="31" outlineLevel="1">
      <c r="A384" s="1455">
        <f t="shared" ref="A384:E399" si="47">A154</f>
        <v>1.5</v>
      </c>
      <c r="B384" s="1455" t="str">
        <f t="shared" si="47"/>
        <v>Procurement of  Main Gear unit assembly of electrical Actuators in 2x500MW BTPS</v>
      </c>
      <c r="C384" s="1442">
        <f t="shared" si="47"/>
        <v>0</v>
      </c>
      <c r="D384" s="1443" t="str">
        <f t="shared" si="47"/>
        <v>-</v>
      </c>
      <c r="E384" s="1444">
        <f t="shared" si="47"/>
        <v>0</v>
      </c>
      <c r="F384" s="1444">
        <f t="shared" si="43"/>
        <v>0</v>
      </c>
      <c r="G384" s="1444">
        <f t="shared" si="44"/>
        <v>0</v>
      </c>
      <c r="H384" s="1444">
        <f t="shared" si="45"/>
        <v>0</v>
      </c>
      <c r="I384" s="1444">
        <v>0</v>
      </c>
      <c r="J384" s="1444">
        <v>0</v>
      </c>
      <c r="K384" s="1444"/>
      <c r="L384" s="1444"/>
      <c r="M384" s="1444">
        <f t="shared" si="37"/>
        <v>0</v>
      </c>
      <c r="N384" s="1444">
        <f t="shared" si="46"/>
        <v>0</v>
      </c>
    </row>
    <row r="385" spans="1:14" ht="31" outlineLevel="1">
      <c r="A385" s="1455">
        <f t="shared" si="47"/>
        <v>1.6</v>
      </c>
      <c r="B385" s="1455" t="str">
        <f t="shared" si="47"/>
        <v>Supply, erection, commissioning &amp; site testing of 360V, 750 AH Station UPS Battery Sets  along with accessories for Unit No.5 at BTPS 2x500MW.</v>
      </c>
      <c r="C385" s="1475">
        <f t="shared" si="47"/>
        <v>0</v>
      </c>
      <c r="D385" s="1473" t="str">
        <f t="shared" si="47"/>
        <v>-</v>
      </c>
      <c r="E385" s="1476">
        <f t="shared" si="47"/>
        <v>0</v>
      </c>
      <c r="F385" s="1444">
        <f t="shared" si="43"/>
        <v>0</v>
      </c>
      <c r="G385" s="1444">
        <f t="shared" si="44"/>
        <v>0</v>
      </c>
      <c r="H385" s="1476">
        <f t="shared" si="45"/>
        <v>0</v>
      </c>
      <c r="I385" s="1444">
        <v>0</v>
      </c>
      <c r="J385" s="1444">
        <v>0</v>
      </c>
      <c r="K385" s="1476"/>
      <c r="L385" s="1476"/>
      <c r="M385" s="1476">
        <f t="shared" si="37"/>
        <v>0</v>
      </c>
      <c r="N385" s="1476">
        <f t="shared" si="46"/>
        <v>0</v>
      </c>
    </row>
    <row r="386" spans="1:14" ht="15.5" outlineLevel="1">
      <c r="A386" s="1455">
        <f t="shared" si="47"/>
        <v>1.7</v>
      </c>
      <c r="B386" s="1455" t="str">
        <f t="shared" si="47"/>
        <v xml:space="preserve">Upgradation of EWLI system  at Bhusawal TPS 2x500W </v>
      </c>
      <c r="C386" s="1442">
        <f t="shared" si="47"/>
        <v>0</v>
      </c>
      <c r="D386" s="1443" t="str">
        <f t="shared" si="47"/>
        <v>-</v>
      </c>
      <c r="E386" s="1444">
        <f t="shared" si="47"/>
        <v>0</v>
      </c>
      <c r="F386" s="1444">
        <f t="shared" si="43"/>
        <v>0</v>
      </c>
      <c r="G386" s="1444">
        <f t="shared" si="44"/>
        <v>0</v>
      </c>
      <c r="H386" s="1444">
        <f t="shared" si="45"/>
        <v>0</v>
      </c>
      <c r="I386" s="1444">
        <v>0</v>
      </c>
      <c r="J386" s="1444">
        <v>0</v>
      </c>
      <c r="K386" s="1444"/>
      <c r="L386" s="1444"/>
      <c r="M386" s="1444">
        <f t="shared" si="37"/>
        <v>0</v>
      </c>
      <c r="N386" s="1444">
        <f t="shared" si="46"/>
        <v>0</v>
      </c>
    </row>
    <row r="387" spans="1:14" ht="46.5" outlineLevel="1">
      <c r="A387" s="1458">
        <f t="shared" si="47"/>
        <v>2</v>
      </c>
      <c r="B387" s="1459" t="str">
        <f t="shared" si="47"/>
        <v>Performance improvement of Bottom ash evacualtion system to reduce auxillary power consumption, water consumption &amp; environmental pollution at 2X500MW, Bhusawal TPS</v>
      </c>
      <c r="C387" s="1475">
        <f t="shared" si="47"/>
        <v>0</v>
      </c>
      <c r="D387" s="1473" t="str">
        <f t="shared" si="47"/>
        <v>-</v>
      </c>
      <c r="E387" s="1476">
        <f t="shared" si="47"/>
        <v>0</v>
      </c>
      <c r="F387" s="1444">
        <f t="shared" si="43"/>
        <v>0</v>
      </c>
      <c r="G387" s="1444">
        <f t="shared" si="44"/>
        <v>0</v>
      </c>
      <c r="H387" s="1476">
        <f t="shared" si="45"/>
        <v>0</v>
      </c>
      <c r="I387" s="1444">
        <v>0</v>
      </c>
      <c r="J387" s="1444">
        <v>0</v>
      </c>
      <c r="K387" s="1476"/>
      <c r="L387" s="1476"/>
      <c r="M387" s="1476">
        <f t="shared" si="37"/>
        <v>0</v>
      </c>
      <c r="N387" s="1476">
        <f t="shared" si="46"/>
        <v>0</v>
      </c>
    </row>
    <row r="388" spans="1:14" ht="31" outlineLevel="1">
      <c r="A388" s="1455">
        <f t="shared" si="47"/>
        <v>2.1</v>
      </c>
      <c r="B388" s="1455" t="str">
        <f t="shared" si="47"/>
        <v>Modification of latest design AR 200/550 Ash slurry pump assembly including auxillaries at AHP, 2x500MW, BTPS.</v>
      </c>
      <c r="C388" s="1442">
        <f t="shared" si="47"/>
        <v>0</v>
      </c>
      <c r="D388" s="1443" t="str">
        <f t="shared" si="47"/>
        <v>-</v>
      </c>
      <c r="E388" s="1444">
        <f t="shared" si="47"/>
        <v>0</v>
      </c>
      <c r="F388" s="1444">
        <f t="shared" si="43"/>
        <v>0</v>
      </c>
      <c r="G388" s="1444">
        <f t="shared" si="44"/>
        <v>0</v>
      </c>
      <c r="H388" s="1444">
        <f t="shared" si="45"/>
        <v>0</v>
      </c>
      <c r="I388" s="1444">
        <v>0</v>
      </c>
      <c r="J388" s="1444">
        <v>0</v>
      </c>
      <c r="K388" s="1444"/>
      <c r="L388" s="1444"/>
      <c r="M388" s="1444">
        <f t="shared" si="37"/>
        <v>0</v>
      </c>
      <c r="N388" s="1444">
        <f t="shared" si="46"/>
        <v>0</v>
      </c>
    </row>
    <row r="389" spans="1:14" ht="31" outlineLevel="1">
      <c r="A389" s="1455">
        <f t="shared" si="47"/>
        <v>2.2000000000000002</v>
      </c>
      <c r="B389" s="1455" t="str">
        <f t="shared" si="47"/>
        <v>Modification of single roll reversible clinker grinder system at AHP, 2x500MW, BTPS</v>
      </c>
      <c r="C389" s="1475">
        <f t="shared" si="47"/>
        <v>0</v>
      </c>
      <c r="D389" s="1473" t="str">
        <f t="shared" si="47"/>
        <v>-</v>
      </c>
      <c r="E389" s="1476">
        <f t="shared" si="47"/>
        <v>0</v>
      </c>
      <c r="F389" s="1444">
        <f t="shared" si="43"/>
        <v>0</v>
      </c>
      <c r="G389" s="1444">
        <f t="shared" si="44"/>
        <v>0</v>
      </c>
      <c r="H389" s="1476">
        <f t="shared" si="45"/>
        <v>0</v>
      </c>
      <c r="I389" s="1444">
        <v>0</v>
      </c>
      <c r="J389" s="1444">
        <v>0</v>
      </c>
      <c r="K389" s="1476"/>
      <c r="L389" s="1476"/>
      <c r="M389" s="1476">
        <f t="shared" ref="M389:M452" si="48">SUM(J389:L389)</f>
        <v>0</v>
      </c>
      <c r="N389" s="1476">
        <f t="shared" si="46"/>
        <v>0</v>
      </c>
    </row>
    <row r="390" spans="1:14" ht="31" outlineLevel="1">
      <c r="A390" s="1455">
        <f t="shared" si="47"/>
        <v>2.2999999999999998</v>
      </c>
      <c r="B390" s="1455" t="str">
        <f t="shared" si="47"/>
        <v>Modification of bottom ash &amp; coarse ash slurry pipe line disposal system at AHP 2X500 MW BTPS</v>
      </c>
      <c r="C390" s="1475">
        <f t="shared" si="47"/>
        <v>0</v>
      </c>
      <c r="D390" s="1473" t="str">
        <f t="shared" si="47"/>
        <v>-</v>
      </c>
      <c r="E390" s="1476">
        <f t="shared" si="47"/>
        <v>0</v>
      </c>
      <c r="F390" s="1444">
        <f t="shared" si="43"/>
        <v>0</v>
      </c>
      <c r="G390" s="1444">
        <f t="shared" si="44"/>
        <v>0</v>
      </c>
      <c r="H390" s="1476">
        <f t="shared" si="45"/>
        <v>0</v>
      </c>
      <c r="I390" s="1444">
        <v>0</v>
      </c>
      <c r="J390" s="1444">
        <v>0</v>
      </c>
      <c r="K390" s="1476"/>
      <c r="L390" s="1476"/>
      <c r="M390" s="1476">
        <f t="shared" si="48"/>
        <v>0</v>
      </c>
      <c r="N390" s="1476">
        <f t="shared" si="46"/>
        <v>0</v>
      </c>
    </row>
    <row r="391" spans="1:14" ht="15.5" outlineLevel="1">
      <c r="A391" s="1458">
        <f t="shared" si="47"/>
        <v>3</v>
      </c>
      <c r="B391" s="1459" t="str">
        <f t="shared" si="47"/>
        <v>Boiler Reliability &amp; Availability improvement at 2x500MW, Bhusawal TPS.</v>
      </c>
      <c r="C391" s="1442">
        <f t="shared" si="47"/>
        <v>0</v>
      </c>
      <c r="D391" s="1443" t="str">
        <f t="shared" si="47"/>
        <v>-</v>
      </c>
      <c r="E391" s="1444">
        <f t="shared" si="47"/>
        <v>0</v>
      </c>
      <c r="F391" s="1444">
        <f t="shared" si="43"/>
        <v>0</v>
      </c>
      <c r="G391" s="1444">
        <f t="shared" si="44"/>
        <v>0</v>
      </c>
      <c r="H391" s="1444">
        <f t="shared" si="45"/>
        <v>0</v>
      </c>
      <c r="I391" s="1444">
        <v>0</v>
      </c>
      <c r="J391" s="1444">
        <v>0</v>
      </c>
      <c r="K391" s="1444"/>
      <c r="L391" s="1444"/>
      <c r="M391" s="1444">
        <f t="shared" si="48"/>
        <v>0</v>
      </c>
      <c r="N391" s="1444">
        <f t="shared" si="46"/>
        <v>0</v>
      </c>
    </row>
    <row r="392" spans="1:14" ht="15.5" outlineLevel="1">
      <c r="A392" s="1455">
        <f t="shared" si="47"/>
        <v>3.1</v>
      </c>
      <c r="B392" s="1455" t="str">
        <f t="shared" si="47"/>
        <v>Procurement of Boiler Coils (CRH &amp;HRH) at 2x500MW BTPS.</v>
      </c>
      <c r="C392" s="1475">
        <f t="shared" si="47"/>
        <v>0</v>
      </c>
      <c r="D392" s="1473" t="str">
        <f t="shared" si="47"/>
        <v>-</v>
      </c>
      <c r="E392" s="1476">
        <f t="shared" si="47"/>
        <v>0</v>
      </c>
      <c r="F392" s="1444">
        <f t="shared" si="43"/>
        <v>0</v>
      </c>
      <c r="G392" s="1444">
        <f t="shared" si="44"/>
        <v>0</v>
      </c>
      <c r="H392" s="1476">
        <f t="shared" si="45"/>
        <v>0</v>
      </c>
      <c r="I392" s="1444">
        <v>0</v>
      </c>
      <c r="J392" s="1444">
        <v>0</v>
      </c>
      <c r="K392" s="1476"/>
      <c r="L392" s="1476"/>
      <c r="M392" s="1476">
        <f t="shared" si="48"/>
        <v>0</v>
      </c>
      <c r="N392" s="1476">
        <f t="shared" si="46"/>
        <v>0</v>
      </c>
    </row>
    <row r="393" spans="1:14" ht="15.5" outlineLevel="1">
      <c r="A393" s="1455">
        <f t="shared" si="47"/>
        <v>3.2</v>
      </c>
      <c r="B393" s="1455" t="str">
        <f t="shared" si="47"/>
        <v>Procurement of ID fan impeller with shaft at 2x500 MW BTPS.</v>
      </c>
      <c r="C393" s="1475">
        <f t="shared" si="47"/>
        <v>0</v>
      </c>
      <c r="D393" s="1473" t="str">
        <f t="shared" si="47"/>
        <v>-</v>
      </c>
      <c r="E393" s="1476">
        <f t="shared" si="47"/>
        <v>0</v>
      </c>
      <c r="F393" s="1444">
        <f t="shared" si="43"/>
        <v>0</v>
      </c>
      <c r="G393" s="1444">
        <f t="shared" si="44"/>
        <v>0</v>
      </c>
      <c r="H393" s="1476">
        <f t="shared" si="45"/>
        <v>0</v>
      </c>
      <c r="I393" s="1444">
        <v>0</v>
      </c>
      <c r="J393" s="1444">
        <v>0</v>
      </c>
      <c r="K393" s="1476"/>
      <c r="L393" s="1476"/>
      <c r="M393" s="1476">
        <f t="shared" si="48"/>
        <v>0</v>
      </c>
      <c r="N393" s="1476">
        <f t="shared" si="46"/>
        <v>0</v>
      </c>
    </row>
    <row r="394" spans="1:14" ht="31" outlineLevel="1">
      <c r="A394" s="1455">
        <f t="shared" si="47"/>
        <v>3.3</v>
      </c>
      <c r="B394" s="1455" t="str">
        <f t="shared" si="47"/>
        <v>Procurement SH,RH,MS outlet valves with actuator and motor at 2x500 MW BTPS.</v>
      </c>
      <c r="C394" s="1442">
        <f t="shared" si="47"/>
        <v>0</v>
      </c>
      <c r="D394" s="1443" t="str">
        <f t="shared" si="47"/>
        <v>-</v>
      </c>
      <c r="E394" s="1444">
        <f t="shared" si="47"/>
        <v>0</v>
      </c>
      <c r="F394" s="1444">
        <f t="shared" si="43"/>
        <v>0</v>
      </c>
      <c r="G394" s="1444">
        <f t="shared" si="44"/>
        <v>0</v>
      </c>
      <c r="H394" s="1444">
        <f t="shared" si="45"/>
        <v>0</v>
      </c>
      <c r="I394" s="1444">
        <v>0</v>
      </c>
      <c r="J394" s="1444">
        <v>0</v>
      </c>
      <c r="K394" s="1444"/>
      <c r="L394" s="1444"/>
      <c r="M394" s="1444">
        <f t="shared" si="48"/>
        <v>0</v>
      </c>
      <c r="N394" s="1444">
        <f t="shared" si="46"/>
        <v>0</v>
      </c>
    </row>
    <row r="395" spans="1:14" ht="15.5" outlineLevel="1">
      <c r="A395" s="1458">
        <f t="shared" si="47"/>
        <v>4</v>
      </c>
      <c r="B395" s="1459" t="str">
        <f t="shared" si="47"/>
        <v>CHP Infrastructure Development Schemes</v>
      </c>
      <c r="C395" s="1475">
        <f t="shared" si="47"/>
        <v>0</v>
      </c>
      <c r="D395" s="1473" t="str">
        <f t="shared" si="47"/>
        <v>-</v>
      </c>
      <c r="E395" s="1476">
        <f t="shared" si="47"/>
        <v>0</v>
      </c>
      <c r="F395" s="1444">
        <f t="shared" si="43"/>
        <v>0</v>
      </c>
      <c r="G395" s="1444">
        <f t="shared" si="44"/>
        <v>0</v>
      </c>
      <c r="H395" s="1476">
        <f t="shared" si="45"/>
        <v>0</v>
      </c>
      <c r="I395" s="1444">
        <v>0</v>
      </c>
      <c r="J395" s="1444">
        <v>0</v>
      </c>
      <c r="K395" s="1476"/>
      <c r="L395" s="1476"/>
      <c r="M395" s="1476">
        <f t="shared" si="48"/>
        <v>0</v>
      </c>
      <c r="N395" s="1476">
        <f t="shared" si="46"/>
        <v>0</v>
      </c>
    </row>
    <row r="396" spans="1:14" ht="31" outlineLevel="1">
      <c r="A396" s="1455">
        <f t="shared" si="47"/>
        <v>4.0999999999999996</v>
      </c>
      <c r="B396" s="1455" t="str">
        <f t="shared" si="47"/>
        <v>Supply, installation and commissioning PLC system on a single platform to match with external aspect &amp; process improvement at CHP 2x500MW BTPS.</v>
      </c>
      <c r="C396" s="1475">
        <f t="shared" si="47"/>
        <v>0</v>
      </c>
      <c r="D396" s="1473" t="str">
        <f t="shared" si="47"/>
        <v>-</v>
      </c>
      <c r="E396" s="1476">
        <f t="shared" si="47"/>
        <v>0</v>
      </c>
      <c r="F396" s="1444">
        <f t="shared" si="43"/>
        <v>0</v>
      </c>
      <c r="G396" s="1444">
        <f t="shared" si="44"/>
        <v>0</v>
      </c>
      <c r="H396" s="1476">
        <f t="shared" si="45"/>
        <v>0</v>
      </c>
      <c r="I396" s="1444">
        <v>0</v>
      </c>
      <c r="J396" s="1444">
        <v>0</v>
      </c>
      <c r="K396" s="1476"/>
      <c r="L396" s="1476"/>
      <c r="M396" s="1476">
        <f t="shared" si="48"/>
        <v>0</v>
      </c>
      <c r="N396" s="1476">
        <f t="shared" si="46"/>
        <v>0</v>
      </c>
    </row>
    <row r="397" spans="1:14" ht="31" outlineLevel="1">
      <c r="A397" s="1455">
        <f t="shared" si="47"/>
        <v>4.2</v>
      </c>
      <c r="B397" s="1455" t="str">
        <f t="shared" si="47"/>
        <v>Supply, installation, retrofitting and commissioning of HT breaker at HT Switchgear in CHP 2x500MW BTPS</v>
      </c>
      <c r="C397" s="1475">
        <f t="shared" si="47"/>
        <v>0</v>
      </c>
      <c r="D397" s="1473" t="str">
        <f t="shared" si="47"/>
        <v>-</v>
      </c>
      <c r="E397" s="1476">
        <f t="shared" si="47"/>
        <v>0</v>
      </c>
      <c r="F397" s="1444">
        <f t="shared" si="43"/>
        <v>0</v>
      </c>
      <c r="G397" s="1444">
        <f t="shared" si="44"/>
        <v>0</v>
      </c>
      <c r="H397" s="1476">
        <f t="shared" si="45"/>
        <v>0</v>
      </c>
      <c r="I397" s="1444">
        <v>0</v>
      </c>
      <c r="J397" s="1444">
        <v>0</v>
      </c>
      <c r="K397" s="1476"/>
      <c r="L397" s="1476"/>
      <c r="M397" s="1476">
        <f t="shared" si="48"/>
        <v>0</v>
      </c>
      <c r="N397" s="1476">
        <f t="shared" si="46"/>
        <v>0</v>
      </c>
    </row>
    <row r="398" spans="1:14" ht="31" outlineLevel="1">
      <c r="A398" s="1455">
        <f t="shared" si="47"/>
        <v>4.3</v>
      </c>
      <c r="B398" s="1455" t="str">
        <f t="shared" si="47"/>
        <v>Supply, installation, retrofitting and commissioning of LT breaker at LT Switchgear in CHP 2x500MW BTPS.</v>
      </c>
      <c r="C398" s="1475">
        <f t="shared" si="47"/>
        <v>0</v>
      </c>
      <c r="D398" s="1473" t="str">
        <f t="shared" si="47"/>
        <v>-</v>
      </c>
      <c r="E398" s="1476">
        <f t="shared" si="47"/>
        <v>0</v>
      </c>
      <c r="F398" s="1444">
        <f t="shared" si="43"/>
        <v>0</v>
      </c>
      <c r="G398" s="1444">
        <f t="shared" si="44"/>
        <v>0</v>
      </c>
      <c r="H398" s="1476">
        <f t="shared" si="45"/>
        <v>0</v>
      </c>
      <c r="I398" s="1444">
        <v>0</v>
      </c>
      <c r="J398" s="1444">
        <v>0</v>
      </c>
      <c r="K398" s="1476"/>
      <c r="L398" s="1476"/>
      <c r="M398" s="1476">
        <f t="shared" si="48"/>
        <v>0</v>
      </c>
      <c r="N398" s="1476">
        <f t="shared" si="46"/>
        <v>0</v>
      </c>
    </row>
    <row r="399" spans="1:14" ht="31" outlineLevel="1">
      <c r="A399" s="1455">
        <f t="shared" si="47"/>
        <v>4.4000000000000004</v>
      </c>
      <c r="B399" s="1455" t="str">
        <f t="shared" si="47"/>
        <v>Supply, Installation &amp; Commissioning of  Magnetic Separators at CHP 2x 500MW BTPS Deepnagar</v>
      </c>
      <c r="C399" s="1475">
        <f t="shared" si="47"/>
        <v>0</v>
      </c>
      <c r="D399" s="1473" t="str">
        <f t="shared" si="47"/>
        <v>-</v>
      </c>
      <c r="E399" s="1476">
        <f t="shared" si="47"/>
        <v>0</v>
      </c>
      <c r="F399" s="1444">
        <f t="shared" si="43"/>
        <v>0</v>
      </c>
      <c r="G399" s="1444">
        <f t="shared" si="44"/>
        <v>0</v>
      </c>
      <c r="H399" s="1476">
        <f t="shared" si="45"/>
        <v>0</v>
      </c>
      <c r="I399" s="1444">
        <v>0</v>
      </c>
      <c r="J399" s="1444">
        <v>0</v>
      </c>
      <c r="K399" s="1476"/>
      <c r="L399" s="1476"/>
      <c r="M399" s="1476">
        <f t="shared" si="48"/>
        <v>0</v>
      </c>
      <c r="N399" s="1476">
        <f t="shared" si="46"/>
        <v>0</v>
      </c>
    </row>
    <row r="400" spans="1:14" ht="31" outlineLevel="1">
      <c r="A400" s="1455">
        <f t="shared" ref="A400:E415" si="49">A170</f>
        <v>4.5</v>
      </c>
      <c r="B400" s="1455" t="str">
        <f t="shared" si="49"/>
        <v>Supply, Installation &amp; Commissioning Flameproof lighting at CHP 2x 500MW BTPS Deepnagar</v>
      </c>
      <c r="C400" s="1475">
        <f t="shared" si="49"/>
        <v>0</v>
      </c>
      <c r="D400" s="1473" t="str">
        <f t="shared" si="49"/>
        <v>-</v>
      </c>
      <c r="E400" s="1476">
        <f t="shared" si="49"/>
        <v>0</v>
      </c>
      <c r="F400" s="1444">
        <f t="shared" si="43"/>
        <v>0</v>
      </c>
      <c r="G400" s="1444">
        <f t="shared" si="44"/>
        <v>0</v>
      </c>
      <c r="H400" s="1476">
        <f t="shared" si="45"/>
        <v>0</v>
      </c>
      <c r="I400" s="1444">
        <v>0</v>
      </c>
      <c r="J400" s="1444">
        <v>0</v>
      </c>
      <c r="K400" s="1476"/>
      <c r="L400" s="1476"/>
      <c r="M400" s="1476">
        <f t="shared" si="48"/>
        <v>0</v>
      </c>
      <c r="N400" s="1476">
        <f t="shared" si="46"/>
        <v>0</v>
      </c>
    </row>
    <row r="401" spans="1:14" ht="15.5" outlineLevel="1">
      <c r="A401" s="1455">
        <f t="shared" si="49"/>
        <v>4.5999999999999996</v>
      </c>
      <c r="B401" s="1455" t="str">
        <f t="shared" si="49"/>
        <v>Supply, Installation &amp; upgradation of HT /LT relay at CHP BTPS.</v>
      </c>
      <c r="C401" s="1475">
        <f t="shared" si="49"/>
        <v>0</v>
      </c>
      <c r="D401" s="1473" t="str">
        <f t="shared" si="49"/>
        <v>-</v>
      </c>
      <c r="E401" s="1476">
        <f t="shared" si="49"/>
        <v>0</v>
      </c>
      <c r="F401" s="1444">
        <f t="shared" si="43"/>
        <v>0</v>
      </c>
      <c r="G401" s="1444">
        <f t="shared" si="44"/>
        <v>0</v>
      </c>
      <c r="H401" s="1476">
        <f t="shared" si="45"/>
        <v>0</v>
      </c>
      <c r="I401" s="1444">
        <v>0</v>
      </c>
      <c r="J401" s="1444">
        <v>0</v>
      </c>
      <c r="K401" s="1476"/>
      <c r="L401" s="1476"/>
      <c r="M401" s="1476">
        <f t="shared" si="48"/>
        <v>0</v>
      </c>
      <c r="N401" s="1476">
        <f t="shared" si="46"/>
        <v>0</v>
      </c>
    </row>
    <row r="402" spans="1:14" ht="15.5" outlineLevel="1">
      <c r="A402" s="1458">
        <f t="shared" si="49"/>
        <v>5</v>
      </c>
      <c r="B402" s="1459" t="str">
        <f t="shared" si="49"/>
        <v>Detail  Project report of improvement of Unloading in Coal handling Plant BTPS.</v>
      </c>
      <c r="C402" s="1475">
        <f t="shared" si="49"/>
        <v>0</v>
      </c>
      <c r="D402" s="1473" t="str">
        <f t="shared" si="49"/>
        <v>-</v>
      </c>
      <c r="E402" s="1476">
        <f t="shared" si="49"/>
        <v>0</v>
      </c>
      <c r="F402" s="1444">
        <f t="shared" si="43"/>
        <v>0</v>
      </c>
      <c r="G402" s="1444">
        <f t="shared" si="44"/>
        <v>0</v>
      </c>
      <c r="H402" s="1476">
        <f t="shared" si="45"/>
        <v>0</v>
      </c>
      <c r="I402" s="1444">
        <v>0</v>
      </c>
      <c r="J402" s="1444">
        <v>0</v>
      </c>
      <c r="K402" s="1476"/>
      <c r="L402" s="1476"/>
      <c r="M402" s="1476">
        <f t="shared" si="48"/>
        <v>0</v>
      </c>
      <c r="N402" s="1476">
        <f t="shared" si="46"/>
        <v>0</v>
      </c>
    </row>
    <row r="403" spans="1:14" ht="15.5" outlineLevel="1">
      <c r="A403" s="1455">
        <f t="shared" si="49"/>
        <v>5.0999999999999996</v>
      </c>
      <c r="B403" s="1455" t="str">
        <f t="shared" si="49"/>
        <v>Procurement of 04 no of locomotives for Coal handling Plant BTPS.</v>
      </c>
      <c r="C403" s="1475">
        <f t="shared" si="49"/>
        <v>0</v>
      </c>
      <c r="D403" s="1473" t="str">
        <f t="shared" si="49"/>
        <v>-</v>
      </c>
      <c r="E403" s="1476">
        <f t="shared" si="49"/>
        <v>0</v>
      </c>
      <c r="F403" s="1444">
        <f t="shared" si="43"/>
        <v>0</v>
      </c>
      <c r="G403" s="1444">
        <f t="shared" si="44"/>
        <v>0</v>
      </c>
      <c r="H403" s="1476">
        <f t="shared" si="45"/>
        <v>0</v>
      </c>
      <c r="I403" s="1444">
        <v>0</v>
      </c>
      <c r="J403" s="1444">
        <v>0</v>
      </c>
      <c r="K403" s="1476"/>
      <c r="L403" s="1476"/>
      <c r="M403" s="1476">
        <f t="shared" si="48"/>
        <v>0</v>
      </c>
      <c r="N403" s="1476">
        <f t="shared" si="46"/>
        <v>0</v>
      </c>
    </row>
    <row r="404" spans="1:14" ht="31" outlineLevel="1">
      <c r="A404" s="1455">
        <f t="shared" si="49"/>
        <v>5.2</v>
      </c>
      <c r="B404" s="1455" t="str">
        <f t="shared" si="49"/>
        <v>Design Supply Erection and Comission of Hour glass shape Coal diverting chutes with extra life wear resistant plates in CHP, BTPS.</v>
      </c>
      <c r="C404" s="1475">
        <f t="shared" si="49"/>
        <v>0</v>
      </c>
      <c r="D404" s="1473" t="str">
        <f t="shared" si="49"/>
        <v>-</v>
      </c>
      <c r="E404" s="1476">
        <f t="shared" si="49"/>
        <v>0</v>
      </c>
      <c r="F404" s="1444">
        <f t="shared" si="43"/>
        <v>0</v>
      </c>
      <c r="G404" s="1444">
        <f t="shared" si="44"/>
        <v>0</v>
      </c>
      <c r="H404" s="1476">
        <f t="shared" si="45"/>
        <v>0</v>
      </c>
      <c r="I404" s="1444">
        <v>0</v>
      </c>
      <c r="J404" s="1444">
        <v>0</v>
      </c>
      <c r="K404" s="1476"/>
      <c r="L404" s="1476"/>
      <c r="M404" s="1476">
        <f t="shared" si="48"/>
        <v>0</v>
      </c>
      <c r="N404" s="1476">
        <f t="shared" si="46"/>
        <v>0</v>
      </c>
    </row>
    <row r="405" spans="1:14" ht="31" outlineLevel="1">
      <c r="A405" s="1455">
        <f t="shared" si="49"/>
        <v>5.3</v>
      </c>
      <c r="B405" s="1455" t="str">
        <f t="shared" si="49"/>
        <v>Design Supply Erection and Comission of Inverted Y Shape  Coal diverting chutes with extra life wear resistant plates in CHP, BTPS.</v>
      </c>
      <c r="C405" s="1475">
        <f t="shared" si="49"/>
        <v>0</v>
      </c>
      <c r="D405" s="1473" t="str">
        <f t="shared" si="49"/>
        <v>-</v>
      </c>
      <c r="E405" s="1476">
        <f t="shared" si="49"/>
        <v>0</v>
      </c>
      <c r="F405" s="1444">
        <f t="shared" si="43"/>
        <v>0</v>
      </c>
      <c r="G405" s="1444">
        <f t="shared" si="44"/>
        <v>0</v>
      </c>
      <c r="H405" s="1476">
        <f t="shared" si="45"/>
        <v>0</v>
      </c>
      <c r="I405" s="1444">
        <v>0</v>
      </c>
      <c r="J405" s="1444">
        <v>0</v>
      </c>
      <c r="K405" s="1476"/>
      <c r="L405" s="1476"/>
      <c r="M405" s="1476">
        <f t="shared" si="48"/>
        <v>0</v>
      </c>
      <c r="N405" s="1476">
        <f t="shared" si="46"/>
        <v>0</v>
      </c>
    </row>
    <row r="406" spans="1:14" ht="31" outlineLevel="1">
      <c r="A406" s="1455">
        <f t="shared" si="49"/>
        <v>5.4</v>
      </c>
      <c r="B406" s="1455" t="str">
        <f t="shared" si="49"/>
        <v>Design Supply Erection and Comission of coal diverting chutes with extra life wear resistant plates in CHP BTPS.</v>
      </c>
      <c r="C406" s="1475">
        <f t="shared" si="49"/>
        <v>0</v>
      </c>
      <c r="D406" s="1473" t="str">
        <f t="shared" si="49"/>
        <v>-</v>
      </c>
      <c r="E406" s="1476">
        <f t="shared" si="49"/>
        <v>0</v>
      </c>
      <c r="F406" s="1444">
        <f t="shared" si="43"/>
        <v>0</v>
      </c>
      <c r="G406" s="1444">
        <f t="shared" si="44"/>
        <v>0</v>
      </c>
      <c r="H406" s="1476">
        <f t="shared" si="45"/>
        <v>0</v>
      </c>
      <c r="I406" s="1444">
        <v>0</v>
      </c>
      <c r="J406" s="1444">
        <v>0</v>
      </c>
      <c r="K406" s="1476"/>
      <c r="L406" s="1476"/>
      <c r="M406" s="1476">
        <f t="shared" si="48"/>
        <v>0</v>
      </c>
      <c r="N406" s="1476">
        <f t="shared" si="46"/>
        <v>0</v>
      </c>
    </row>
    <row r="407" spans="1:14" ht="31" outlineLevel="1">
      <c r="A407" s="1455">
        <f t="shared" si="49"/>
        <v>5.5</v>
      </c>
      <c r="B407" s="1455" t="str">
        <f t="shared" si="49"/>
        <v>Work of Revamping and structural up-gradation of conveyor 104A&amp;B in Coal Handling Plant-BTPS.</v>
      </c>
      <c r="C407" s="1475">
        <f t="shared" si="49"/>
        <v>0</v>
      </c>
      <c r="D407" s="1473" t="str">
        <f t="shared" si="49"/>
        <v>-</v>
      </c>
      <c r="E407" s="1476">
        <f t="shared" si="49"/>
        <v>0</v>
      </c>
      <c r="F407" s="1444">
        <f t="shared" si="43"/>
        <v>0</v>
      </c>
      <c r="G407" s="1444">
        <f t="shared" si="44"/>
        <v>0</v>
      </c>
      <c r="H407" s="1476">
        <f t="shared" si="45"/>
        <v>0</v>
      </c>
      <c r="I407" s="1444">
        <v>0</v>
      </c>
      <c r="J407" s="1444">
        <v>0</v>
      </c>
      <c r="K407" s="1476"/>
      <c r="L407" s="1476"/>
      <c r="M407" s="1476">
        <f t="shared" si="48"/>
        <v>0</v>
      </c>
      <c r="N407" s="1476">
        <f t="shared" si="46"/>
        <v>0</v>
      </c>
    </row>
    <row r="408" spans="1:14" ht="31" outlineLevel="1">
      <c r="A408" s="1458">
        <f t="shared" si="49"/>
        <v>6</v>
      </c>
      <c r="B408" s="1459" t="str">
        <f t="shared" si="49"/>
        <v>Supply and Installation of  reliability improvement schemes for HT/LT switchgears and auxilliaries at BTPS 2x500MW.</v>
      </c>
      <c r="C408" s="1475">
        <f t="shared" si="49"/>
        <v>0</v>
      </c>
      <c r="D408" s="1473" t="str">
        <f t="shared" si="49"/>
        <v>-</v>
      </c>
      <c r="E408" s="1476">
        <f t="shared" si="49"/>
        <v>0</v>
      </c>
      <c r="F408" s="1444">
        <f t="shared" si="43"/>
        <v>0</v>
      </c>
      <c r="G408" s="1444">
        <f t="shared" si="44"/>
        <v>0</v>
      </c>
      <c r="H408" s="1476">
        <f t="shared" si="45"/>
        <v>0</v>
      </c>
      <c r="I408" s="1444">
        <v>0</v>
      </c>
      <c r="J408" s="1444">
        <v>0</v>
      </c>
      <c r="K408" s="1476"/>
      <c r="L408" s="1476"/>
      <c r="M408" s="1476">
        <f t="shared" si="48"/>
        <v>0</v>
      </c>
      <c r="N408" s="1476">
        <f t="shared" si="46"/>
        <v>0</v>
      </c>
    </row>
    <row r="409" spans="1:14" ht="15.5" outlineLevel="1">
      <c r="A409" s="1455">
        <f t="shared" si="49"/>
        <v>6.1</v>
      </c>
      <c r="B409" s="1455" t="str">
        <f t="shared" si="49"/>
        <v>Procurement of HT Motors of various ratings at 2x500MW.</v>
      </c>
      <c r="C409" s="1475">
        <f t="shared" si="49"/>
        <v>0</v>
      </c>
      <c r="D409" s="1473" t="str">
        <f t="shared" si="49"/>
        <v>-</v>
      </c>
      <c r="E409" s="1476">
        <f t="shared" si="49"/>
        <v>0</v>
      </c>
      <c r="F409" s="1444">
        <f t="shared" si="43"/>
        <v>0</v>
      </c>
      <c r="G409" s="1444">
        <f t="shared" si="44"/>
        <v>0</v>
      </c>
      <c r="H409" s="1476">
        <f t="shared" si="45"/>
        <v>0</v>
      </c>
      <c r="I409" s="1444">
        <v>0</v>
      </c>
      <c r="J409" s="1444">
        <v>0</v>
      </c>
      <c r="K409" s="1476"/>
      <c r="L409" s="1476"/>
      <c r="M409" s="1476">
        <f t="shared" si="48"/>
        <v>0</v>
      </c>
      <c r="N409" s="1476">
        <f t="shared" si="46"/>
        <v>0</v>
      </c>
    </row>
    <row r="410" spans="1:14" ht="15.5" outlineLevel="1">
      <c r="A410" s="1455">
        <f t="shared" si="49"/>
        <v>6.2</v>
      </c>
      <c r="B410" s="1455" t="str">
        <f t="shared" si="49"/>
        <v>Procurement of Dry type transformers of varoius ratings at 2x500MW.</v>
      </c>
      <c r="C410" s="1475">
        <f t="shared" si="49"/>
        <v>0</v>
      </c>
      <c r="D410" s="1473" t="str">
        <f t="shared" si="49"/>
        <v>-</v>
      </c>
      <c r="E410" s="1476">
        <f t="shared" si="49"/>
        <v>0</v>
      </c>
      <c r="F410" s="1444">
        <f t="shared" si="43"/>
        <v>0</v>
      </c>
      <c r="G410" s="1444">
        <f t="shared" si="44"/>
        <v>0</v>
      </c>
      <c r="H410" s="1476">
        <f t="shared" si="45"/>
        <v>0</v>
      </c>
      <c r="I410" s="1444">
        <v>0</v>
      </c>
      <c r="J410" s="1444">
        <v>0</v>
      </c>
      <c r="K410" s="1476"/>
      <c r="L410" s="1476"/>
      <c r="M410" s="1476">
        <f t="shared" si="48"/>
        <v>0</v>
      </c>
      <c r="N410" s="1476">
        <f t="shared" si="46"/>
        <v>0</v>
      </c>
    </row>
    <row r="411" spans="1:14" ht="15.5" outlineLevel="1">
      <c r="A411" s="1455">
        <f t="shared" si="49"/>
        <v>6.3</v>
      </c>
      <c r="B411" s="1455" t="str">
        <f t="shared" si="49"/>
        <v>Procurement of Inverter and converter trolleys of GEHO Pump at 2x500MW.</v>
      </c>
      <c r="C411" s="1475">
        <f t="shared" si="49"/>
        <v>0</v>
      </c>
      <c r="D411" s="1473" t="str">
        <f t="shared" si="49"/>
        <v>-</v>
      </c>
      <c r="E411" s="1476">
        <f t="shared" si="49"/>
        <v>0</v>
      </c>
      <c r="F411" s="1444">
        <f t="shared" si="43"/>
        <v>0</v>
      </c>
      <c r="G411" s="1444">
        <f t="shared" si="44"/>
        <v>0</v>
      </c>
      <c r="H411" s="1476">
        <f t="shared" si="45"/>
        <v>0</v>
      </c>
      <c r="I411" s="1444">
        <v>0</v>
      </c>
      <c r="J411" s="1444">
        <v>0</v>
      </c>
      <c r="K411" s="1476"/>
      <c r="L411" s="1476"/>
      <c r="M411" s="1476">
        <f t="shared" si="48"/>
        <v>0</v>
      </c>
      <c r="N411" s="1476">
        <f t="shared" si="46"/>
        <v>0</v>
      </c>
    </row>
    <row r="412" spans="1:14" ht="31" outlineLevel="1">
      <c r="A412" s="1455">
        <f t="shared" si="49"/>
        <v>6.4</v>
      </c>
      <c r="B412" s="1455" t="str">
        <f t="shared" si="49"/>
        <v>Procurement of Vacuum Contactors of various ratings for  HT Switchgears  at BTPS 2x500MW.</v>
      </c>
      <c r="C412" s="1475">
        <f t="shared" si="49"/>
        <v>0</v>
      </c>
      <c r="D412" s="1473" t="str">
        <f t="shared" si="49"/>
        <v>-</v>
      </c>
      <c r="E412" s="1476">
        <f t="shared" si="49"/>
        <v>0</v>
      </c>
      <c r="F412" s="1444">
        <f t="shared" si="43"/>
        <v>0</v>
      </c>
      <c r="G412" s="1444">
        <f t="shared" si="44"/>
        <v>0</v>
      </c>
      <c r="H412" s="1476">
        <f t="shared" si="45"/>
        <v>0</v>
      </c>
      <c r="I412" s="1444">
        <v>0</v>
      </c>
      <c r="J412" s="1444">
        <v>0</v>
      </c>
      <c r="K412" s="1476"/>
      <c r="L412" s="1476"/>
      <c r="M412" s="1476">
        <f t="shared" si="48"/>
        <v>0</v>
      </c>
      <c r="N412" s="1476">
        <f t="shared" si="46"/>
        <v>0</v>
      </c>
    </row>
    <row r="413" spans="1:14" ht="31" outlineLevel="1">
      <c r="A413" s="1455">
        <f t="shared" si="49"/>
        <v>6.5</v>
      </c>
      <c r="B413" s="1455" t="str">
        <f t="shared" si="49"/>
        <v>Supply, erection, commissioning &amp; site testing of 360V, 750 AH Station UPS Battery Sets  along with accessories for Unit No.4 at BTPS 2x500MW’.</v>
      </c>
      <c r="C413" s="1475">
        <f t="shared" si="49"/>
        <v>0</v>
      </c>
      <c r="D413" s="1473" t="str">
        <f t="shared" si="49"/>
        <v>-</v>
      </c>
      <c r="E413" s="1476">
        <f t="shared" si="49"/>
        <v>0</v>
      </c>
      <c r="F413" s="1444">
        <f t="shared" si="43"/>
        <v>0</v>
      </c>
      <c r="G413" s="1444">
        <f t="shared" si="44"/>
        <v>0</v>
      </c>
      <c r="H413" s="1476">
        <f t="shared" si="45"/>
        <v>0</v>
      </c>
      <c r="I413" s="1444">
        <v>0</v>
      </c>
      <c r="J413" s="1444">
        <v>0</v>
      </c>
      <c r="K413" s="1476"/>
      <c r="L413" s="1476"/>
      <c r="M413" s="1476">
        <f t="shared" si="48"/>
        <v>0</v>
      </c>
      <c r="N413" s="1476">
        <f t="shared" si="46"/>
        <v>0</v>
      </c>
    </row>
    <row r="414" spans="1:14" ht="15.5" outlineLevel="1">
      <c r="A414" s="1455">
        <f t="shared" si="49"/>
        <v>6.6</v>
      </c>
      <c r="B414" s="1455" t="str">
        <f t="shared" si="49"/>
        <v>Updragation of Sox-Nox analyzer,PM analyzer, ETP analyzer at BTPS 2X500MW.</v>
      </c>
      <c r="C414" s="1475">
        <f t="shared" si="49"/>
        <v>0</v>
      </c>
      <c r="D414" s="1473" t="str">
        <f t="shared" si="49"/>
        <v>-</v>
      </c>
      <c r="E414" s="1476">
        <f t="shared" si="49"/>
        <v>0</v>
      </c>
      <c r="F414" s="1444">
        <f t="shared" si="43"/>
        <v>0</v>
      </c>
      <c r="G414" s="1444">
        <f t="shared" si="44"/>
        <v>0</v>
      </c>
      <c r="H414" s="1476">
        <f t="shared" si="45"/>
        <v>0</v>
      </c>
      <c r="I414" s="1444">
        <v>0</v>
      </c>
      <c r="J414" s="1444">
        <v>0</v>
      </c>
      <c r="K414" s="1476"/>
      <c r="L414" s="1476"/>
      <c r="M414" s="1476">
        <f t="shared" si="48"/>
        <v>0</v>
      </c>
      <c r="N414" s="1476">
        <f t="shared" si="46"/>
        <v>0</v>
      </c>
    </row>
    <row r="415" spans="1:14" ht="15.5" outlineLevel="1">
      <c r="A415" s="1455">
        <f t="shared" si="49"/>
        <v>6.7</v>
      </c>
      <c r="B415" s="1455" t="str">
        <f t="shared" si="49"/>
        <v>Upgradation of O2 analyzer at BTPS 2X500MW</v>
      </c>
      <c r="C415" s="1475">
        <f t="shared" si="49"/>
        <v>0</v>
      </c>
      <c r="D415" s="1473" t="str">
        <f t="shared" si="49"/>
        <v>-</v>
      </c>
      <c r="E415" s="1476">
        <f t="shared" si="49"/>
        <v>0</v>
      </c>
      <c r="F415" s="1444">
        <f t="shared" si="43"/>
        <v>0</v>
      </c>
      <c r="G415" s="1444">
        <f t="shared" si="44"/>
        <v>0</v>
      </c>
      <c r="H415" s="1476">
        <f t="shared" si="45"/>
        <v>0</v>
      </c>
      <c r="I415" s="1444">
        <v>0</v>
      </c>
      <c r="J415" s="1444">
        <v>0</v>
      </c>
      <c r="K415" s="1476"/>
      <c r="L415" s="1476"/>
      <c r="M415" s="1476">
        <f t="shared" si="48"/>
        <v>0</v>
      </c>
      <c r="N415" s="1476">
        <f t="shared" si="46"/>
        <v>0</v>
      </c>
    </row>
    <row r="416" spans="1:14" ht="31" outlineLevel="1">
      <c r="A416" s="1455">
        <f t="shared" ref="A416:E431" si="50">A186</f>
        <v>6.8</v>
      </c>
      <c r="B416" s="1455" t="str">
        <f t="shared" si="50"/>
        <v>Revamping &amp; Upgradation Of Vibration Monitoring Rack From VM7 TO VM7B at BTPS 2X500MW</v>
      </c>
      <c r="C416" s="1475">
        <f t="shared" si="50"/>
        <v>0</v>
      </c>
      <c r="D416" s="1473" t="str">
        <f t="shared" si="50"/>
        <v>-</v>
      </c>
      <c r="E416" s="1476">
        <f t="shared" si="50"/>
        <v>0</v>
      </c>
      <c r="F416" s="1444">
        <f t="shared" si="43"/>
        <v>0</v>
      </c>
      <c r="G416" s="1444">
        <f t="shared" si="44"/>
        <v>0</v>
      </c>
      <c r="H416" s="1476">
        <f t="shared" si="45"/>
        <v>0</v>
      </c>
      <c r="I416" s="1444">
        <v>0</v>
      </c>
      <c r="J416" s="1444">
        <v>0</v>
      </c>
      <c r="K416" s="1476"/>
      <c r="L416" s="1476"/>
      <c r="M416" s="1476">
        <f t="shared" si="48"/>
        <v>0</v>
      </c>
      <c r="N416" s="1476">
        <f t="shared" si="46"/>
        <v>0</v>
      </c>
    </row>
    <row r="417" spans="1:14" ht="15.5" outlineLevel="1">
      <c r="A417" s="1455">
        <f t="shared" si="50"/>
        <v>6.9</v>
      </c>
      <c r="B417" s="1455" t="str">
        <f t="shared" si="50"/>
        <v>Procurement &amp; Installation of High Mast towers in various location in BTPS</v>
      </c>
      <c r="C417" s="1475">
        <f t="shared" si="50"/>
        <v>0</v>
      </c>
      <c r="D417" s="1473" t="str">
        <f t="shared" si="50"/>
        <v>-</v>
      </c>
      <c r="E417" s="1476">
        <f t="shared" si="50"/>
        <v>0</v>
      </c>
      <c r="F417" s="1444">
        <f t="shared" si="43"/>
        <v>0</v>
      </c>
      <c r="G417" s="1444">
        <f t="shared" si="44"/>
        <v>0</v>
      </c>
      <c r="H417" s="1476">
        <f t="shared" si="45"/>
        <v>0</v>
      </c>
      <c r="I417" s="1444">
        <v>0</v>
      </c>
      <c r="J417" s="1444">
        <v>0</v>
      </c>
      <c r="K417" s="1476"/>
      <c r="L417" s="1476"/>
      <c r="M417" s="1476">
        <f t="shared" si="48"/>
        <v>0</v>
      </c>
      <c r="N417" s="1476">
        <f t="shared" si="46"/>
        <v>0</v>
      </c>
    </row>
    <row r="418" spans="1:14" ht="31" outlineLevel="1">
      <c r="A418" s="1455">
        <f t="shared" si="50"/>
        <v>6.1</v>
      </c>
      <c r="B418" s="1455" t="str">
        <f t="shared" si="50"/>
        <v>Renovation and Modification of Colony Electric Supply System to improve availability and reliability of supply system at BTPS Colony, Deepnagar</v>
      </c>
      <c r="C418" s="1475">
        <f t="shared" si="50"/>
        <v>0</v>
      </c>
      <c r="D418" s="1473" t="str">
        <f t="shared" si="50"/>
        <v>-</v>
      </c>
      <c r="E418" s="1476">
        <f t="shared" si="50"/>
        <v>0</v>
      </c>
      <c r="F418" s="1444">
        <f t="shared" si="43"/>
        <v>0</v>
      </c>
      <c r="G418" s="1444">
        <f t="shared" si="44"/>
        <v>0</v>
      </c>
      <c r="H418" s="1476">
        <f t="shared" si="45"/>
        <v>0</v>
      </c>
      <c r="I418" s="1444">
        <v>0</v>
      </c>
      <c r="J418" s="1444">
        <v>0</v>
      </c>
      <c r="K418" s="1476"/>
      <c r="L418" s="1476"/>
      <c r="M418" s="1476">
        <f t="shared" si="48"/>
        <v>0</v>
      </c>
      <c r="N418" s="1476">
        <f t="shared" si="46"/>
        <v>0</v>
      </c>
    </row>
    <row r="419" spans="1:14" ht="31" outlineLevel="1">
      <c r="A419" s="1455">
        <f t="shared" si="50"/>
        <v>6.11</v>
      </c>
      <c r="B419" s="1455" t="str">
        <f t="shared" si="50"/>
        <v>Work of  Overhauling repairs of U-5 350KW BCWP motor of M/s Torishima make at BTPS 2x500MW.</v>
      </c>
      <c r="C419" s="1475">
        <f t="shared" si="50"/>
        <v>0</v>
      </c>
      <c r="D419" s="1473" t="str">
        <f t="shared" si="50"/>
        <v>-</v>
      </c>
      <c r="E419" s="1476">
        <f t="shared" si="50"/>
        <v>0</v>
      </c>
      <c r="F419" s="1444">
        <f t="shared" si="43"/>
        <v>0</v>
      </c>
      <c r="G419" s="1444">
        <f t="shared" si="44"/>
        <v>0</v>
      </c>
      <c r="H419" s="1476">
        <f t="shared" si="45"/>
        <v>0</v>
      </c>
      <c r="I419" s="1444">
        <v>0</v>
      </c>
      <c r="J419" s="1444">
        <v>0</v>
      </c>
      <c r="K419" s="1476"/>
      <c r="L419" s="1476"/>
      <c r="M419" s="1476">
        <f t="shared" si="48"/>
        <v>0</v>
      </c>
      <c r="N419" s="1476">
        <f t="shared" si="46"/>
        <v>0</v>
      </c>
    </row>
    <row r="420" spans="1:14" ht="15.5" outlineLevel="1">
      <c r="A420" s="1457">
        <f t="shared" si="50"/>
        <v>0</v>
      </c>
      <c r="B420" s="1457" t="str">
        <f t="shared" si="50"/>
        <v xml:space="preserve">FY 2028-29 </v>
      </c>
      <c r="C420" s="1475">
        <f t="shared" si="50"/>
        <v>0</v>
      </c>
      <c r="D420" s="1473" t="str">
        <f t="shared" si="50"/>
        <v>-</v>
      </c>
      <c r="E420" s="1476">
        <f t="shared" si="50"/>
        <v>0</v>
      </c>
      <c r="F420" s="1444">
        <f t="shared" si="43"/>
        <v>0</v>
      </c>
      <c r="G420" s="1444">
        <f t="shared" si="44"/>
        <v>0</v>
      </c>
      <c r="H420" s="1476">
        <f t="shared" si="45"/>
        <v>0</v>
      </c>
      <c r="I420" s="1444">
        <v>0</v>
      </c>
      <c r="J420" s="1444">
        <v>0</v>
      </c>
      <c r="K420" s="1476"/>
      <c r="L420" s="1476"/>
      <c r="M420" s="1476">
        <f t="shared" si="48"/>
        <v>0</v>
      </c>
      <c r="N420" s="1476">
        <f t="shared" si="46"/>
        <v>0</v>
      </c>
    </row>
    <row r="421" spans="1:14" ht="31" outlineLevel="1">
      <c r="A421" s="1458">
        <f t="shared" si="50"/>
        <v>1</v>
      </c>
      <c r="B421" s="1459" t="str">
        <f t="shared" si="50"/>
        <v>APH baskets with main drive Gear box and lub oil skids with motor at 2x500MW BTPS</v>
      </c>
      <c r="C421" s="1475">
        <f t="shared" si="50"/>
        <v>0</v>
      </c>
      <c r="D421" s="1473" t="str">
        <f t="shared" si="50"/>
        <v>-</v>
      </c>
      <c r="E421" s="1476">
        <f t="shared" si="50"/>
        <v>0</v>
      </c>
      <c r="F421" s="1444">
        <f t="shared" si="43"/>
        <v>0</v>
      </c>
      <c r="G421" s="1444">
        <f t="shared" si="44"/>
        <v>0</v>
      </c>
      <c r="H421" s="1476">
        <f t="shared" si="45"/>
        <v>0</v>
      </c>
      <c r="I421" s="1444">
        <v>0</v>
      </c>
      <c r="J421" s="1444">
        <v>0</v>
      </c>
      <c r="K421" s="1476"/>
      <c r="L421" s="1476"/>
      <c r="M421" s="1476">
        <f t="shared" si="48"/>
        <v>0</v>
      </c>
      <c r="N421" s="1476">
        <f t="shared" si="46"/>
        <v>0</v>
      </c>
    </row>
    <row r="422" spans="1:14" ht="31" outlineLevel="1">
      <c r="A422" s="1455">
        <f t="shared" si="50"/>
        <v>1.1000000000000001</v>
      </c>
      <c r="B422" s="1455" t="str">
        <f t="shared" si="50"/>
        <v>APH baskets with main drive Gear box and lub oil skids with motor at 2x500MW BTPS</v>
      </c>
      <c r="C422" s="1475">
        <f t="shared" si="50"/>
        <v>0</v>
      </c>
      <c r="D422" s="1473" t="str">
        <f t="shared" si="50"/>
        <v>-</v>
      </c>
      <c r="E422" s="1476">
        <f t="shared" si="50"/>
        <v>0</v>
      </c>
      <c r="F422" s="1444">
        <f t="shared" si="43"/>
        <v>0</v>
      </c>
      <c r="G422" s="1444">
        <f t="shared" si="44"/>
        <v>0</v>
      </c>
      <c r="H422" s="1476">
        <f t="shared" si="45"/>
        <v>0</v>
      </c>
      <c r="I422" s="1444">
        <v>0</v>
      </c>
      <c r="J422" s="1444">
        <v>0</v>
      </c>
      <c r="K422" s="1476"/>
      <c r="L422" s="1476"/>
      <c r="M422" s="1476">
        <f t="shared" si="48"/>
        <v>0</v>
      </c>
      <c r="N422" s="1476">
        <f t="shared" si="46"/>
        <v>0</v>
      </c>
    </row>
    <row r="423" spans="1:14" ht="31" outlineLevel="1">
      <c r="A423" s="1458">
        <f t="shared" si="50"/>
        <v>2</v>
      </c>
      <c r="B423" s="1459" t="str">
        <f t="shared" si="50"/>
        <v>Detail Project Report for  Design, Engineering, Supply, Installation and commissioning of 1500TPH Stacker cum re-claimer in Coal Handling Plant-BTPS.</v>
      </c>
      <c r="C423" s="1475">
        <f t="shared" si="50"/>
        <v>0</v>
      </c>
      <c r="D423" s="1473" t="str">
        <f t="shared" si="50"/>
        <v>-</v>
      </c>
      <c r="E423" s="1476">
        <f t="shared" si="50"/>
        <v>0</v>
      </c>
      <c r="F423" s="1444">
        <f t="shared" si="43"/>
        <v>0</v>
      </c>
      <c r="G423" s="1444">
        <f t="shared" si="44"/>
        <v>0</v>
      </c>
      <c r="H423" s="1476">
        <f t="shared" si="45"/>
        <v>0</v>
      </c>
      <c r="I423" s="1444">
        <v>0</v>
      </c>
      <c r="J423" s="1444">
        <v>0</v>
      </c>
      <c r="K423" s="1476"/>
      <c r="L423" s="1476"/>
      <c r="M423" s="1476">
        <f t="shared" si="48"/>
        <v>0</v>
      </c>
      <c r="N423" s="1476">
        <f t="shared" si="46"/>
        <v>0</v>
      </c>
    </row>
    <row r="424" spans="1:14" ht="31" outlineLevel="1">
      <c r="A424" s="1455">
        <f t="shared" si="50"/>
        <v>2.1</v>
      </c>
      <c r="B424" s="1455" t="str">
        <f t="shared" si="50"/>
        <v>Design, Engineering, Supply, Installation and commissioning of 1500TPH Stacker cum re-claimer in Coal Handling Plant-BTPS.</v>
      </c>
      <c r="C424" s="1475">
        <f t="shared" si="50"/>
        <v>0</v>
      </c>
      <c r="D424" s="1473" t="str">
        <f t="shared" si="50"/>
        <v>-</v>
      </c>
      <c r="E424" s="1476">
        <f t="shared" si="50"/>
        <v>0</v>
      </c>
      <c r="F424" s="1444">
        <f t="shared" si="43"/>
        <v>0</v>
      </c>
      <c r="G424" s="1444">
        <f t="shared" si="44"/>
        <v>0</v>
      </c>
      <c r="H424" s="1476">
        <f t="shared" si="45"/>
        <v>0</v>
      </c>
      <c r="I424" s="1444">
        <v>0</v>
      </c>
      <c r="J424" s="1444">
        <v>0</v>
      </c>
      <c r="K424" s="1476"/>
      <c r="L424" s="1476"/>
      <c r="M424" s="1476">
        <f t="shared" si="48"/>
        <v>0</v>
      </c>
      <c r="N424" s="1476">
        <f t="shared" si="46"/>
        <v>0</v>
      </c>
    </row>
    <row r="425" spans="1:14" ht="15.5" outlineLevel="1">
      <c r="A425" s="1458">
        <f t="shared" si="50"/>
        <v>3</v>
      </c>
      <c r="B425" s="1459" t="str">
        <f t="shared" si="50"/>
        <v>Enhancement of Unloading &amp; Stacking Capacity of CHP.</v>
      </c>
      <c r="C425" s="1475">
        <f t="shared" si="50"/>
        <v>0</v>
      </c>
      <c r="D425" s="1473" t="str">
        <f t="shared" si="50"/>
        <v>-</v>
      </c>
      <c r="E425" s="1476">
        <f t="shared" si="50"/>
        <v>0</v>
      </c>
      <c r="F425" s="1444">
        <f t="shared" si="43"/>
        <v>0</v>
      </c>
      <c r="G425" s="1444">
        <f t="shared" si="44"/>
        <v>0</v>
      </c>
      <c r="H425" s="1476">
        <f t="shared" si="45"/>
        <v>0</v>
      </c>
      <c r="I425" s="1444">
        <v>0</v>
      </c>
      <c r="J425" s="1444">
        <v>0</v>
      </c>
      <c r="K425" s="1476"/>
      <c r="L425" s="1476"/>
      <c r="M425" s="1476">
        <f t="shared" si="48"/>
        <v>0</v>
      </c>
      <c r="N425" s="1476">
        <f t="shared" si="46"/>
        <v>0</v>
      </c>
    </row>
    <row r="426" spans="1:14" ht="31" outlineLevel="1">
      <c r="A426" s="1455">
        <f t="shared" si="50"/>
        <v>3.1</v>
      </c>
      <c r="B426" s="1455" t="str">
        <f t="shared" si="50"/>
        <v>Design Supply errection &amp; Comissioning of Open Wagon Tippler along with stacking and reclaiming yard conveyors at CHP stack yard.</v>
      </c>
      <c r="C426" s="1475">
        <f t="shared" si="50"/>
        <v>0</v>
      </c>
      <c r="D426" s="1473" t="str">
        <f t="shared" si="50"/>
        <v>-</v>
      </c>
      <c r="E426" s="1476">
        <f t="shared" si="50"/>
        <v>0</v>
      </c>
      <c r="F426" s="1444">
        <f t="shared" si="43"/>
        <v>0</v>
      </c>
      <c r="G426" s="1444">
        <f t="shared" si="44"/>
        <v>0</v>
      </c>
      <c r="H426" s="1476">
        <f t="shared" si="45"/>
        <v>0</v>
      </c>
      <c r="I426" s="1444">
        <v>0</v>
      </c>
      <c r="J426" s="1444">
        <v>0</v>
      </c>
      <c r="K426" s="1476"/>
      <c r="L426" s="1476"/>
      <c r="M426" s="1476">
        <f t="shared" si="48"/>
        <v>0</v>
      </c>
      <c r="N426" s="1476">
        <f t="shared" si="46"/>
        <v>0</v>
      </c>
    </row>
    <row r="427" spans="1:14" ht="15.5" outlineLevel="1">
      <c r="A427" s="1457">
        <f t="shared" si="50"/>
        <v>0</v>
      </c>
      <c r="B427" s="1457" t="str">
        <f t="shared" si="50"/>
        <v>FY 2029-30</v>
      </c>
      <c r="C427" s="1475">
        <f t="shared" si="50"/>
        <v>0</v>
      </c>
      <c r="D427" s="1473" t="str">
        <f t="shared" si="50"/>
        <v>-</v>
      </c>
      <c r="E427" s="1476">
        <f t="shared" si="50"/>
        <v>0</v>
      </c>
      <c r="F427" s="1444">
        <f t="shared" si="43"/>
        <v>0</v>
      </c>
      <c r="G427" s="1444">
        <f t="shared" si="44"/>
        <v>0</v>
      </c>
      <c r="H427" s="1476">
        <f t="shared" si="45"/>
        <v>0</v>
      </c>
      <c r="I427" s="1444">
        <v>0</v>
      </c>
      <c r="J427" s="1444">
        <v>0</v>
      </c>
      <c r="K427" s="1476"/>
      <c r="L427" s="1476"/>
      <c r="M427" s="1476">
        <f t="shared" si="48"/>
        <v>0</v>
      </c>
      <c r="N427" s="1476">
        <f t="shared" si="46"/>
        <v>0</v>
      </c>
    </row>
    <row r="428" spans="1:14" ht="31" outlineLevel="1">
      <c r="A428" s="1458">
        <f t="shared" si="50"/>
        <v>1</v>
      </c>
      <c r="B428" s="1459" t="str">
        <f t="shared" si="50"/>
        <v>Coal Mill Performance Improvement and Life Enhancement of BHEL Make XRP-1043 Coal Mills in 2x500 MW BTPS.</v>
      </c>
      <c r="C428" s="1475">
        <f t="shared" si="50"/>
        <v>0</v>
      </c>
      <c r="D428" s="1473" t="str">
        <f t="shared" si="50"/>
        <v>-</v>
      </c>
      <c r="E428" s="1476">
        <f t="shared" si="50"/>
        <v>0</v>
      </c>
      <c r="F428" s="1444">
        <f t="shared" si="43"/>
        <v>0</v>
      </c>
      <c r="G428" s="1444">
        <f t="shared" si="44"/>
        <v>0</v>
      </c>
      <c r="H428" s="1476">
        <f t="shared" si="45"/>
        <v>0</v>
      </c>
      <c r="I428" s="1444">
        <v>0</v>
      </c>
      <c r="J428" s="1444">
        <v>0</v>
      </c>
      <c r="K428" s="1476"/>
      <c r="L428" s="1476"/>
      <c r="M428" s="1476">
        <f t="shared" si="48"/>
        <v>0</v>
      </c>
      <c r="N428" s="1476">
        <f t="shared" si="46"/>
        <v>0</v>
      </c>
    </row>
    <row r="429" spans="1:14" ht="31" outlineLevel="1">
      <c r="A429" s="1455">
        <f t="shared" si="50"/>
        <v>1.1000000000000001</v>
      </c>
      <c r="B429" s="1455" t="str">
        <f t="shared" si="50"/>
        <v>Coal Mill Performance Improvement and Life Enhancement of BHEL Make XRP-1043 Coal Mills in 2x500 MW BTPS.</v>
      </c>
      <c r="C429" s="1475">
        <f t="shared" si="50"/>
        <v>0</v>
      </c>
      <c r="D429" s="1473" t="str">
        <f t="shared" si="50"/>
        <v>-</v>
      </c>
      <c r="E429" s="1476">
        <f t="shared" si="50"/>
        <v>0</v>
      </c>
      <c r="F429" s="1444">
        <f t="shared" si="43"/>
        <v>0</v>
      </c>
      <c r="G429" s="1444">
        <f t="shared" si="44"/>
        <v>0</v>
      </c>
      <c r="H429" s="1476">
        <f t="shared" si="45"/>
        <v>0</v>
      </c>
      <c r="I429" s="1444">
        <v>0</v>
      </c>
      <c r="J429" s="1444">
        <v>0</v>
      </c>
      <c r="K429" s="1476"/>
      <c r="L429" s="1476"/>
      <c r="M429" s="1476">
        <f t="shared" si="48"/>
        <v>0</v>
      </c>
      <c r="N429" s="1476">
        <f t="shared" si="46"/>
        <v>0</v>
      </c>
    </row>
    <row r="430" spans="1:14" ht="15.5" outlineLevel="1">
      <c r="A430" s="1458">
        <f t="shared" si="50"/>
        <v>2</v>
      </c>
      <c r="B430" s="1459" t="str">
        <f t="shared" si="50"/>
        <v>Upgradation rail  track in CHP -BTPS</v>
      </c>
      <c r="C430" s="1475">
        <f t="shared" si="50"/>
        <v>0</v>
      </c>
      <c r="D430" s="1473" t="str">
        <f t="shared" si="50"/>
        <v>-</v>
      </c>
      <c r="E430" s="1476">
        <f t="shared" si="50"/>
        <v>0</v>
      </c>
      <c r="F430" s="1444">
        <f t="shared" si="43"/>
        <v>0</v>
      </c>
      <c r="G430" s="1444">
        <f t="shared" si="44"/>
        <v>0</v>
      </c>
      <c r="H430" s="1476">
        <f t="shared" si="45"/>
        <v>0</v>
      </c>
      <c r="I430" s="1444">
        <v>0</v>
      </c>
      <c r="J430" s="1444">
        <v>0</v>
      </c>
      <c r="K430" s="1476"/>
      <c r="L430" s="1476"/>
      <c r="M430" s="1476">
        <f t="shared" si="48"/>
        <v>0</v>
      </c>
      <c r="N430" s="1476">
        <f t="shared" si="46"/>
        <v>0</v>
      </c>
    </row>
    <row r="431" spans="1:14" ht="15.5" outlineLevel="1">
      <c r="A431" s="1455">
        <f t="shared" si="50"/>
        <v>2.1</v>
      </c>
      <c r="B431" s="1455" t="str">
        <f t="shared" si="50"/>
        <v>Revamping and Upgradation of rail track from 52KG to 60KG in CHP-BTPS.</v>
      </c>
      <c r="C431" s="1475">
        <f t="shared" si="50"/>
        <v>0</v>
      </c>
      <c r="D431" s="1473" t="str">
        <f t="shared" si="50"/>
        <v>-</v>
      </c>
      <c r="E431" s="1476">
        <f t="shared" si="50"/>
        <v>0</v>
      </c>
      <c r="F431" s="1444">
        <f t="shared" si="43"/>
        <v>0</v>
      </c>
      <c r="G431" s="1444">
        <f t="shared" si="44"/>
        <v>0</v>
      </c>
      <c r="H431" s="1476">
        <f t="shared" si="45"/>
        <v>0</v>
      </c>
      <c r="I431" s="1444">
        <v>0</v>
      </c>
      <c r="J431" s="1444">
        <v>0</v>
      </c>
      <c r="K431" s="1476"/>
      <c r="L431" s="1476"/>
      <c r="M431" s="1476">
        <f t="shared" si="48"/>
        <v>0</v>
      </c>
      <c r="N431" s="1476">
        <f t="shared" si="46"/>
        <v>0</v>
      </c>
    </row>
    <row r="432" spans="1:14" ht="15.5" outlineLevel="1">
      <c r="A432" s="1455">
        <f t="shared" ref="A432:E447" si="51">A202</f>
        <v>0</v>
      </c>
      <c r="B432" s="1455">
        <f t="shared" si="51"/>
        <v>0</v>
      </c>
      <c r="C432" s="1475">
        <f t="shared" si="51"/>
        <v>0</v>
      </c>
      <c r="D432" s="1473" t="str">
        <f t="shared" si="51"/>
        <v>-</v>
      </c>
      <c r="E432" s="1476">
        <f t="shared" si="51"/>
        <v>0</v>
      </c>
      <c r="F432" s="1444">
        <f t="shared" ref="F432:F464" si="52">F202+I202</f>
        <v>0</v>
      </c>
      <c r="G432" s="1444">
        <f t="shared" ref="G432:G464" si="53">G202+M202</f>
        <v>0</v>
      </c>
      <c r="H432" s="1476">
        <f t="shared" si="45"/>
        <v>0</v>
      </c>
      <c r="I432" s="1444">
        <v>0</v>
      </c>
      <c r="J432" s="1444">
        <v>0</v>
      </c>
      <c r="K432" s="1476"/>
      <c r="L432" s="1476"/>
      <c r="M432" s="1476">
        <f t="shared" si="48"/>
        <v>0</v>
      </c>
      <c r="N432" s="1476">
        <f t="shared" si="46"/>
        <v>0</v>
      </c>
    </row>
    <row r="433" spans="1:14" ht="15.5" outlineLevel="1">
      <c r="A433" s="1456">
        <f t="shared" si="51"/>
        <v>0</v>
      </c>
      <c r="B433" s="1456" t="str">
        <f t="shared" si="51"/>
        <v>B) Non-DPR Schemes</v>
      </c>
      <c r="C433" s="1475">
        <f t="shared" si="51"/>
        <v>0</v>
      </c>
      <c r="D433" s="1473" t="str">
        <f t="shared" si="51"/>
        <v>-</v>
      </c>
      <c r="E433" s="1476">
        <f t="shared" si="51"/>
        <v>0</v>
      </c>
      <c r="F433" s="1444">
        <f t="shared" si="52"/>
        <v>0</v>
      </c>
      <c r="G433" s="1444">
        <f t="shared" si="53"/>
        <v>0</v>
      </c>
      <c r="H433" s="1476">
        <f t="shared" si="45"/>
        <v>0</v>
      </c>
      <c r="I433" s="1444">
        <v>0</v>
      </c>
      <c r="J433" s="1444">
        <v>0</v>
      </c>
      <c r="K433" s="1476"/>
      <c r="L433" s="1476"/>
      <c r="M433" s="1476">
        <f t="shared" si="48"/>
        <v>0</v>
      </c>
      <c r="N433" s="1476">
        <f t="shared" si="46"/>
        <v>0</v>
      </c>
    </row>
    <row r="434" spans="1:14" ht="15.5" outlineLevel="1">
      <c r="A434" s="1454">
        <f t="shared" si="51"/>
        <v>1</v>
      </c>
      <c r="B434" s="1454" t="str">
        <f t="shared" si="51"/>
        <v>Contract for modification of Wobbler feeder in CHP-2X500MW</v>
      </c>
      <c r="C434" s="1475">
        <f t="shared" si="51"/>
        <v>0</v>
      </c>
      <c r="D434" s="1473" t="str">
        <f t="shared" si="51"/>
        <v>-</v>
      </c>
      <c r="E434" s="1476">
        <f t="shared" si="51"/>
        <v>0</v>
      </c>
      <c r="F434" s="1444">
        <f t="shared" si="52"/>
        <v>1.473342572</v>
      </c>
      <c r="G434" s="1444">
        <f t="shared" si="53"/>
        <v>1.473342572</v>
      </c>
      <c r="H434" s="1476">
        <f t="shared" si="45"/>
        <v>0</v>
      </c>
      <c r="I434" s="1444">
        <v>0</v>
      </c>
      <c r="J434" s="1444">
        <v>0</v>
      </c>
      <c r="K434" s="1476"/>
      <c r="L434" s="1476"/>
      <c r="M434" s="1476">
        <f t="shared" si="48"/>
        <v>0</v>
      </c>
      <c r="N434" s="1476">
        <f t="shared" si="46"/>
        <v>0</v>
      </c>
    </row>
    <row r="435" spans="1:14" ht="15.5" outlineLevel="1">
      <c r="A435" s="1454">
        <f t="shared" si="51"/>
        <v>2</v>
      </c>
      <c r="B435" s="1454" t="str">
        <f t="shared" si="51"/>
        <v>Contract for Revamping of Apron Feeder in CHP-2X500MW</v>
      </c>
      <c r="C435" s="1475">
        <f t="shared" si="51"/>
        <v>0</v>
      </c>
      <c r="D435" s="1473" t="str">
        <f t="shared" si="51"/>
        <v>-</v>
      </c>
      <c r="E435" s="1476">
        <f t="shared" si="51"/>
        <v>0</v>
      </c>
      <c r="F435" s="1444">
        <f t="shared" si="52"/>
        <v>2.3246000000000002</v>
      </c>
      <c r="G435" s="1444">
        <f t="shared" si="53"/>
        <v>2.3246000000000002</v>
      </c>
      <c r="H435" s="1476">
        <f t="shared" si="45"/>
        <v>0</v>
      </c>
      <c r="I435" s="1444">
        <v>0</v>
      </c>
      <c r="J435" s="1444">
        <v>0</v>
      </c>
      <c r="K435" s="1476"/>
      <c r="L435" s="1476"/>
      <c r="M435" s="1476">
        <f t="shared" si="48"/>
        <v>0</v>
      </c>
      <c r="N435" s="1476">
        <f t="shared" si="46"/>
        <v>0</v>
      </c>
    </row>
    <row r="436" spans="1:14" ht="31" outlineLevel="1">
      <c r="A436" s="1454">
        <f t="shared" si="51"/>
        <v>3</v>
      </c>
      <c r="B436" s="1454" t="str">
        <f t="shared" si="51"/>
        <v> Procurement of double lip skirt sealing &amp; tracking idler in CHP at 2x500MW, BTPS</v>
      </c>
      <c r="C436" s="1475">
        <f t="shared" si="51"/>
        <v>0</v>
      </c>
      <c r="D436" s="1473" t="str">
        <f t="shared" si="51"/>
        <v>-</v>
      </c>
      <c r="E436" s="1476">
        <f t="shared" si="51"/>
        <v>0</v>
      </c>
      <c r="F436" s="1444">
        <f t="shared" si="52"/>
        <v>0.57024680000000005</v>
      </c>
      <c r="G436" s="1444">
        <f t="shared" si="53"/>
        <v>0.57024680000000005</v>
      </c>
      <c r="H436" s="1476">
        <f t="shared" si="45"/>
        <v>0</v>
      </c>
      <c r="I436" s="1444">
        <v>0</v>
      </c>
      <c r="J436" s="1444">
        <v>0</v>
      </c>
      <c r="K436" s="1476"/>
      <c r="L436" s="1476"/>
      <c r="M436" s="1476">
        <f t="shared" si="48"/>
        <v>0</v>
      </c>
      <c r="N436" s="1476">
        <f t="shared" si="46"/>
        <v>0</v>
      </c>
    </row>
    <row r="437" spans="1:14" ht="15.5" outlineLevel="1">
      <c r="A437" s="1454">
        <f t="shared" si="51"/>
        <v>4</v>
      </c>
      <c r="B437" s="1454" t="str">
        <f t="shared" si="51"/>
        <v>Supply, erection &amp; commissioning of vibrating feeder in CHP at 2x500MW, BTPS</v>
      </c>
      <c r="C437" s="1475">
        <f t="shared" si="51"/>
        <v>0</v>
      </c>
      <c r="D437" s="1473" t="str">
        <f t="shared" si="51"/>
        <v>-</v>
      </c>
      <c r="E437" s="1476">
        <f t="shared" si="51"/>
        <v>0</v>
      </c>
      <c r="F437" s="1444">
        <f t="shared" si="52"/>
        <v>0.57796400000000003</v>
      </c>
      <c r="G437" s="1444">
        <f t="shared" si="53"/>
        <v>0.57796400000000003</v>
      </c>
      <c r="H437" s="1476">
        <f t="shared" si="45"/>
        <v>0</v>
      </c>
      <c r="I437" s="1444">
        <v>0</v>
      </c>
      <c r="J437" s="1444">
        <v>0</v>
      </c>
      <c r="K437" s="1476"/>
      <c r="L437" s="1476"/>
      <c r="M437" s="1476">
        <f t="shared" si="48"/>
        <v>0</v>
      </c>
      <c r="N437" s="1476">
        <f t="shared" si="46"/>
        <v>0</v>
      </c>
    </row>
    <row r="438" spans="1:14" ht="15.5" outlineLevel="1">
      <c r="A438" s="1454">
        <f t="shared" si="51"/>
        <v>5</v>
      </c>
      <c r="B438" s="1454" t="str">
        <f t="shared" si="51"/>
        <v xml:space="preserve"> Coal chutes with extra life wear resistance plates in CHP at 2X500MW</v>
      </c>
      <c r="C438" s="1475">
        <f t="shared" si="51"/>
        <v>0</v>
      </c>
      <c r="D438" s="1473" t="str">
        <f t="shared" si="51"/>
        <v>-</v>
      </c>
      <c r="E438" s="1476">
        <f t="shared" si="51"/>
        <v>0</v>
      </c>
      <c r="F438" s="1444">
        <f t="shared" si="52"/>
        <v>2.0319305000000001</v>
      </c>
      <c r="G438" s="1444">
        <f t="shared" si="53"/>
        <v>2.0319305000000001</v>
      </c>
      <c r="H438" s="1476">
        <f t="shared" si="45"/>
        <v>0</v>
      </c>
      <c r="I438" s="1444">
        <v>0</v>
      </c>
      <c r="J438" s="1444">
        <v>0</v>
      </c>
      <c r="K438" s="1476"/>
      <c r="L438" s="1476"/>
      <c r="M438" s="1476">
        <f t="shared" si="48"/>
        <v>0</v>
      </c>
      <c r="N438" s="1476">
        <f t="shared" si="46"/>
        <v>0</v>
      </c>
    </row>
    <row r="439" spans="1:14" ht="31" outlineLevel="1">
      <c r="A439" s="1454">
        <f t="shared" si="51"/>
        <v>6</v>
      </c>
      <c r="B439" s="1454" t="str">
        <f t="shared" si="51"/>
        <v xml:space="preserve">Epoxy Painting upto all height to structural steel work in main plant boiler side area and CHP area </v>
      </c>
      <c r="C439" s="1475">
        <f t="shared" si="51"/>
        <v>0</v>
      </c>
      <c r="D439" s="1473" t="str">
        <f t="shared" si="51"/>
        <v>-</v>
      </c>
      <c r="E439" s="1476">
        <f t="shared" si="51"/>
        <v>0</v>
      </c>
      <c r="F439" s="1444">
        <f t="shared" si="52"/>
        <v>5.8625346629999999</v>
      </c>
      <c r="G439" s="1444">
        <f t="shared" si="53"/>
        <v>5.8625346629999999</v>
      </c>
      <c r="H439" s="1476">
        <f t="shared" si="45"/>
        <v>0</v>
      </c>
      <c r="I439" s="1444">
        <v>0</v>
      </c>
      <c r="J439" s="1444">
        <v>0</v>
      </c>
      <c r="K439" s="1476"/>
      <c r="L439" s="1476"/>
      <c r="M439" s="1476">
        <f t="shared" si="48"/>
        <v>0</v>
      </c>
      <c r="N439" s="1476">
        <f t="shared" si="46"/>
        <v>0</v>
      </c>
    </row>
    <row r="440" spans="1:14" ht="15.5" outlineLevel="1">
      <c r="A440" s="1454">
        <f t="shared" si="51"/>
        <v>7</v>
      </c>
      <c r="B440" s="1454" t="str">
        <f t="shared" si="51"/>
        <v xml:space="preserve"> Rectification of Belt feeder &amp; Gravity Take-up  in CHP-2X500MW.</v>
      </c>
      <c r="C440" s="1475">
        <f t="shared" si="51"/>
        <v>0</v>
      </c>
      <c r="D440" s="1473" t="str">
        <f t="shared" si="51"/>
        <v>-</v>
      </c>
      <c r="E440" s="1476">
        <f t="shared" si="51"/>
        <v>0</v>
      </c>
      <c r="F440" s="1444">
        <f t="shared" si="52"/>
        <v>1.6478699999999999</v>
      </c>
      <c r="G440" s="1444">
        <f t="shared" si="53"/>
        <v>1.6478699999999999</v>
      </c>
      <c r="H440" s="1476">
        <f t="shared" si="45"/>
        <v>0</v>
      </c>
      <c r="I440" s="1444">
        <v>0</v>
      </c>
      <c r="J440" s="1444">
        <v>0</v>
      </c>
      <c r="K440" s="1476"/>
      <c r="L440" s="1476"/>
      <c r="M440" s="1476">
        <f t="shared" si="48"/>
        <v>0</v>
      </c>
      <c r="N440" s="1476">
        <f t="shared" si="46"/>
        <v>0</v>
      </c>
    </row>
    <row r="441" spans="1:14" ht="15.5" outlineLevel="1">
      <c r="A441" s="1454">
        <f t="shared" si="51"/>
        <v>8</v>
      </c>
      <c r="B441" s="1454" t="str">
        <f t="shared" si="51"/>
        <v>Coal diverting chutes in CHP at 2X500MW.</v>
      </c>
      <c r="C441" s="1475">
        <f t="shared" si="51"/>
        <v>0</v>
      </c>
      <c r="D441" s="1473" t="str">
        <f t="shared" si="51"/>
        <v>-</v>
      </c>
      <c r="E441" s="1476">
        <f t="shared" si="51"/>
        <v>0</v>
      </c>
      <c r="F441" s="1444">
        <f t="shared" si="52"/>
        <v>2.218399056</v>
      </c>
      <c r="G441" s="1444">
        <f t="shared" si="53"/>
        <v>2.218399056</v>
      </c>
      <c r="H441" s="1476">
        <f t="shared" si="45"/>
        <v>0</v>
      </c>
      <c r="I441" s="1444">
        <v>0</v>
      </c>
      <c r="J441" s="1444">
        <v>0</v>
      </c>
      <c r="K441" s="1476"/>
      <c r="L441" s="1476"/>
      <c r="M441" s="1476">
        <f t="shared" si="48"/>
        <v>0</v>
      </c>
      <c r="N441" s="1476">
        <f t="shared" si="46"/>
        <v>0</v>
      </c>
    </row>
    <row r="442" spans="1:14" ht="31" outlineLevel="1">
      <c r="A442" s="1454">
        <f t="shared" si="51"/>
        <v>9</v>
      </c>
      <c r="B442" s="1454" t="str">
        <f t="shared" si="51"/>
        <v>Supply of Conveyor Pulleys with Ceramic lagging at CHP-2X500MW, BTPS, Bhusawal</v>
      </c>
      <c r="C442" s="1475">
        <f t="shared" si="51"/>
        <v>0</v>
      </c>
      <c r="D442" s="1473" t="str">
        <f t="shared" si="51"/>
        <v>-</v>
      </c>
      <c r="E442" s="1476">
        <f t="shared" si="51"/>
        <v>0</v>
      </c>
      <c r="F442" s="1444">
        <f t="shared" si="52"/>
        <v>0.58051280000000005</v>
      </c>
      <c r="G442" s="1444">
        <f t="shared" si="53"/>
        <v>0.58051280000000005</v>
      </c>
      <c r="H442" s="1476">
        <f t="shared" si="45"/>
        <v>0</v>
      </c>
      <c r="I442" s="1444">
        <v>0</v>
      </c>
      <c r="J442" s="1444">
        <v>0</v>
      </c>
      <c r="K442" s="1476"/>
      <c r="L442" s="1476"/>
      <c r="M442" s="1476">
        <f t="shared" si="48"/>
        <v>0</v>
      </c>
      <c r="N442" s="1476">
        <f t="shared" si="46"/>
        <v>0</v>
      </c>
    </row>
    <row r="443" spans="1:14" ht="31" outlineLevel="1">
      <c r="A443" s="1454">
        <f t="shared" si="51"/>
        <v>10</v>
      </c>
      <c r="B443" s="1454" t="str">
        <f t="shared" si="51"/>
        <v xml:space="preserve">Non-DPR Project Report for  Design, Supply,Erection &amp; Commissioning of High Performance Energy Chain System for Side Arm Charger at 2x500 at CHP </v>
      </c>
      <c r="C443" s="1475">
        <f t="shared" si="51"/>
        <v>0</v>
      </c>
      <c r="D443" s="1473" t="str">
        <f t="shared" si="51"/>
        <v>-</v>
      </c>
      <c r="E443" s="1476">
        <f t="shared" si="51"/>
        <v>0</v>
      </c>
      <c r="F443" s="1444">
        <f t="shared" si="52"/>
        <v>1.50150162</v>
      </c>
      <c r="G443" s="1444">
        <f t="shared" si="53"/>
        <v>1.50150162</v>
      </c>
      <c r="H443" s="1476">
        <f t="shared" si="45"/>
        <v>0</v>
      </c>
      <c r="I443" s="1444">
        <v>0</v>
      </c>
      <c r="J443" s="1444">
        <v>0</v>
      </c>
      <c r="K443" s="1476"/>
      <c r="L443" s="1476"/>
      <c r="M443" s="1476">
        <f t="shared" si="48"/>
        <v>0</v>
      </c>
      <c r="N443" s="1476">
        <f t="shared" si="46"/>
        <v>0</v>
      </c>
    </row>
    <row r="444" spans="1:14" ht="31" outlineLevel="1">
      <c r="A444" s="1454">
        <f t="shared" si="51"/>
        <v>11</v>
      </c>
      <c r="B444" s="1454" t="str">
        <f t="shared" si="51"/>
        <v>Implementation of Energy Conservation Demonstration Project in buildings of BTPS 2x500MW</v>
      </c>
      <c r="C444" s="1475">
        <f t="shared" si="51"/>
        <v>0</v>
      </c>
      <c r="D444" s="1473" t="str">
        <f t="shared" si="51"/>
        <v>-</v>
      </c>
      <c r="E444" s="1476">
        <f t="shared" si="51"/>
        <v>0</v>
      </c>
      <c r="F444" s="1444">
        <f t="shared" si="52"/>
        <v>0</v>
      </c>
      <c r="G444" s="1444">
        <f t="shared" si="53"/>
        <v>0</v>
      </c>
      <c r="H444" s="1476">
        <f t="shared" si="45"/>
        <v>0</v>
      </c>
      <c r="I444" s="1444">
        <v>0</v>
      </c>
      <c r="J444" s="1444">
        <v>0</v>
      </c>
      <c r="K444" s="1476"/>
      <c r="L444" s="1476"/>
      <c r="M444" s="1476">
        <f t="shared" si="48"/>
        <v>0</v>
      </c>
      <c r="N444" s="1476">
        <f t="shared" si="46"/>
        <v>0</v>
      </c>
    </row>
    <row r="445" spans="1:14" ht="15.5" outlineLevel="1">
      <c r="A445" s="1454">
        <f t="shared" si="51"/>
        <v>12</v>
      </c>
      <c r="B445" s="1454" t="str">
        <f t="shared" si="51"/>
        <v>Installation of Fire &amp; Explosion Prevention system at Bhusawal 500MW Unit-4.</v>
      </c>
      <c r="C445" s="1475">
        <f t="shared" si="51"/>
        <v>0</v>
      </c>
      <c r="D445" s="1473" t="str">
        <f t="shared" si="51"/>
        <v>-</v>
      </c>
      <c r="E445" s="1476">
        <f t="shared" si="51"/>
        <v>0</v>
      </c>
      <c r="F445" s="1444">
        <f t="shared" si="52"/>
        <v>2.4539</v>
      </c>
      <c r="G445" s="1444">
        <f t="shared" si="53"/>
        <v>2.4539</v>
      </c>
      <c r="H445" s="1476">
        <f t="shared" si="45"/>
        <v>0</v>
      </c>
      <c r="I445" s="1444">
        <v>0</v>
      </c>
      <c r="J445" s="1444">
        <v>0</v>
      </c>
      <c r="K445" s="1476"/>
      <c r="L445" s="1476"/>
      <c r="M445" s="1476">
        <f t="shared" si="48"/>
        <v>0</v>
      </c>
      <c r="N445" s="1476">
        <f t="shared" si="46"/>
        <v>0</v>
      </c>
    </row>
    <row r="446" spans="1:14" ht="15.5" outlineLevel="1">
      <c r="A446" s="1454">
        <f t="shared" si="51"/>
        <v>13</v>
      </c>
      <c r="B446" s="1454" t="str">
        <f t="shared" si="51"/>
        <v>Fixtures &amp; Fitting (10801)</v>
      </c>
      <c r="C446" s="1475">
        <f t="shared" si="51"/>
        <v>0</v>
      </c>
      <c r="D446" s="1473" t="str">
        <f t="shared" si="51"/>
        <v>-</v>
      </c>
      <c r="E446" s="1476">
        <f t="shared" si="51"/>
        <v>0</v>
      </c>
      <c r="F446" s="1444">
        <f t="shared" si="52"/>
        <v>0.21333523199999999</v>
      </c>
      <c r="G446" s="1444">
        <f t="shared" si="53"/>
        <v>0.21333523199999999</v>
      </c>
      <c r="H446" s="1476">
        <f t="shared" si="45"/>
        <v>0</v>
      </c>
      <c r="I446" s="1444">
        <v>0</v>
      </c>
      <c r="J446" s="1444">
        <v>0</v>
      </c>
      <c r="K446" s="1476"/>
      <c r="L446" s="1476"/>
      <c r="M446" s="1476">
        <f t="shared" si="48"/>
        <v>0</v>
      </c>
      <c r="N446" s="1476">
        <f t="shared" si="46"/>
        <v>0</v>
      </c>
    </row>
    <row r="447" spans="1:14" ht="15.5" outlineLevel="1">
      <c r="A447" s="1454">
        <f t="shared" si="51"/>
        <v>14</v>
      </c>
      <c r="B447" s="1454" t="str">
        <f t="shared" si="51"/>
        <v>Office equpment (10901)</v>
      </c>
      <c r="C447" s="1475">
        <f t="shared" si="51"/>
        <v>0</v>
      </c>
      <c r="D447" s="1473" t="str">
        <f t="shared" si="51"/>
        <v>-</v>
      </c>
      <c r="E447" s="1476">
        <f t="shared" si="51"/>
        <v>0</v>
      </c>
      <c r="F447" s="1444">
        <f t="shared" si="52"/>
        <v>0.22996406</v>
      </c>
      <c r="G447" s="1444">
        <f t="shared" si="53"/>
        <v>0.22996406</v>
      </c>
      <c r="H447" s="1476">
        <f t="shared" si="45"/>
        <v>0</v>
      </c>
      <c r="I447" s="1444">
        <v>0</v>
      </c>
      <c r="J447" s="1444">
        <v>0</v>
      </c>
      <c r="K447" s="1476"/>
      <c r="L447" s="1476"/>
      <c r="M447" s="1476">
        <f t="shared" si="48"/>
        <v>0</v>
      </c>
      <c r="N447" s="1476">
        <f t="shared" si="46"/>
        <v>0</v>
      </c>
    </row>
    <row r="448" spans="1:14" ht="15.5" outlineLevel="1">
      <c r="A448" s="1454">
        <f t="shared" ref="A448:E463" si="54">A218</f>
        <v>15</v>
      </c>
      <c r="B448" s="1454" t="str">
        <f t="shared" si="54"/>
        <v>150 W &amp; 40 W LED FIXTURES AT TG HOUSE BUILDING 2X500MW</v>
      </c>
      <c r="C448" s="1475">
        <f t="shared" si="54"/>
        <v>0</v>
      </c>
      <c r="D448" s="1473" t="str">
        <f t="shared" si="54"/>
        <v>-</v>
      </c>
      <c r="E448" s="1476">
        <f t="shared" si="54"/>
        <v>0</v>
      </c>
      <c r="F448" s="1444">
        <f t="shared" si="52"/>
        <v>0.5280705</v>
      </c>
      <c r="G448" s="1444">
        <f t="shared" si="53"/>
        <v>0.2780705</v>
      </c>
      <c r="H448" s="1476">
        <f t="shared" si="45"/>
        <v>0.25</v>
      </c>
      <c r="I448" s="1444">
        <v>0</v>
      </c>
      <c r="J448" s="1444">
        <v>0</v>
      </c>
      <c r="K448" s="1476"/>
      <c r="L448" s="1476"/>
      <c r="M448" s="1476">
        <f t="shared" si="48"/>
        <v>0</v>
      </c>
      <c r="N448" s="1476">
        <f t="shared" si="46"/>
        <v>0.25</v>
      </c>
    </row>
    <row r="449" spans="1:14" ht="15.5" outlineLevel="1">
      <c r="A449" s="1454">
        <f t="shared" si="54"/>
        <v>16</v>
      </c>
      <c r="B449" s="1454" t="str">
        <f t="shared" si="54"/>
        <v>JUMBO DEESERT AIR COOLERS FOR POWER TRANSFORERS</v>
      </c>
      <c r="C449" s="1475">
        <f t="shared" si="54"/>
        <v>0</v>
      </c>
      <c r="D449" s="1473" t="str">
        <f t="shared" si="54"/>
        <v>-</v>
      </c>
      <c r="E449" s="1476">
        <f t="shared" si="54"/>
        <v>0</v>
      </c>
      <c r="F449" s="1444">
        <f t="shared" si="52"/>
        <v>0.1014328</v>
      </c>
      <c r="G449" s="1444">
        <f t="shared" si="53"/>
        <v>0.1014328</v>
      </c>
      <c r="H449" s="1476">
        <f t="shared" si="45"/>
        <v>0</v>
      </c>
      <c r="I449" s="1444">
        <v>0</v>
      </c>
      <c r="J449" s="1444">
        <v>0</v>
      </c>
      <c r="K449" s="1476"/>
      <c r="L449" s="1476"/>
      <c r="M449" s="1476">
        <f t="shared" si="48"/>
        <v>0</v>
      </c>
      <c r="N449" s="1476">
        <f t="shared" si="46"/>
        <v>0</v>
      </c>
    </row>
    <row r="450" spans="1:14" ht="15.5" outlineLevel="1">
      <c r="A450" s="1454">
        <f t="shared" si="54"/>
        <v>17</v>
      </c>
      <c r="B450" s="1454" t="str">
        <f t="shared" si="54"/>
        <v>GEN ASSET (ALMIRAH,TABLE &amp; CHAIR) (10801)</v>
      </c>
      <c r="C450" s="1475">
        <f t="shared" si="54"/>
        <v>0</v>
      </c>
      <c r="D450" s="1473" t="str">
        <f t="shared" si="54"/>
        <v>-</v>
      </c>
      <c r="E450" s="1476">
        <f t="shared" si="54"/>
        <v>0</v>
      </c>
      <c r="F450" s="1444">
        <f t="shared" si="52"/>
        <v>0.23453750000000001</v>
      </c>
      <c r="G450" s="1444">
        <f t="shared" si="53"/>
        <v>0.23453750000000001</v>
      </c>
      <c r="H450" s="1476">
        <f t="shared" si="45"/>
        <v>0</v>
      </c>
      <c r="I450" s="1444">
        <v>0</v>
      </c>
      <c r="J450" s="1444">
        <v>0</v>
      </c>
      <c r="K450" s="1476"/>
      <c r="L450" s="1476"/>
      <c r="M450" s="1476">
        <f t="shared" si="48"/>
        <v>0</v>
      </c>
      <c r="N450" s="1476">
        <f t="shared" si="46"/>
        <v>0</v>
      </c>
    </row>
    <row r="451" spans="1:14" ht="15.5" outlineLevel="1">
      <c r="A451" s="1454">
        <f t="shared" si="54"/>
        <v>18</v>
      </c>
      <c r="B451" s="1454" t="str">
        <f t="shared" si="54"/>
        <v>LAPTOP, 50 INCH TV,PRINTER,PROJECTOR,DESKTOP,UPS &amp; ETS. (10901)</v>
      </c>
      <c r="C451" s="1475">
        <f t="shared" si="54"/>
        <v>0</v>
      </c>
      <c r="D451" s="1473" t="str">
        <f t="shared" si="54"/>
        <v>-</v>
      </c>
      <c r="E451" s="1476">
        <f t="shared" si="54"/>
        <v>0</v>
      </c>
      <c r="F451" s="1444">
        <f t="shared" si="52"/>
        <v>0.55035469999999997</v>
      </c>
      <c r="G451" s="1444">
        <f t="shared" si="53"/>
        <v>0.55035469999999997</v>
      </c>
      <c r="H451" s="1476">
        <f t="shared" si="45"/>
        <v>0</v>
      </c>
      <c r="I451" s="1444">
        <v>0</v>
      </c>
      <c r="J451" s="1444">
        <v>0</v>
      </c>
      <c r="K451" s="1476"/>
      <c r="L451" s="1476"/>
      <c r="M451" s="1476">
        <f t="shared" si="48"/>
        <v>0</v>
      </c>
      <c r="N451" s="1476">
        <f t="shared" si="46"/>
        <v>0</v>
      </c>
    </row>
    <row r="452" spans="1:14" ht="15.5" outlineLevel="1">
      <c r="A452" s="1454">
        <f t="shared" si="54"/>
        <v>19</v>
      </c>
      <c r="B452" s="1454" t="str">
        <f t="shared" si="54"/>
        <v>RESTAURANT EQUIP COMPOSTING MACHINE</v>
      </c>
      <c r="C452" s="1475">
        <f t="shared" si="54"/>
        <v>0</v>
      </c>
      <c r="D452" s="1473" t="str">
        <f t="shared" si="54"/>
        <v>-</v>
      </c>
      <c r="E452" s="1476">
        <f t="shared" si="54"/>
        <v>0</v>
      </c>
      <c r="F452" s="1444">
        <f t="shared" si="52"/>
        <v>5.0490047999999996E-2</v>
      </c>
      <c r="G452" s="1444">
        <f t="shared" si="53"/>
        <v>5.0490047999999996E-2</v>
      </c>
      <c r="H452" s="1476">
        <f t="shared" ref="H452:H464" si="55">F452-G452</f>
        <v>0</v>
      </c>
      <c r="I452" s="1444">
        <v>0</v>
      </c>
      <c r="J452" s="1444">
        <v>0</v>
      </c>
      <c r="K452" s="1476"/>
      <c r="L452" s="1476"/>
      <c r="M452" s="1476">
        <f t="shared" si="48"/>
        <v>0</v>
      </c>
      <c r="N452" s="1476"/>
    </row>
    <row r="453" spans="1:14" ht="15.5" outlineLevel="1">
      <c r="A453" s="1454">
        <f t="shared" si="54"/>
        <v>20</v>
      </c>
      <c r="B453" s="1454" t="str">
        <f t="shared" si="54"/>
        <v>OFFICE TABLE,STORGE RACK,FAN</v>
      </c>
      <c r="C453" s="1475">
        <f t="shared" si="54"/>
        <v>0</v>
      </c>
      <c r="D453" s="1473" t="str">
        <f t="shared" si="54"/>
        <v>-</v>
      </c>
      <c r="E453" s="1476">
        <f t="shared" si="54"/>
        <v>0</v>
      </c>
      <c r="F453" s="1444">
        <f t="shared" si="52"/>
        <v>0.57868969999999997</v>
      </c>
      <c r="G453" s="1444">
        <f t="shared" si="53"/>
        <v>0.57868969999999997</v>
      </c>
      <c r="H453" s="1476">
        <f t="shared" si="55"/>
        <v>0</v>
      </c>
      <c r="I453" s="1444">
        <v>0</v>
      </c>
      <c r="J453" s="1444">
        <v>0</v>
      </c>
      <c r="K453" s="1476"/>
      <c r="L453" s="1476"/>
      <c r="M453" s="1476">
        <f t="shared" ref="M453:M464" si="56">SUM(J453:L453)</f>
        <v>0</v>
      </c>
      <c r="N453" s="1476"/>
    </row>
    <row r="454" spans="1:14" ht="15.5" outlineLevel="1">
      <c r="A454" s="1454">
        <f t="shared" si="54"/>
        <v>21</v>
      </c>
      <c r="B454" s="1454" t="str">
        <f t="shared" si="54"/>
        <v>CAMERAS</v>
      </c>
      <c r="C454" s="1475">
        <f t="shared" si="54"/>
        <v>0</v>
      </c>
      <c r="D454" s="1473" t="str">
        <f t="shared" si="54"/>
        <v>-</v>
      </c>
      <c r="E454" s="1476">
        <f t="shared" si="54"/>
        <v>0</v>
      </c>
      <c r="F454" s="1444">
        <f t="shared" si="52"/>
        <v>3.8467899999999999E-2</v>
      </c>
      <c r="G454" s="1444">
        <f t="shared" si="53"/>
        <v>3.8467899999999999E-2</v>
      </c>
      <c r="H454" s="1476">
        <f t="shared" si="55"/>
        <v>0</v>
      </c>
      <c r="I454" s="1444">
        <v>0</v>
      </c>
      <c r="J454" s="1444">
        <v>0</v>
      </c>
      <c r="K454" s="1476"/>
      <c r="L454" s="1476"/>
      <c r="M454" s="1476">
        <f t="shared" si="56"/>
        <v>0</v>
      </c>
      <c r="N454" s="1476"/>
    </row>
    <row r="455" spans="1:14" ht="15.5" outlineLevel="1">
      <c r="A455" s="1454">
        <f t="shared" si="54"/>
        <v>22</v>
      </c>
      <c r="B455" s="1454" t="str">
        <f t="shared" si="54"/>
        <v>VELHALA ASH BUND RD WORK</v>
      </c>
      <c r="C455" s="1475">
        <f t="shared" si="54"/>
        <v>0</v>
      </c>
      <c r="D455" s="1473" t="str">
        <f t="shared" si="54"/>
        <v>-</v>
      </c>
      <c r="E455" s="1476">
        <f t="shared" si="54"/>
        <v>0</v>
      </c>
      <c r="F455" s="1444">
        <f t="shared" si="52"/>
        <v>2.4644665859999999</v>
      </c>
      <c r="G455" s="1444">
        <f t="shared" si="53"/>
        <v>2.4644665859999999</v>
      </c>
      <c r="H455" s="1476">
        <f t="shared" si="55"/>
        <v>0</v>
      </c>
      <c r="I455" s="1444">
        <v>0</v>
      </c>
      <c r="J455" s="1444">
        <v>0</v>
      </c>
      <c r="K455" s="1476"/>
      <c r="L455" s="1476"/>
      <c r="M455" s="1476">
        <f t="shared" si="56"/>
        <v>0</v>
      </c>
      <c r="N455" s="1476"/>
    </row>
    <row r="456" spans="1:14" ht="15.5" outlineLevel="1">
      <c r="A456" s="1454">
        <f t="shared" si="54"/>
        <v>23</v>
      </c>
      <c r="B456" s="1454" t="str">
        <f t="shared" si="54"/>
        <v>CONCERETE ROAD FROM DIESEL PUMP TO 500MW FACTORY G</v>
      </c>
      <c r="C456" s="1475">
        <f t="shared" si="54"/>
        <v>0</v>
      </c>
      <c r="D456" s="1473" t="str">
        <f t="shared" si="54"/>
        <v>-</v>
      </c>
      <c r="E456" s="1476">
        <f t="shared" si="54"/>
        <v>0</v>
      </c>
      <c r="F456" s="1444">
        <f t="shared" si="52"/>
        <v>0.98448907899999993</v>
      </c>
      <c r="G456" s="1444">
        <f t="shared" si="53"/>
        <v>0.98448907899999993</v>
      </c>
      <c r="H456" s="1476">
        <f t="shared" si="55"/>
        <v>0</v>
      </c>
      <c r="I456" s="1444">
        <v>0</v>
      </c>
      <c r="J456" s="1444">
        <v>0</v>
      </c>
      <c r="K456" s="1476"/>
      <c r="L456" s="1476"/>
      <c r="M456" s="1476">
        <f t="shared" si="56"/>
        <v>0</v>
      </c>
      <c r="N456" s="1476"/>
    </row>
    <row r="457" spans="1:14" ht="15.5" outlineLevel="1">
      <c r="A457" s="1454">
        <f t="shared" si="54"/>
        <v>24</v>
      </c>
      <c r="B457" s="1454" t="str">
        <f t="shared" si="54"/>
        <v>Admin Building</v>
      </c>
      <c r="C457" s="1475">
        <f t="shared" si="54"/>
        <v>0</v>
      </c>
      <c r="D457" s="1473" t="str">
        <f t="shared" si="54"/>
        <v>-</v>
      </c>
      <c r="E457" s="1476">
        <f t="shared" si="54"/>
        <v>0</v>
      </c>
      <c r="F457" s="1444">
        <f t="shared" si="52"/>
        <v>5.1749999999999997E-2</v>
      </c>
      <c r="G457" s="1444">
        <f t="shared" si="53"/>
        <v>0</v>
      </c>
      <c r="H457" s="1476">
        <f t="shared" si="55"/>
        <v>5.1749999999999997E-2</v>
      </c>
      <c r="I457" s="1444">
        <v>0</v>
      </c>
      <c r="J457" s="1444">
        <v>0</v>
      </c>
      <c r="K457" s="1476"/>
      <c r="L457" s="1476"/>
      <c r="M457" s="1476">
        <f t="shared" si="56"/>
        <v>0</v>
      </c>
      <c r="N457" s="1476"/>
    </row>
    <row r="458" spans="1:14" ht="15.5" outlineLevel="1">
      <c r="A458" s="1455">
        <f t="shared" si="54"/>
        <v>25</v>
      </c>
      <c r="B458" s="1455" t="str">
        <f t="shared" si="54"/>
        <v>Furniture &amp; Fixture</v>
      </c>
      <c r="C458" s="1475">
        <f t="shared" si="54"/>
        <v>0</v>
      </c>
      <c r="D458" s="1473" t="str">
        <f t="shared" si="54"/>
        <v>-</v>
      </c>
      <c r="E458" s="1476">
        <f t="shared" si="54"/>
        <v>0</v>
      </c>
      <c r="F458" s="1444">
        <f t="shared" si="52"/>
        <v>0.13712089999999999</v>
      </c>
      <c r="G458" s="1444">
        <f t="shared" si="53"/>
        <v>0.13712089999999999</v>
      </c>
      <c r="H458" s="1476">
        <f t="shared" si="55"/>
        <v>0</v>
      </c>
      <c r="I458" s="1444">
        <v>0</v>
      </c>
      <c r="J458" s="1444">
        <v>0</v>
      </c>
      <c r="K458" s="1476"/>
      <c r="L458" s="1476"/>
      <c r="M458" s="1476">
        <f t="shared" si="56"/>
        <v>0</v>
      </c>
      <c r="N458" s="1476"/>
    </row>
    <row r="459" spans="1:14" ht="15.5" outlineLevel="1">
      <c r="A459" s="1455">
        <f t="shared" si="54"/>
        <v>26</v>
      </c>
      <c r="B459" s="1455" t="str">
        <f t="shared" si="54"/>
        <v>Office Equipment</v>
      </c>
      <c r="C459" s="1475">
        <f t="shared" si="54"/>
        <v>0</v>
      </c>
      <c r="D459" s="1473" t="str">
        <f t="shared" si="54"/>
        <v>-</v>
      </c>
      <c r="E459" s="1476">
        <f t="shared" si="54"/>
        <v>0</v>
      </c>
      <c r="F459" s="1444">
        <f t="shared" si="52"/>
        <v>0.14423554</v>
      </c>
      <c r="G459" s="1444">
        <f t="shared" si="53"/>
        <v>0.14423554</v>
      </c>
      <c r="H459" s="1476">
        <f t="shared" si="55"/>
        <v>0</v>
      </c>
      <c r="I459" s="1444">
        <v>0</v>
      </c>
      <c r="J459" s="1444">
        <v>0</v>
      </c>
      <c r="K459" s="1476"/>
      <c r="L459" s="1476"/>
      <c r="M459" s="1476">
        <f t="shared" si="56"/>
        <v>0</v>
      </c>
      <c r="N459" s="1476"/>
    </row>
    <row r="460" spans="1:14" ht="15.5" outlineLevel="1">
      <c r="A460" s="1455">
        <f t="shared" si="54"/>
        <v>27</v>
      </c>
      <c r="B460" s="1455" t="str">
        <f t="shared" si="54"/>
        <v>Furniture &amp; Fixture</v>
      </c>
      <c r="C460" s="1475">
        <f t="shared" si="54"/>
        <v>0</v>
      </c>
      <c r="D460" s="1473" t="str">
        <f t="shared" si="54"/>
        <v>-</v>
      </c>
      <c r="E460" s="1476">
        <f t="shared" si="54"/>
        <v>0</v>
      </c>
      <c r="F460" s="1444">
        <f t="shared" si="52"/>
        <v>0</v>
      </c>
      <c r="G460" s="1444">
        <f t="shared" si="53"/>
        <v>0</v>
      </c>
      <c r="H460" s="1476">
        <f t="shared" si="55"/>
        <v>0</v>
      </c>
      <c r="I460" s="1444">
        <v>7.3968300000000001E-2</v>
      </c>
      <c r="J460" s="1444">
        <v>7.3968300000000001E-2</v>
      </c>
      <c r="K460" s="1476"/>
      <c r="L460" s="1476"/>
      <c r="M460" s="1476">
        <f t="shared" si="56"/>
        <v>7.3968300000000001E-2</v>
      </c>
      <c r="N460" s="1476"/>
    </row>
    <row r="461" spans="1:14" ht="15.5" outlineLevel="1">
      <c r="A461" s="1455">
        <f t="shared" si="54"/>
        <v>28</v>
      </c>
      <c r="B461" s="1455" t="str">
        <f t="shared" si="54"/>
        <v>Office Equipment</v>
      </c>
      <c r="C461" s="1475">
        <f t="shared" si="54"/>
        <v>0</v>
      </c>
      <c r="D461" s="1473" t="str">
        <f t="shared" si="54"/>
        <v>-</v>
      </c>
      <c r="E461" s="1476">
        <f t="shared" si="54"/>
        <v>0</v>
      </c>
      <c r="F461" s="1444">
        <f t="shared" si="52"/>
        <v>0</v>
      </c>
      <c r="G461" s="1444">
        <f t="shared" si="53"/>
        <v>0</v>
      </c>
      <c r="H461" s="1476">
        <f t="shared" si="55"/>
        <v>0</v>
      </c>
      <c r="I461" s="1444">
        <v>0.15890559299999998</v>
      </c>
      <c r="J461" s="1444">
        <v>0.15890559299999998</v>
      </c>
      <c r="K461" s="1476"/>
      <c r="L461" s="1476"/>
      <c r="M461" s="1476">
        <f t="shared" si="56"/>
        <v>0.15890559299999998</v>
      </c>
      <c r="N461" s="1476"/>
    </row>
    <row r="462" spans="1:14" ht="31" outlineLevel="1">
      <c r="A462" s="1455">
        <f t="shared" si="54"/>
        <v>29</v>
      </c>
      <c r="B462" s="1455" t="str">
        <f t="shared" si="54"/>
        <v>Work of repairs of 350 KW BCWP-4B &amp; BCWP-5B motor of M/s. Torishima make at BTPS 2x500 MW</v>
      </c>
      <c r="C462" s="1475">
        <f t="shared" si="54"/>
        <v>0</v>
      </c>
      <c r="D462" s="1473" t="str">
        <f t="shared" si="54"/>
        <v>-</v>
      </c>
      <c r="E462" s="1476">
        <f t="shared" si="54"/>
        <v>0</v>
      </c>
      <c r="F462" s="1444">
        <f t="shared" si="52"/>
        <v>0</v>
      </c>
      <c r="G462" s="1444">
        <f t="shared" si="53"/>
        <v>0</v>
      </c>
      <c r="H462" s="1476">
        <f t="shared" si="55"/>
        <v>0</v>
      </c>
      <c r="I462" s="1444">
        <v>4.8465386759999998</v>
      </c>
      <c r="J462" s="1444">
        <v>4.8465386759999998</v>
      </c>
      <c r="K462" s="1476"/>
      <c r="L462" s="1476"/>
      <c r="M462" s="1476">
        <f t="shared" si="56"/>
        <v>4.8465386759999998</v>
      </c>
      <c r="N462" s="1476"/>
    </row>
    <row r="463" spans="1:14" ht="15.5" outlineLevel="1">
      <c r="A463" s="1455">
        <f t="shared" si="54"/>
        <v>30</v>
      </c>
      <c r="B463" s="1455" t="str">
        <f t="shared" si="54"/>
        <v>ABC Powder Type and Foam Type Composite Fire Extinguisher</v>
      </c>
      <c r="C463" s="1475">
        <f t="shared" si="54"/>
        <v>0</v>
      </c>
      <c r="D463" s="1473" t="str">
        <f t="shared" si="54"/>
        <v>-</v>
      </c>
      <c r="E463" s="1476">
        <f t="shared" si="54"/>
        <v>0</v>
      </c>
      <c r="F463" s="1444">
        <f t="shared" si="52"/>
        <v>0</v>
      </c>
      <c r="G463" s="1444">
        <f t="shared" si="53"/>
        <v>0</v>
      </c>
      <c r="H463" s="1476">
        <f t="shared" si="55"/>
        <v>0</v>
      </c>
      <c r="I463" s="1444">
        <v>0.58547995599999991</v>
      </c>
      <c r="J463" s="1444">
        <v>0.58547995599999991</v>
      </c>
      <c r="K463" s="1476"/>
      <c r="L463" s="1476"/>
      <c r="M463" s="1476">
        <f t="shared" si="56"/>
        <v>0.58547995599999991</v>
      </c>
      <c r="N463" s="1476"/>
    </row>
    <row r="464" spans="1:14" ht="16" outlineLevel="1" thickBot="1">
      <c r="A464" s="1479">
        <f t="shared" ref="A464:E464" si="57">A234</f>
        <v>31</v>
      </c>
      <c r="B464" s="1479" t="str">
        <f t="shared" si="57"/>
        <v>Withdrawal of capex from Project (LD - Passenger Lifts)</v>
      </c>
      <c r="C464" s="1480">
        <f t="shared" si="57"/>
        <v>0</v>
      </c>
      <c r="D464" s="1481" t="str">
        <f t="shared" si="57"/>
        <v>-</v>
      </c>
      <c r="E464" s="1482">
        <f t="shared" si="57"/>
        <v>0</v>
      </c>
      <c r="F464" s="1483">
        <f t="shared" si="52"/>
        <v>0</v>
      </c>
      <c r="G464" s="1483">
        <f t="shared" si="53"/>
        <v>-0.138988</v>
      </c>
      <c r="H464" s="1482">
        <f t="shared" si="55"/>
        <v>0.138988</v>
      </c>
      <c r="I464" s="1483">
        <v>0</v>
      </c>
      <c r="J464" s="1483">
        <v>0</v>
      </c>
      <c r="K464" s="1482"/>
      <c r="L464" s="1482"/>
      <c r="M464" s="1482">
        <f t="shared" si="56"/>
        <v>0</v>
      </c>
      <c r="N464" s="1482"/>
    </row>
    <row r="465" spans="1:16" ht="15.5" thickBot="1">
      <c r="A465" s="1379"/>
      <c r="B465" s="1484" t="str">
        <f>B235</f>
        <v>Total</v>
      </c>
      <c r="C465" s="1380"/>
      <c r="D465" s="1381"/>
      <c r="E465" s="1485"/>
      <c r="F465" s="1485">
        <f>SUM(F240:F464)</f>
        <v>199.14804525065955</v>
      </c>
      <c r="G465" s="1485">
        <f t="shared" ref="G465:N465" si="58">SUM(G240:G464)</f>
        <v>198.00857832665952</v>
      </c>
      <c r="H465" s="1485">
        <f t="shared" si="58"/>
        <v>1.1394669240000024</v>
      </c>
      <c r="I465" s="1485">
        <f t="shared" si="58"/>
        <v>10.833911637</v>
      </c>
      <c r="J465" s="1485">
        <f t="shared" si="58"/>
        <v>16.577969744000001</v>
      </c>
      <c r="K465" s="1485">
        <f t="shared" si="58"/>
        <v>0</v>
      </c>
      <c r="L465" s="1485">
        <f t="shared" si="58"/>
        <v>0</v>
      </c>
      <c r="M465" s="1485">
        <f t="shared" si="58"/>
        <v>16.577969744000001</v>
      </c>
      <c r="N465" s="1486">
        <f t="shared" si="58"/>
        <v>-4.795329182999998</v>
      </c>
    </row>
    <row r="467" spans="1:16">
      <c r="A467" s="1434"/>
      <c r="B467" s="574" t="s">
        <v>511</v>
      </c>
      <c r="C467" s="1435"/>
      <c r="D467" s="1436"/>
      <c r="E467" s="318"/>
      <c r="F467" s="318"/>
      <c r="G467" s="318"/>
      <c r="H467" s="318"/>
      <c r="I467" s="318"/>
      <c r="J467" s="318"/>
      <c r="K467" s="318"/>
      <c r="L467" s="318"/>
      <c r="M467" s="318"/>
      <c r="N467" s="318"/>
    </row>
    <row r="468" spans="1:16" outlineLevel="1">
      <c r="A468" s="131"/>
      <c r="B468" s="1288" t="str">
        <f t="shared" ref="B468:E483" si="59">B238</f>
        <v>a) DPR Schemes</v>
      </c>
      <c r="C468" s="1435"/>
      <c r="D468" s="1436"/>
      <c r="E468" s="318"/>
      <c r="F468" s="318"/>
      <c r="G468" s="318"/>
      <c r="H468" s="318"/>
      <c r="I468" s="318"/>
      <c r="J468" s="318"/>
      <c r="K468" s="318"/>
      <c r="L468" s="318"/>
      <c r="M468" s="318"/>
      <c r="N468" s="318"/>
    </row>
    <row r="469" spans="1:16" outlineLevel="1">
      <c r="A469" s="131"/>
      <c r="B469" s="1437" t="str">
        <f t="shared" si="59"/>
        <v>(i) Submitted to MERC</v>
      </c>
      <c r="C469" s="1438"/>
      <c r="D469" s="1439"/>
      <c r="E469" s="318"/>
      <c r="F469" s="318"/>
      <c r="G469" s="318"/>
      <c r="H469" s="318"/>
      <c r="I469" s="318"/>
      <c r="J469" s="318"/>
      <c r="K469" s="318"/>
      <c r="L469" s="318"/>
      <c r="M469" s="318"/>
      <c r="N469" s="318"/>
    </row>
    <row r="470" spans="1:16" ht="31" outlineLevel="1">
      <c r="A470" s="1440">
        <f t="shared" ref="A470:E485" si="60">A240</f>
        <v>7</v>
      </c>
      <c r="B470" s="1441" t="str">
        <f t="shared" si="59"/>
        <v>Interconnection of 210 MW CHP to 500 MW CHP through Conveyors BC-02 &amp; BC-03 having capacity of 500 TPH</v>
      </c>
      <c r="C470" s="1442" t="str">
        <f t="shared" si="59"/>
        <v>MERC/CAPEX/20162017/00227</v>
      </c>
      <c r="D470" s="1443">
        <f t="shared" si="59"/>
        <v>42514</v>
      </c>
      <c r="E470" s="1444">
        <f t="shared" si="59"/>
        <v>24</v>
      </c>
      <c r="F470" s="1444">
        <f t="shared" ref="F470:F533" si="61">F240+I240</f>
        <v>0</v>
      </c>
      <c r="G470" s="1444">
        <f t="shared" ref="G470:G533" si="62">G240+M240</f>
        <v>0</v>
      </c>
      <c r="H470" s="1444">
        <f t="shared" ref="H470:H533" si="63">F470-G470</f>
        <v>0</v>
      </c>
      <c r="I470" s="1444">
        <v>0</v>
      </c>
      <c r="J470" s="1444">
        <v>0</v>
      </c>
      <c r="K470" s="1444"/>
      <c r="L470" s="1444"/>
      <c r="M470" s="1444">
        <f t="shared" ref="M470" si="64">SUM(J470:L470)</f>
        <v>0</v>
      </c>
      <c r="N470" s="1444">
        <f t="shared" ref="N470:N533" si="65">H470+I470-M470</f>
        <v>0</v>
      </c>
      <c r="O470" s="1445">
        <f t="shared" ref="O470:O533" si="66">MAX(0,IF(M470=0,0,IF(G470+M470&lt;E470,M470,E470-G470)))</f>
        <v>0</v>
      </c>
      <c r="P470" s="1377">
        <f t="shared" ref="P470:P533" si="67">M470-O470</f>
        <v>0</v>
      </c>
    </row>
    <row r="471" spans="1:16" ht="31" outlineLevel="1">
      <c r="A471" s="1446">
        <f t="shared" si="60"/>
        <v>7.1</v>
      </c>
      <c r="B471" s="1447" t="str">
        <f t="shared" si="59"/>
        <v>Interconnection of 210 MW CHP to 500 MW CHP through Conveyors BC-02 &amp; BC-03 having capacity of 500 TPH</v>
      </c>
      <c r="C471" s="1472" t="str">
        <f t="shared" si="59"/>
        <v>MERC/CAPEX/20162017/00227</v>
      </c>
      <c r="D471" s="1473">
        <f t="shared" si="59"/>
        <v>42514</v>
      </c>
      <c r="E471" s="1474">
        <f t="shared" si="59"/>
        <v>22.73</v>
      </c>
      <c r="F471" s="1444">
        <f t="shared" si="61"/>
        <v>19.106691754</v>
      </c>
      <c r="G471" s="1444">
        <f t="shared" si="62"/>
        <v>19.106691754</v>
      </c>
      <c r="H471" s="1474">
        <f t="shared" si="63"/>
        <v>0</v>
      </c>
      <c r="I471" s="1444">
        <v>0</v>
      </c>
      <c r="J471" s="1444">
        <v>0</v>
      </c>
      <c r="K471" s="1474"/>
      <c r="L471" s="1474"/>
      <c r="M471" s="1474">
        <f t="shared" ref="M471:M534" si="68">SUM(J471:L471)</f>
        <v>0</v>
      </c>
      <c r="N471" s="1474">
        <f t="shared" si="65"/>
        <v>0</v>
      </c>
      <c r="O471" s="1445">
        <f t="shared" si="66"/>
        <v>0</v>
      </c>
      <c r="P471" s="1377">
        <f t="shared" si="67"/>
        <v>0</v>
      </c>
    </row>
    <row r="472" spans="1:16" ht="15.5" outlineLevel="1">
      <c r="A472" s="1446">
        <f t="shared" si="60"/>
        <v>0</v>
      </c>
      <c r="B472" s="1447" t="str">
        <f t="shared" si="59"/>
        <v>IDC</v>
      </c>
      <c r="C472" s="1472" t="str">
        <f t="shared" si="59"/>
        <v>MERC/CAPEX/20162017/00227</v>
      </c>
      <c r="D472" s="1473">
        <f t="shared" si="59"/>
        <v>42514</v>
      </c>
      <c r="E472" s="1474">
        <f t="shared" si="59"/>
        <v>1.27</v>
      </c>
      <c r="F472" s="1444">
        <f t="shared" si="61"/>
        <v>0</v>
      </c>
      <c r="G472" s="1444">
        <f t="shared" si="62"/>
        <v>0</v>
      </c>
      <c r="H472" s="1474">
        <f t="shared" si="63"/>
        <v>0</v>
      </c>
      <c r="I472" s="1444">
        <v>0</v>
      </c>
      <c r="J472" s="1444">
        <v>0</v>
      </c>
      <c r="K472" s="1474"/>
      <c r="L472" s="1474"/>
      <c r="M472" s="1474">
        <f t="shared" si="68"/>
        <v>0</v>
      </c>
      <c r="N472" s="1474">
        <f t="shared" si="65"/>
        <v>0</v>
      </c>
      <c r="O472" s="1445">
        <f t="shared" si="66"/>
        <v>0</v>
      </c>
      <c r="P472" s="1377">
        <f t="shared" si="67"/>
        <v>0</v>
      </c>
    </row>
    <row r="473" spans="1:16" ht="31" outlineLevel="1">
      <c r="A473" s="1440">
        <f t="shared" si="60"/>
        <v>8</v>
      </c>
      <c r="B473" s="1441" t="str">
        <f t="shared" si="59"/>
        <v>Stack management by procurement of Bulldozer &amp; LOCO and CHP area schemes for performance &amp; unloading improvement</v>
      </c>
      <c r="C473" s="1442" t="str">
        <f t="shared" si="59"/>
        <v>MERC/CAPEX/20162017/01426</v>
      </c>
      <c r="D473" s="1443">
        <f t="shared" si="59"/>
        <v>42768</v>
      </c>
      <c r="E473" s="1444">
        <f t="shared" si="59"/>
        <v>9.9669421487603316</v>
      </c>
      <c r="F473" s="1444">
        <f t="shared" si="61"/>
        <v>0</v>
      </c>
      <c r="G473" s="1444">
        <f t="shared" si="62"/>
        <v>0</v>
      </c>
      <c r="H473" s="1444">
        <f t="shared" si="63"/>
        <v>0</v>
      </c>
      <c r="I473" s="1444">
        <v>0</v>
      </c>
      <c r="J473" s="1444">
        <v>0</v>
      </c>
      <c r="K473" s="1444"/>
      <c r="L473" s="1444"/>
      <c r="M473" s="1444">
        <f t="shared" si="68"/>
        <v>0</v>
      </c>
      <c r="N473" s="1444">
        <f t="shared" si="65"/>
        <v>0</v>
      </c>
      <c r="O473" s="1445">
        <f t="shared" si="66"/>
        <v>0</v>
      </c>
      <c r="P473" s="1377">
        <f t="shared" si="67"/>
        <v>0</v>
      </c>
    </row>
    <row r="474" spans="1:16" ht="15.5" outlineLevel="1">
      <c r="A474" s="1446">
        <f t="shared" si="60"/>
        <v>8.1</v>
      </c>
      <c r="B474" s="1447" t="str">
        <f t="shared" si="59"/>
        <v>Procurement of Locomotive 800 HP (2 No.’s)</v>
      </c>
      <c r="C474" s="1472" t="str">
        <f t="shared" si="59"/>
        <v>MERC/CAPEX/20162017/01426</v>
      </c>
      <c r="D474" s="1473">
        <f t="shared" si="59"/>
        <v>42768</v>
      </c>
      <c r="E474" s="1474">
        <f t="shared" si="59"/>
        <v>4.9504132231404956</v>
      </c>
      <c r="F474" s="1444">
        <f t="shared" si="61"/>
        <v>4.8260800000000001</v>
      </c>
      <c r="G474" s="1444">
        <f t="shared" si="62"/>
        <v>4.8260800000000001</v>
      </c>
      <c r="H474" s="1474">
        <f t="shared" si="63"/>
        <v>0</v>
      </c>
      <c r="I474" s="1444">
        <v>0</v>
      </c>
      <c r="J474" s="1444">
        <v>0</v>
      </c>
      <c r="K474" s="1474"/>
      <c r="L474" s="1474"/>
      <c r="M474" s="1474">
        <f t="shared" si="68"/>
        <v>0</v>
      </c>
      <c r="N474" s="1474">
        <f t="shared" si="65"/>
        <v>0</v>
      </c>
      <c r="O474" s="1445">
        <f t="shared" si="66"/>
        <v>0</v>
      </c>
      <c r="P474" s="1377">
        <f t="shared" si="67"/>
        <v>0</v>
      </c>
    </row>
    <row r="475" spans="1:16" ht="15.5" outlineLevel="1">
      <c r="A475" s="1446">
        <f t="shared" si="60"/>
        <v>8.1999999999999993</v>
      </c>
      <c r="B475" s="1447" t="str">
        <f t="shared" si="59"/>
        <v>Procurement of 2 No’s of Bulldozer Model D-155(2 No.’s)</v>
      </c>
      <c r="C475" s="1472" t="str">
        <f t="shared" si="59"/>
        <v>MERC/CAPEX/20162017/01426</v>
      </c>
      <c r="D475" s="1473">
        <f t="shared" si="59"/>
        <v>42768</v>
      </c>
      <c r="E475" s="1474">
        <f t="shared" si="59"/>
        <v>2.5619834710743801</v>
      </c>
      <c r="F475" s="1444">
        <f t="shared" si="61"/>
        <v>3.4747105785123966</v>
      </c>
      <c r="G475" s="1444">
        <f t="shared" si="62"/>
        <v>3.4747105785123966</v>
      </c>
      <c r="H475" s="1474">
        <f t="shared" si="63"/>
        <v>0</v>
      </c>
      <c r="I475" s="1444">
        <v>0</v>
      </c>
      <c r="J475" s="1444">
        <v>0</v>
      </c>
      <c r="K475" s="1474"/>
      <c r="L475" s="1474"/>
      <c r="M475" s="1474">
        <f t="shared" si="68"/>
        <v>0</v>
      </c>
      <c r="N475" s="1474">
        <f t="shared" si="65"/>
        <v>0</v>
      </c>
      <c r="O475" s="1445">
        <f t="shared" si="66"/>
        <v>0</v>
      </c>
      <c r="P475" s="1377">
        <f t="shared" si="67"/>
        <v>0</v>
      </c>
    </row>
    <row r="476" spans="1:16" ht="15.5" outlineLevel="1">
      <c r="A476" s="1446">
        <f t="shared" si="60"/>
        <v>8.3000000000000007</v>
      </c>
      <c r="B476" s="1447" t="str">
        <f t="shared" si="59"/>
        <v>Modification below primary crusher chutes 15A/B &amp; Conv.02</v>
      </c>
      <c r="C476" s="1472" t="str">
        <f t="shared" si="59"/>
        <v>MERC/CAPEX/20162017/01426</v>
      </c>
      <c r="D476" s="1473">
        <f t="shared" si="59"/>
        <v>42768</v>
      </c>
      <c r="E476" s="1474">
        <f t="shared" si="59"/>
        <v>0.42975206611570249</v>
      </c>
      <c r="F476" s="1444">
        <f t="shared" si="61"/>
        <v>0.38033057851239671</v>
      </c>
      <c r="G476" s="1444">
        <f t="shared" si="62"/>
        <v>0.38033057851239671</v>
      </c>
      <c r="H476" s="1474">
        <f t="shared" si="63"/>
        <v>0</v>
      </c>
      <c r="I476" s="1444">
        <v>0</v>
      </c>
      <c r="J476" s="1444">
        <v>0</v>
      </c>
      <c r="K476" s="1474"/>
      <c r="L476" s="1474"/>
      <c r="M476" s="1474">
        <f t="shared" si="68"/>
        <v>0</v>
      </c>
      <c r="N476" s="1474">
        <f t="shared" si="65"/>
        <v>0</v>
      </c>
      <c r="O476" s="1445">
        <f t="shared" si="66"/>
        <v>0</v>
      </c>
      <c r="P476" s="1377">
        <f t="shared" si="67"/>
        <v>0</v>
      </c>
    </row>
    <row r="477" spans="1:16" ht="15.5" outlineLevel="1">
      <c r="A477" s="1446">
        <f t="shared" si="60"/>
        <v>8.4</v>
      </c>
      <c r="B477" s="1447" t="str">
        <f t="shared" si="59"/>
        <v>New helical gear box for various conveyors</v>
      </c>
      <c r="C477" s="1472" t="str">
        <f t="shared" si="59"/>
        <v>MERC/CAPEX/20162017/01426</v>
      </c>
      <c r="D477" s="1473">
        <f t="shared" si="59"/>
        <v>42768</v>
      </c>
      <c r="E477" s="1474">
        <f t="shared" si="59"/>
        <v>0.79338842975206614</v>
      </c>
      <c r="F477" s="1444">
        <f t="shared" si="61"/>
        <v>0</v>
      </c>
      <c r="G477" s="1444">
        <f t="shared" si="62"/>
        <v>0</v>
      </c>
      <c r="H477" s="1474">
        <f t="shared" si="63"/>
        <v>0</v>
      </c>
      <c r="I477" s="1444">
        <v>0</v>
      </c>
      <c r="J477" s="1444">
        <v>0</v>
      </c>
      <c r="K477" s="1474"/>
      <c r="L477" s="1474"/>
      <c r="M477" s="1474">
        <f t="shared" si="68"/>
        <v>0</v>
      </c>
      <c r="N477" s="1474">
        <f t="shared" si="65"/>
        <v>0</v>
      </c>
      <c r="O477" s="1445">
        <f t="shared" si="66"/>
        <v>0</v>
      </c>
      <c r="P477" s="1377">
        <f t="shared" si="67"/>
        <v>0</v>
      </c>
    </row>
    <row r="478" spans="1:16" ht="15.5" outlineLevel="1">
      <c r="A478" s="1446">
        <f t="shared" si="60"/>
        <v>8.5</v>
      </c>
      <c r="B478" s="1447" t="str">
        <f t="shared" si="59"/>
        <v xml:space="preserve">Procurement of Elecon Make Ring Granulator Type TK-09-38B </v>
      </c>
      <c r="C478" s="1472" t="str">
        <f t="shared" si="59"/>
        <v>MERC/CAPEX/20162017/01426</v>
      </c>
      <c r="D478" s="1473">
        <f t="shared" si="59"/>
        <v>42768</v>
      </c>
      <c r="E478" s="1474">
        <f t="shared" si="59"/>
        <v>0.53719008264462809</v>
      </c>
      <c r="F478" s="1444">
        <f t="shared" si="61"/>
        <v>0</v>
      </c>
      <c r="G478" s="1444">
        <f t="shared" si="62"/>
        <v>0</v>
      </c>
      <c r="H478" s="1474">
        <f t="shared" si="63"/>
        <v>0</v>
      </c>
      <c r="I478" s="1444">
        <v>0</v>
      </c>
      <c r="J478" s="1444">
        <v>0</v>
      </c>
      <c r="K478" s="1474"/>
      <c r="L478" s="1474"/>
      <c r="M478" s="1474">
        <f t="shared" si="68"/>
        <v>0</v>
      </c>
      <c r="N478" s="1474">
        <f t="shared" si="65"/>
        <v>0</v>
      </c>
      <c r="O478" s="1445">
        <f t="shared" si="66"/>
        <v>0</v>
      </c>
      <c r="P478" s="1377">
        <f t="shared" si="67"/>
        <v>0</v>
      </c>
    </row>
    <row r="479" spans="1:16" ht="15.5" outlineLevel="1">
      <c r="A479" s="1446">
        <f t="shared" si="60"/>
        <v>8.6</v>
      </c>
      <c r="B479" s="1447" t="str">
        <f t="shared" si="59"/>
        <v>Procurement of Elecon Make Ring Granulator Type TK6 32B Ring Granulator</v>
      </c>
      <c r="C479" s="1472" t="str">
        <f t="shared" si="59"/>
        <v>MERC/CAPEX/20162017/01426</v>
      </c>
      <c r="D479" s="1473">
        <f t="shared" si="59"/>
        <v>42768</v>
      </c>
      <c r="E479" s="1474">
        <f t="shared" si="59"/>
        <v>0.33884297520661155</v>
      </c>
      <c r="F479" s="1444">
        <f t="shared" si="61"/>
        <v>0</v>
      </c>
      <c r="G479" s="1444">
        <f t="shared" si="62"/>
        <v>0</v>
      </c>
      <c r="H479" s="1474">
        <f t="shared" si="63"/>
        <v>0</v>
      </c>
      <c r="I479" s="1444">
        <v>0</v>
      </c>
      <c r="J479" s="1444">
        <v>0</v>
      </c>
      <c r="K479" s="1474"/>
      <c r="L479" s="1474"/>
      <c r="M479" s="1474">
        <f t="shared" si="68"/>
        <v>0</v>
      </c>
      <c r="N479" s="1474">
        <f t="shared" si="65"/>
        <v>0</v>
      </c>
      <c r="O479" s="1445">
        <f t="shared" si="66"/>
        <v>0</v>
      </c>
      <c r="P479" s="1377">
        <f t="shared" si="67"/>
        <v>0</v>
      </c>
    </row>
    <row r="480" spans="1:16" ht="15.5" outlineLevel="1">
      <c r="A480" s="1446">
        <f t="shared" si="60"/>
        <v>0</v>
      </c>
      <c r="B480" s="1447" t="str">
        <f t="shared" si="59"/>
        <v>IDC</v>
      </c>
      <c r="C480" s="1472" t="str">
        <f t="shared" si="59"/>
        <v>MERC/CAPEX/20162017/01426</v>
      </c>
      <c r="D480" s="1473">
        <f t="shared" si="59"/>
        <v>42768</v>
      </c>
      <c r="E480" s="1474">
        <f t="shared" si="59"/>
        <v>0.35537190082644626</v>
      </c>
      <c r="F480" s="1444">
        <f t="shared" si="61"/>
        <v>0</v>
      </c>
      <c r="G480" s="1444">
        <f t="shared" si="62"/>
        <v>0</v>
      </c>
      <c r="H480" s="1474">
        <f t="shared" si="63"/>
        <v>0</v>
      </c>
      <c r="I480" s="1444">
        <v>0</v>
      </c>
      <c r="J480" s="1444">
        <v>0</v>
      </c>
      <c r="K480" s="1474"/>
      <c r="L480" s="1474"/>
      <c r="M480" s="1474">
        <f t="shared" si="68"/>
        <v>0</v>
      </c>
      <c r="N480" s="1474">
        <f t="shared" si="65"/>
        <v>0</v>
      </c>
      <c r="O480" s="1445">
        <f t="shared" si="66"/>
        <v>0</v>
      </c>
      <c r="P480" s="1377">
        <f t="shared" si="67"/>
        <v>0</v>
      </c>
    </row>
    <row r="481" spans="1:16" ht="15.5" outlineLevel="1">
      <c r="A481" s="1440">
        <f t="shared" si="60"/>
        <v>9</v>
      </c>
      <c r="B481" s="1441" t="str">
        <f t="shared" si="59"/>
        <v>Construction of 1st raising of Ash bund from T.B.L. 258M to 264M at Bhusawal TPS</v>
      </c>
      <c r="C481" s="1442" t="str">
        <f t="shared" si="59"/>
        <v>MERC/CAPEX/20172018/4267</v>
      </c>
      <c r="D481" s="1443">
        <f t="shared" si="59"/>
        <v>43006</v>
      </c>
      <c r="E481" s="1444">
        <f t="shared" si="59"/>
        <v>64.22</v>
      </c>
      <c r="F481" s="1444">
        <f t="shared" si="61"/>
        <v>0</v>
      </c>
      <c r="G481" s="1444">
        <f t="shared" si="62"/>
        <v>0</v>
      </c>
      <c r="H481" s="1444">
        <f t="shared" si="63"/>
        <v>0</v>
      </c>
      <c r="I481" s="1444">
        <v>0</v>
      </c>
      <c r="J481" s="1444">
        <v>0</v>
      </c>
      <c r="K481" s="1444"/>
      <c r="L481" s="1444"/>
      <c r="M481" s="1444">
        <f t="shared" si="68"/>
        <v>0</v>
      </c>
      <c r="N481" s="1444">
        <f t="shared" si="65"/>
        <v>0</v>
      </c>
      <c r="O481" s="1445">
        <f t="shared" si="66"/>
        <v>0</v>
      </c>
      <c r="P481" s="1377">
        <f t="shared" si="67"/>
        <v>0</v>
      </c>
    </row>
    <row r="482" spans="1:16" ht="31" outlineLevel="1">
      <c r="A482" s="1446">
        <f t="shared" si="60"/>
        <v>9.1</v>
      </c>
      <c r="B482" s="1447" t="str">
        <f t="shared" si="59"/>
        <v>Construction of 1st raising of Ash bund from T.B.L. 258M to 264M at Bhusawal TPS</v>
      </c>
      <c r="C482" s="1472" t="str">
        <f t="shared" si="59"/>
        <v>MERC/CAPEX/20172018/4267</v>
      </c>
      <c r="D482" s="1473">
        <f t="shared" si="59"/>
        <v>43006</v>
      </c>
      <c r="E482" s="1474">
        <f t="shared" si="59"/>
        <v>64.22</v>
      </c>
      <c r="F482" s="1444">
        <f t="shared" si="61"/>
        <v>64.498238246301369</v>
      </c>
      <c r="G482" s="1444">
        <f t="shared" si="62"/>
        <v>64.498238246301369</v>
      </c>
      <c r="H482" s="1474">
        <f t="shared" si="63"/>
        <v>0</v>
      </c>
      <c r="I482" s="1444">
        <v>0</v>
      </c>
      <c r="J482" s="1444">
        <v>0</v>
      </c>
      <c r="K482" s="1474"/>
      <c r="L482" s="1474"/>
      <c r="M482" s="1474">
        <f t="shared" si="68"/>
        <v>0</v>
      </c>
      <c r="N482" s="1474">
        <f t="shared" si="65"/>
        <v>0</v>
      </c>
      <c r="O482" s="1445">
        <f t="shared" si="66"/>
        <v>0</v>
      </c>
      <c r="P482" s="1377">
        <f t="shared" si="67"/>
        <v>0</v>
      </c>
    </row>
    <row r="483" spans="1:16" ht="31" outlineLevel="1">
      <c r="A483" s="1440">
        <f t="shared" si="60"/>
        <v>10</v>
      </c>
      <c r="B483" s="1441" t="str">
        <f t="shared" si="59"/>
        <v>Augmentation of Ash Evacuation System &amp; Procurement of BCW Pump Motors at Bhusawal &amp; Khaperkheda TPS 500 MW Units</v>
      </c>
      <c r="C483" s="1442" t="str">
        <f t="shared" si="59"/>
        <v>MERC/CAPEX/20172018/4782</v>
      </c>
      <c r="D483" s="1443">
        <f t="shared" si="59"/>
        <v>43067</v>
      </c>
      <c r="E483" s="1444">
        <f t="shared" si="59"/>
        <v>17.439999999999998</v>
      </c>
      <c r="F483" s="1444">
        <f t="shared" si="61"/>
        <v>0</v>
      </c>
      <c r="G483" s="1444">
        <f t="shared" si="62"/>
        <v>0</v>
      </c>
      <c r="H483" s="1444">
        <f t="shared" si="63"/>
        <v>0</v>
      </c>
      <c r="I483" s="1444">
        <v>0</v>
      </c>
      <c r="J483" s="1444">
        <v>0</v>
      </c>
      <c r="K483" s="1444"/>
      <c r="L483" s="1444"/>
      <c r="M483" s="1444">
        <f t="shared" si="68"/>
        <v>0</v>
      </c>
      <c r="N483" s="1444">
        <f t="shared" si="65"/>
        <v>0</v>
      </c>
      <c r="O483" s="1445">
        <f t="shared" si="66"/>
        <v>0</v>
      </c>
      <c r="P483" s="1377">
        <f t="shared" si="67"/>
        <v>0</v>
      </c>
    </row>
    <row r="484" spans="1:16" ht="15.5" outlineLevel="1">
      <c r="A484" s="1446">
        <f t="shared" si="60"/>
        <v>10.1</v>
      </c>
      <c r="B484" s="1447" t="str">
        <f t="shared" si="60"/>
        <v>Installation of standby Buffer Hopper parallel to existing pair of buffer hoppers</v>
      </c>
      <c r="C484" s="1472" t="str">
        <f t="shared" si="60"/>
        <v>MERC/CAPEX/20172018/4782</v>
      </c>
      <c r="D484" s="1473">
        <f t="shared" si="60"/>
        <v>43067</v>
      </c>
      <c r="E484" s="1474">
        <f t="shared" si="60"/>
        <v>11.5</v>
      </c>
      <c r="F484" s="1444">
        <f t="shared" si="61"/>
        <v>0</v>
      </c>
      <c r="G484" s="1444">
        <f t="shared" si="62"/>
        <v>0</v>
      </c>
      <c r="H484" s="1474">
        <f t="shared" si="63"/>
        <v>0</v>
      </c>
      <c r="I484" s="1444">
        <v>0</v>
      </c>
      <c r="J484" s="1444">
        <v>0</v>
      </c>
      <c r="K484" s="1474"/>
      <c r="L484" s="1474"/>
      <c r="M484" s="1474">
        <f t="shared" si="68"/>
        <v>0</v>
      </c>
      <c r="N484" s="1474">
        <f t="shared" si="65"/>
        <v>0</v>
      </c>
      <c r="O484" s="1445">
        <f t="shared" si="66"/>
        <v>0</v>
      </c>
      <c r="P484" s="1377">
        <f t="shared" si="67"/>
        <v>0</v>
      </c>
    </row>
    <row r="485" spans="1:16" ht="31" outlineLevel="1">
      <c r="A485" s="1446">
        <f t="shared" si="60"/>
        <v>10.199999999999999</v>
      </c>
      <c r="B485" s="1447" t="str">
        <f t="shared" si="60"/>
        <v>Installation of additional vacuum pump for every two passes, near to intermediate hopper.</v>
      </c>
      <c r="C485" s="1472" t="str">
        <f t="shared" si="60"/>
        <v>MERC/CAPEX/20172018/4782</v>
      </c>
      <c r="D485" s="1473">
        <f t="shared" si="60"/>
        <v>43067</v>
      </c>
      <c r="E485" s="1474">
        <f t="shared" si="60"/>
        <v>0.6</v>
      </c>
      <c r="F485" s="1444">
        <f t="shared" si="61"/>
        <v>0</v>
      </c>
      <c r="G485" s="1444">
        <f t="shared" si="62"/>
        <v>0</v>
      </c>
      <c r="H485" s="1474">
        <f t="shared" si="63"/>
        <v>0</v>
      </c>
      <c r="I485" s="1444">
        <v>0</v>
      </c>
      <c r="J485" s="1444">
        <v>0</v>
      </c>
      <c r="K485" s="1474"/>
      <c r="L485" s="1474"/>
      <c r="M485" s="1474">
        <f t="shared" si="68"/>
        <v>0</v>
      </c>
      <c r="N485" s="1474">
        <f t="shared" si="65"/>
        <v>0</v>
      </c>
      <c r="O485" s="1445">
        <f t="shared" si="66"/>
        <v>0</v>
      </c>
      <c r="P485" s="1377">
        <f t="shared" si="67"/>
        <v>0</v>
      </c>
    </row>
    <row r="486" spans="1:16" ht="62" outlineLevel="1">
      <c r="A486" s="1446">
        <f t="shared" ref="A486:E501" si="69">A256</f>
        <v>10.3</v>
      </c>
      <c r="B486" s="1447" t="str">
        <f t="shared" si="69"/>
        <v>Procurement of 02 Nos of M/s Torishima, Japan make, 350 KW, 6.6KV, Boiler Circulating Water (BCW) Pump Motors (without pump casing) with 02 lots of recommended Electrical &amp; C&amp;I spares for Bhusawal and Khaparkheda TPS 500MW.</v>
      </c>
      <c r="C486" s="1472" t="str">
        <f t="shared" si="69"/>
        <v>MERC/CAPEX/20172018/4782</v>
      </c>
      <c r="D486" s="1473">
        <f t="shared" si="69"/>
        <v>43067</v>
      </c>
      <c r="E486" s="1474">
        <f t="shared" si="69"/>
        <v>4.24</v>
      </c>
      <c r="F486" s="1444">
        <f t="shared" si="61"/>
        <v>4.6696428000000001</v>
      </c>
      <c r="G486" s="1444">
        <f t="shared" si="62"/>
        <v>4.6696428000000001</v>
      </c>
      <c r="H486" s="1474">
        <f t="shared" si="63"/>
        <v>0</v>
      </c>
      <c r="I486" s="1444">
        <v>0</v>
      </c>
      <c r="J486" s="1444">
        <v>0</v>
      </c>
      <c r="K486" s="1474"/>
      <c r="L486" s="1474"/>
      <c r="M486" s="1474">
        <f t="shared" si="68"/>
        <v>0</v>
      </c>
      <c r="N486" s="1474">
        <f t="shared" si="65"/>
        <v>0</v>
      </c>
      <c r="O486" s="1445">
        <f t="shared" si="66"/>
        <v>0</v>
      </c>
      <c r="P486" s="1377">
        <f t="shared" si="67"/>
        <v>0</v>
      </c>
    </row>
    <row r="487" spans="1:16" ht="31" outlineLevel="1">
      <c r="A487" s="1446">
        <f t="shared" si="69"/>
        <v>10.4</v>
      </c>
      <c r="B487" s="1447" t="str">
        <f t="shared" si="69"/>
        <v>Procurement of complete ACVF drive module comprising of 2 Nos. of Supply and 3 Nos. of  Inverter modules for GEHO pumps</v>
      </c>
      <c r="C487" s="1472" t="str">
        <f t="shared" si="69"/>
        <v>MERC/CAPEX/20172018/4782</v>
      </c>
      <c r="D487" s="1473">
        <f t="shared" si="69"/>
        <v>43067</v>
      </c>
      <c r="E487" s="1474">
        <f t="shared" si="69"/>
        <v>0.95</v>
      </c>
      <c r="F487" s="1444">
        <f t="shared" si="61"/>
        <v>0.92864275500000004</v>
      </c>
      <c r="G487" s="1444">
        <f t="shared" si="62"/>
        <v>0.92864275500000004</v>
      </c>
      <c r="H487" s="1474">
        <f t="shared" si="63"/>
        <v>0</v>
      </c>
      <c r="I487" s="1444">
        <v>0</v>
      </c>
      <c r="J487" s="1444">
        <v>0</v>
      </c>
      <c r="K487" s="1474"/>
      <c r="L487" s="1474"/>
      <c r="M487" s="1474">
        <f t="shared" si="68"/>
        <v>0</v>
      </c>
      <c r="N487" s="1474">
        <f t="shared" si="65"/>
        <v>0</v>
      </c>
      <c r="O487" s="1445">
        <f t="shared" si="66"/>
        <v>0</v>
      </c>
      <c r="P487" s="1377">
        <f t="shared" si="67"/>
        <v>0</v>
      </c>
    </row>
    <row r="488" spans="1:16" ht="31" outlineLevel="1">
      <c r="A488" s="1446">
        <f t="shared" si="69"/>
        <v>10.5</v>
      </c>
      <c r="B488" s="1447" t="str">
        <f t="shared" si="69"/>
        <v>Supply, erection and commissioning of 24VDC, 100A Float &amp; Float cum Boost Battery Charger with 325Ah Battery Bank for CWPH at BTPS 2x500 MW.</v>
      </c>
      <c r="C488" s="1472" t="str">
        <f t="shared" si="69"/>
        <v>MERC/CAPEX/20172018/4782</v>
      </c>
      <c r="D488" s="1473">
        <f t="shared" si="69"/>
        <v>43067</v>
      </c>
      <c r="E488" s="1474">
        <f t="shared" si="69"/>
        <v>0.15</v>
      </c>
      <c r="F488" s="1444">
        <f t="shared" si="61"/>
        <v>0.157884</v>
      </c>
      <c r="G488" s="1444">
        <f t="shared" si="62"/>
        <v>0.157884</v>
      </c>
      <c r="H488" s="1474">
        <f t="shared" si="63"/>
        <v>0</v>
      </c>
      <c r="I488" s="1444">
        <v>0</v>
      </c>
      <c r="J488" s="1444">
        <v>0</v>
      </c>
      <c r="K488" s="1474"/>
      <c r="L488" s="1474"/>
      <c r="M488" s="1474">
        <f t="shared" si="68"/>
        <v>0</v>
      </c>
      <c r="N488" s="1474">
        <f t="shared" si="65"/>
        <v>0</v>
      </c>
      <c r="O488" s="1445">
        <f t="shared" si="66"/>
        <v>0</v>
      </c>
      <c r="P488" s="1377">
        <f t="shared" si="67"/>
        <v>0</v>
      </c>
    </row>
    <row r="489" spans="1:16" ht="15.5" outlineLevel="1">
      <c r="A489" s="1446">
        <f t="shared" si="69"/>
        <v>0</v>
      </c>
      <c r="B489" s="1447" t="str">
        <f t="shared" si="69"/>
        <v xml:space="preserve">IDC </v>
      </c>
      <c r="C489" s="1472" t="str">
        <f t="shared" si="69"/>
        <v>MERC/CAPEX/20172018/4782</v>
      </c>
      <c r="D489" s="1473">
        <f t="shared" si="69"/>
        <v>43067</v>
      </c>
      <c r="E489" s="1474">
        <f t="shared" si="69"/>
        <v>0</v>
      </c>
      <c r="F489" s="1444">
        <f t="shared" si="61"/>
        <v>0</v>
      </c>
      <c r="G489" s="1444">
        <f t="shared" si="62"/>
        <v>0</v>
      </c>
      <c r="H489" s="1474">
        <f t="shared" si="63"/>
        <v>0</v>
      </c>
      <c r="I489" s="1444">
        <v>0</v>
      </c>
      <c r="J489" s="1444">
        <v>0</v>
      </c>
      <c r="K489" s="1474"/>
      <c r="L489" s="1474"/>
      <c r="M489" s="1474">
        <f t="shared" si="68"/>
        <v>0</v>
      </c>
      <c r="N489" s="1474">
        <f t="shared" si="65"/>
        <v>0</v>
      </c>
      <c r="O489" s="1445">
        <f t="shared" si="66"/>
        <v>0</v>
      </c>
      <c r="P489" s="1377">
        <f t="shared" si="67"/>
        <v>0</v>
      </c>
    </row>
    <row r="490" spans="1:16" ht="15.5" outlineLevel="1">
      <c r="A490" s="1440">
        <f t="shared" si="69"/>
        <v>11</v>
      </c>
      <c r="B490" s="1441" t="str">
        <f t="shared" si="69"/>
        <v>Various schemes for renovation of colony at Bhusawal TPS</v>
      </c>
      <c r="C490" s="1442" t="str">
        <f t="shared" si="69"/>
        <v>MERC/CAPEX/20172018/0221</v>
      </c>
      <c r="D490" s="1443">
        <f t="shared" si="69"/>
        <v>43143</v>
      </c>
      <c r="E490" s="1444">
        <f t="shared" si="69"/>
        <v>19.334125999999998</v>
      </c>
      <c r="F490" s="1444">
        <f t="shared" si="61"/>
        <v>0</v>
      </c>
      <c r="G490" s="1444">
        <f t="shared" si="62"/>
        <v>0</v>
      </c>
      <c r="H490" s="1444">
        <f t="shared" si="63"/>
        <v>0</v>
      </c>
      <c r="I490" s="1444">
        <v>0</v>
      </c>
      <c r="J490" s="1444">
        <v>0</v>
      </c>
      <c r="K490" s="1444"/>
      <c r="L490" s="1444"/>
      <c r="M490" s="1444">
        <f t="shared" si="68"/>
        <v>0</v>
      </c>
      <c r="N490" s="1444">
        <f t="shared" si="65"/>
        <v>0</v>
      </c>
      <c r="O490" s="1445">
        <f t="shared" si="66"/>
        <v>0</v>
      </c>
      <c r="P490" s="1377">
        <f t="shared" si="67"/>
        <v>0</v>
      </c>
    </row>
    <row r="491" spans="1:16" ht="15.5" outlineLevel="1">
      <c r="A491" s="1446">
        <f t="shared" si="69"/>
        <v>11.1</v>
      </c>
      <c r="B491" s="1447" t="str">
        <f t="shared" si="69"/>
        <v>Renovation of staff quarters &amp; related work at BTPS Deepnagar</v>
      </c>
      <c r="C491" s="1472" t="str">
        <f t="shared" si="69"/>
        <v>MERC/CAPEX/20172018/0221</v>
      </c>
      <c r="D491" s="1473">
        <f t="shared" si="69"/>
        <v>43143</v>
      </c>
      <c r="E491" s="1474">
        <f t="shared" si="69"/>
        <v>7.0209999999999999</v>
      </c>
      <c r="F491" s="1444">
        <f t="shared" si="61"/>
        <v>5.45837182</v>
      </c>
      <c r="G491" s="1444">
        <f t="shared" si="62"/>
        <v>5.45837182</v>
      </c>
      <c r="H491" s="1474">
        <f t="shared" si="63"/>
        <v>0</v>
      </c>
      <c r="I491" s="1444">
        <v>0</v>
      </c>
      <c r="J491" s="1444">
        <v>0</v>
      </c>
      <c r="K491" s="1474"/>
      <c r="L491" s="1474"/>
      <c r="M491" s="1474">
        <f t="shared" si="68"/>
        <v>0</v>
      </c>
      <c r="N491" s="1474">
        <f t="shared" si="65"/>
        <v>0</v>
      </c>
      <c r="O491" s="1445">
        <f t="shared" si="66"/>
        <v>0</v>
      </c>
      <c r="P491" s="1377">
        <f t="shared" si="67"/>
        <v>0</v>
      </c>
    </row>
    <row r="492" spans="1:16" ht="15.5" outlineLevel="1">
      <c r="A492" s="1446">
        <f t="shared" si="69"/>
        <v>11.2</v>
      </c>
      <c r="B492" s="1447" t="str">
        <f t="shared" si="69"/>
        <v>Colony Internal Roads at BTPS, Deepnagar</v>
      </c>
      <c r="C492" s="1472" t="str">
        <f t="shared" si="69"/>
        <v>MERC/CAPEX/20172018/0221</v>
      </c>
      <c r="D492" s="1473">
        <f t="shared" si="69"/>
        <v>43143</v>
      </c>
      <c r="E492" s="1474">
        <f t="shared" si="69"/>
        <v>3.85</v>
      </c>
      <c r="F492" s="1444">
        <f t="shared" si="61"/>
        <v>3.2500731940000001</v>
      </c>
      <c r="G492" s="1444">
        <f t="shared" si="62"/>
        <v>3.2514022229999999</v>
      </c>
      <c r="H492" s="1474">
        <f t="shared" si="63"/>
        <v>-1.3290289999998706E-3</v>
      </c>
      <c r="I492" s="1444">
        <v>0</v>
      </c>
      <c r="J492" s="1444">
        <v>0</v>
      </c>
      <c r="K492" s="1474"/>
      <c r="L492" s="1474"/>
      <c r="M492" s="1474">
        <f t="shared" si="68"/>
        <v>0</v>
      </c>
      <c r="N492" s="1474">
        <f t="shared" si="65"/>
        <v>-1.3290289999998706E-3</v>
      </c>
      <c r="O492" s="1445">
        <f t="shared" si="66"/>
        <v>0</v>
      </c>
      <c r="P492" s="1377">
        <f t="shared" si="67"/>
        <v>0</v>
      </c>
    </row>
    <row r="493" spans="1:16" ht="15.5" outlineLevel="1">
      <c r="A493" s="1446">
        <f t="shared" si="69"/>
        <v>11.3</v>
      </c>
      <c r="B493" s="1447" t="str">
        <f t="shared" si="69"/>
        <v>Water supply , sanitary &amp; drainage works at BTPS, Deepnagar</v>
      </c>
      <c r="C493" s="1472" t="str">
        <f t="shared" si="69"/>
        <v>MERC/CAPEX/20172018/0221</v>
      </c>
      <c r="D493" s="1473">
        <f t="shared" si="69"/>
        <v>43143</v>
      </c>
      <c r="E493" s="1474">
        <f t="shared" si="69"/>
        <v>7.3</v>
      </c>
      <c r="F493" s="1444">
        <f t="shared" si="61"/>
        <v>5.8360794</v>
      </c>
      <c r="G493" s="1444">
        <f t="shared" si="62"/>
        <v>5.8108501159999992</v>
      </c>
      <c r="H493" s="1474">
        <f t="shared" si="63"/>
        <v>2.5229284000000796E-2</v>
      </c>
      <c r="I493" s="1444">
        <v>0</v>
      </c>
      <c r="J493" s="1444">
        <v>0</v>
      </c>
      <c r="K493" s="1474"/>
      <c r="L493" s="1474"/>
      <c r="M493" s="1474">
        <f t="shared" si="68"/>
        <v>0</v>
      </c>
      <c r="N493" s="1474">
        <f t="shared" si="65"/>
        <v>2.5229284000000796E-2</v>
      </c>
      <c r="O493" s="1445">
        <f t="shared" si="66"/>
        <v>0</v>
      </c>
      <c r="P493" s="1377">
        <f t="shared" si="67"/>
        <v>0</v>
      </c>
    </row>
    <row r="494" spans="1:16" ht="15.5" outlineLevel="1">
      <c r="A494" s="1446">
        <f t="shared" si="69"/>
        <v>11.4</v>
      </c>
      <c r="B494" s="1447" t="str">
        <f t="shared" si="69"/>
        <v>Plinth protection to existing buildings at BTPS, Deepnagar</v>
      </c>
      <c r="C494" s="1472" t="str">
        <f t="shared" si="69"/>
        <v>MERC/CAPEX/20172018/0221</v>
      </c>
      <c r="D494" s="1473">
        <f t="shared" si="69"/>
        <v>43143</v>
      </c>
      <c r="E494" s="1474">
        <f t="shared" si="69"/>
        <v>1.1631259999999999</v>
      </c>
      <c r="F494" s="1444">
        <f t="shared" si="61"/>
        <v>0.91823160000000004</v>
      </c>
      <c r="G494" s="1444">
        <f t="shared" si="62"/>
        <v>0.91823162200000008</v>
      </c>
      <c r="H494" s="1474">
        <f t="shared" si="63"/>
        <v>-2.2000000043931323E-8</v>
      </c>
      <c r="I494" s="1444">
        <v>0</v>
      </c>
      <c r="J494" s="1444">
        <v>0</v>
      </c>
      <c r="K494" s="1474"/>
      <c r="L494" s="1474"/>
      <c r="M494" s="1474">
        <f t="shared" si="68"/>
        <v>0</v>
      </c>
      <c r="N494" s="1474">
        <f t="shared" si="65"/>
        <v>-2.2000000043931323E-8</v>
      </c>
      <c r="O494" s="1445">
        <f t="shared" si="66"/>
        <v>0</v>
      </c>
      <c r="P494" s="1377">
        <f t="shared" si="67"/>
        <v>0</v>
      </c>
    </row>
    <row r="495" spans="1:16" ht="31" outlineLevel="1">
      <c r="A495" s="1440">
        <f t="shared" si="69"/>
        <v>12</v>
      </c>
      <c r="B495" s="1441" t="str">
        <f t="shared" si="69"/>
        <v>Pipeline from River Water Pump House (RWPH) to aquaduct over Bhogawati River and Other allied power house road works under DPR scheme at BTPS, Bhusawal</v>
      </c>
      <c r="C495" s="1442" t="str">
        <f t="shared" si="69"/>
        <v>MERC/CAPEX/2018-2019/0104</v>
      </c>
      <c r="D495" s="1443">
        <f t="shared" si="69"/>
        <v>43559</v>
      </c>
      <c r="E495" s="1444">
        <f t="shared" si="69"/>
        <v>13.1172</v>
      </c>
      <c r="F495" s="1444">
        <f t="shared" si="61"/>
        <v>0</v>
      </c>
      <c r="G495" s="1444">
        <f t="shared" si="62"/>
        <v>0</v>
      </c>
      <c r="H495" s="1444">
        <f t="shared" si="63"/>
        <v>0</v>
      </c>
      <c r="I495" s="1444">
        <v>0</v>
      </c>
      <c r="J495" s="1444">
        <v>0</v>
      </c>
      <c r="K495" s="1444"/>
      <c r="L495" s="1444"/>
      <c r="M495" s="1444">
        <f t="shared" si="68"/>
        <v>0</v>
      </c>
      <c r="N495" s="1444">
        <f t="shared" si="65"/>
        <v>0</v>
      </c>
      <c r="O495" s="1445">
        <f t="shared" si="66"/>
        <v>0</v>
      </c>
      <c r="P495" s="1377">
        <f t="shared" si="67"/>
        <v>0</v>
      </c>
    </row>
    <row r="496" spans="1:16" ht="46.5" outlineLevel="1">
      <c r="A496" s="1448">
        <f t="shared" si="69"/>
        <v>12.1</v>
      </c>
      <c r="B496" s="1449" t="str">
        <f t="shared" si="69"/>
        <v>Providing supplying laying, jointing, testing and commissioning of 1650 mm Ø ID 8 mm thick M.S. pipeline for raw water supply from RWPH to aquaduct over Bhogawati river at, BTPS, Bhusawal.</v>
      </c>
      <c r="C496" s="1472" t="str">
        <f t="shared" si="69"/>
        <v>MERC/CAPEX/2018-2019/0104</v>
      </c>
      <c r="D496" s="1473">
        <f t="shared" si="69"/>
        <v>43559</v>
      </c>
      <c r="E496" s="1474">
        <f t="shared" si="69"/>
        <v>7.2569999999999997</v>
      </c>
      <c r="F496" s="1444">
        <f t="shared" si="61"/>
        <v>0</v>
      </c>
      <c r="G496" s="1444">
        <f t="shared" si="62"/>
        <v>0</v>
      </c>
      <c r="H496" s="1474">
        <f t="shared" si="63"/>
        <v>0</v>
      </c>
      <c r="I496" s="1444">
        <v>0</v>
      </c>
      <c r="J496" s="1444">
        <v>0</v>
      </c>
      <c r="K496" s="1474"/>
      <c r="L496" s="1474"/>
      <c r="M496" s="1474">
        <f t="shared" si="68"/>
        <v>0</v>
      </c>
      <c r="N496" s="1474">
        <f t="shared" si="65"/>
        <v>0</v>
      </c>
      <c r="O496" s="1445">
        <f t="shared" si="66"/>
        <v>0</v>
      </c>
      <c r="P496" s="1377">
        <f t="shared" si="67"/>
        <v>0</v>
      </c>
    </row>
    <row r="497" spans="1:16" ht="31" outlineLevel="1">
      <c r="A497" s="1448">
        <f t="shared" si="69"/>
        <v>12.2</v>
      </c>
      <c r="B497" s="1449" t="str">
        <f t="shared" si="69"/>
        <v>Construction of WBM and Bituminous road along inlet &amp; outlet canals and concreate road along periphery of Major store at BTPS, Bhusawal.</v>
      </c>
      <c r="C497" s="1472" t="str">
        <f t="shared" si="69"/>
        <v>MERC/CAPEX/2018-2019/0104</v>
      </c>
      <c r="D497" s="1473">
        <f t="shared" si="69"/>
        <v>43559</v>
      </c>
      <c r="E497" s="1474">
        <f t="shared" si="69"/>
        <v>4.22</v>
      </c>
      <c r="F497" s="1444">
        <f t="shared" si="61"/>
        <v>3.8304708600000001</v>
      </c>
      <c r="G497" s="1444">
        <f t="shared" si="62"/>
        <v>3.8304708869999997</v>
      </c>
      <c r="H497" s="1474">
        <f t="shared" si="63"/>
        <v>-2.6999999569454758E-8</v>
      </c>
      <c r="I497" s="1444">
        <v>0</v>
      </c>
      <c r="J497" s="1444">
        <v>0</v>
      </c>
      <c r="K497" s="1474"/>
      <c r="L497" s="1474"/>
      <c r="M497" s="1474">
        <f t="shared" si="68"/>
        <v>0</v>
      </c>
      <c r="N497" s="1474">
        <f t="shared" si="65"/>
        <v>-2.6999999569454758E-8</v>
      </c>
      <c r="O497" s="1445">
        <f t="shared" si="66"/>
        <v>0</v>
      </c>
      <c r="P497" s="1377">
        <f t="shared" si="67"/>
        <v>0</v>
      </c>
    </row>
    <row r="498" spans="1:16" ht="31" outlineLevel="1">
      <c r="A498" s="1446">
        <f t="shared" si="69"/>
        <v>12.3</v>
      </c>
      <c r="B498" s="1447" t="str">
        <f t="shared" si="69"/>
        <v>Work of construction of self-supporting steel roofing system for a major store godown shed of span 25M at BTPS, Deepnagar.</v>
      </c>
      <c r="C498" s="1472" t="str">
        <f t="shared" si="69"/>
        <v>MERC/CAPEX/2018-2019/0104</v>
      </c>
      <c r="D498" s="1473">
        <f t="shared" si="69"/>
        <v>43559</v>
      </c>
      <c r="E498" s="1474">
        <f t="shared" si="69"/>
        <v>1.6401999999999999</v>
      </c>
      <c r="F498" s="1444">
        <f t="shared" si="61"/>
        <v>0.27</v>
      </c>
      <c r="G498" s="1444">
        <f t="shared" si="62"/>
        <v>1.6376399460000002</v>
      </c>
      <c r="H498" s="1474">
        <f t="shared" si="63"/>
        <v>-1.3676399460000002</v>
      </c>
      <c r="I498" s="1444">
        <v>0</v>
      </c>
      <c r="J498" s="1444">
        <v>0</v>
      </c>
      <c r="K498" s="1474"/>
      <c r="L498" s="1474"/>
      <c r="M498" s="1474">
        <f t="shared" si="68"/>
        <v>0</v>
      </c>
      <c r="N498" s="1474">
        <f t="shared" si="65"/>
        <v>-1.3676399460000002</v>
      </c>
      <c r="O498" s="1445">
        <f t="shared" si="66"/>
        <v>0</v>
      </c>
      <c r="P498" s="1377">
        <f t="shared" si="67"/>
        <v>0</v>
      </c>
    </row>
    <row r="499" spans="1:16" ht="15.5" outlineLevel="1">
      <c r="A499" s="1448">
        <f t="shared" si="69"/>
        <v>0</v>
      </c>
      <c r="B499" s="1449" t="str">
        <f t="shared" si="69"/>
        <v>IDC</v>
      </c>
      <c r="C499" s="1472" t="str">
        <f t="shared" si="69"/>
        <v>MERC/CAPEX/2018-2019/0104</v>
      </c>
      <c r="D499" s="1473">
        <f t="shared" si="69"/>
        <v>43559</v>
      </c>
      <c r="E499" s="1474">
        <f t="shared" si="69"/>
        <v>0</v>
      </c>
      <c r="F499" s="1444">
        <f t="shared" si="61"/>
        <v>0.14917520000000001</v>
      </c>
      <c r="G499" s="1444">
        <f t="shared" si="62"/>
        <v>0.14917520000000001</v>
      </c>
      <c r="H499" s="1474">
        <f t="shared" si="63"/>
        <v>0</v>
      </c>
      <c r="I499" s="1444">
        <v>0</v>
      </c>
      <c r="J499" s="1444">
        <v>0</v>
      </c>
      <c r="K499" s="1474"/>
      <c r="L499" s="1474"/>
      <c r="M499" s="1474">
        <f t="shared" si="68"/>
        <v>0</v>
      </c>
      <c r="N499" s="1474">
        <f t="shared" si="65"/>
        <v>0</v>
      </c>
      <c r="O499" s="1445">
        <f t="shared" si="66"/>
        <v>0</v>
      </c>
      <c r="P499" s="1377">
        <f t="shared" si="67"/>
        <v>0</v>
      </c>
    </row>
    <row r="500" spans="1:16" ht="46.5" outlineLevel="1">
      <c r="A500" s="1440">
        <f t="shared" si="69"/>
        <v>13</v>
      </c>
      <c r="B500" s="1441" t="str">
        <f t="shared" si="69"/>
        <v>Supply, erection, commissioning &amp; site testing of 220 V, 2035 AH, Station Battery Sets (4 Nos.) and 24 V, 2250 AH, SG/TG &amp; BOP Battery Sets (8 Nos.) for U# 4 &amp; 5 along with accessories at 2 x 500 MW BTPS, Bhusawal</v>
      </c>
      <c r="C500" s="1442" t="str">
        <f t="shared" si="69"/>
        <v>MERC/CAPEX/2017-2018/1226</v>
      </c>
      <c r="D500" s="1443">
        <f t="shared" si="69"/>
        <v>43322</v>
      </c>
      <c r="E500" s="1444">
        <f t="shared" si="69"/>
        <v>11.59</v>
      </c>
      <c r="F500" s="1444">
        <f t="shared" si="61"/>
        <v>0</v>
      </c>
      <c r="G500" s="1444">
        <f t="shared" si="62"/>
        <v>0</v>
      </c>
      <c r="H500" s="1444">
        <f t="shared" si="63"/>
        <v>0</v>
      </c>
      <c r="I500" s="1444">
        <v>0</v>
      </c>
      <c r="J500" s="1444">
        <v>0</v>
      </c>
      <c r="K500" s="1444"/>
      <c r="L500" s="1444"/>
      <c r="M500" s="1444">
        <f t="shared" si="68"/>
        <v>0</v>
      </c>
      <c r="N500" s="1444">
        <f t="shared" si="65"/>
        <v>0</v>
      </c>
      <c r="O500" s="1445">
        <f t="shared" si="66"/>
        <v>0</v>
      </c>
      <c r="P500" s="1377">
        <f t="shared" si="67"/>
        <v>0</v>
      </c>
    </row>
    <row r="501" spans="1:16" ht="46.5" outlineLevel="1">
      <c r="A501" s="1446">
        <f t="shared" si="69"/>
        <v>13.1</v>
      </c>
      <c r="B501" s="1447" t="str">
        <f t="shared" si="69"/>
        <v>Supply, erection, commissioning &amp; site testing of 220V, 2035 AH Station Battery Sets (02 Nos.) and 24V, 2250AH, SG/TG &amp; BOP Battery Set (04 Nos.) along with accessories for Unit No.5 at BTPS 2x500MW.</v>
      </c>
      <c r="C501" s="1472" t="str">
        <f t="shared" si="69"/>
        <v>MERC/CAPEX/2017-2018/1226</v>
      </c>
      <c r="D501" s="1473">
        <f t="shared" si="69"/>
        <v>43322</v>
      </c>
      <c r="E501" s="1474">
        <f t="shared" si="69"/>
        <v>5.7949999999999999</v>
      </c>
      <c r="F501" s="1444">
        <f t="shared" si="61"/>
        <v>6.3739579500000003</v>
      </c>
      <c r="G501" s="1444">
        <f t="shared" si="62"/>
        <v>6.3739579500000003</v>
      </c>
      <c r="H501" s="1474">
        <f t="shared" si="63"/>
        <v>0</v>
      </c>
      <c r="I501" s="1444">
        <v>0</v>
      </c>
      <c r="J501" s="1444">
        <v>0</v>
      </c>
      <c r="K501" s="1474"/>
      <c r="L501" s="1474"/>
      <c r="M501" s="1474">
        <f t="shared" si="68"/>
        <v>0</v>
      </c>
      <c r="N501" s="1474">
        <f t="shared" si="65"/>
        <v>0</v>
      </c>
      <c r="O501" s="1445">
        <f t="shared" si="66"/>
        <v>0</v>
      </c>
      <c r="P501" s="1377">
        <f t="shared" si="67"/>
        <v>0</v>
      </c>
    </row>
    <row r="502" spans="1:16" ht="46.5" outlineLevel="1">
      <c r="A502" s="1446">
        <f t="shared" ref="A502:E517" si="70">A272</f>
        <v>13.2</v>
      </c>
      <c r="B502" s="1447" t="str">
        <f t="shared" si="70"/>
        <v>Supply, erection, commissioning &amp; site testing of 220V, 2035 AH Station Battery Sets (02 Nos.) and 24V, 2250AH, SG/TG &amp; BOP Battery Set (04 Nos.) along with accessories for Unit No.4 at BTPS 2x500MW.</v>
      </c>
      <c r="C502" s="1472" t="str">
        <f t="shared" si="70"/>
        <v>MERC/CAPEX/2017-2018/1226</v>
      </c>
      <c r="D502" s="1473">
        <f t="shared" si="70"/>
        <v>43322</v>
      </c>
      <c r="E502" s="1474">
        <f t="shared" si="70"/>
        <v>5.7949999999999999</v>
      </c>
      <c r="F502" s="1444">
        <f t="shared" si="61"/>
        <v>6.3227326000000001</v>
      </c>
      <c r="G502" s="1444">
        <f t="shared" si="62"/>
        <v>6.3227326000000001</v>
      </c>
      <c r="H502" s="1474">
        <f t="shared" si="63"/>
        <v>0</v>
      </c>
      <c r="I502" s="1444">
        <v>0</v>
      </c>
      <c r="J502" s="1444">
        <v>0</v>
      </c>
      <c r="K502" s="1474"/>
      <c r="L502" s="1474"/>
      <c r="M502" s="1474">
        <f t="shared" si="68"/>
        <v>0</v>
      </c>
      <c r="N502" s="1474">
        <f t="shared" si="65"/>
        <v>0</v>
      </c>
      <c r="O502" s="1445">
        <f t="shared" si="66"/>
        <v>0</v>
      </c>
      <c r="P502" s="1377">
        <f t="shared" si="67"/>
        <v>0</v>
      </c>
    </row>
    <row r="503" spans="1:16" ht="31" outlineLevel="1">
      <c r="A503" s="1440">
        <f t="shared" si="70"/>
        <v>15</v>
      </c>
      <c r="B503" s="1441" t="str">
        <f t="shared" si="70"/>
        <v>Flue Gas Desulphurization (FGD) System for 500 MW Units (Total 8 Nos) of MSPGCL</v>
      </c>
      <c r="C503" s="1442" t="str">
        <f t="shared" si="70"/>
        <v>MERC/CAPEX/2020-2021/WFH/SBR/45</v>
      </c>
      <c r="D503" s="1443">
        <f t="shared" si="70"/>
        <v>44232</v>
      </c>
      <c r="E503" s="1444">
        <f t="shared" si="70"/>
        <v>869.5</v>
      </c>
      <c r="F503" s="1444">
        <f t="shared" si="61"/>
        <v>0</v>
      </c>
      <c r="G503" s="1444">
        <f t="shared" si="62"/>
        <v>0</v>
      </c>
      <c r="H503" s="1444">
        <f t="shared" si="63"/>
        <v>0</v>
      </c>
      <c r="I503" s="1444">
        <v>0</v>
      </c>
      <c r="J503" s="1444">
        <v>0</v>
      </c>
      <c r="K503" s="1444"/>
      <c r="L503" s="1444"/>
      <c r="M503" s="1444">
        <f t="shared" si="68"/>
        <v>0</v>
      </c>
      <c r="N503" s="1444">
        <f t="shared" si="65"/>
        <v>0</v>
      </c>
      <c r="O503" s="1445">
        <f t="shared" si="66"/>
        <v>0</v>
      </c>
      <c r="P503" s="1377">
        <f t="shared" si="67"/>
        <v>0</v>
      </c>
    </row>
    <row r="504" spans="1:16" ht="15.5" outlineLevel="1">
      <c r="A504" s="1450">
        <f t="shared" si="70"/>
        <v>15.1</v>
      </c>
      <c r="B504" s="1451" t="str">
        <f t="shared" si="70"/>
        <v>Flue Gas Desulphurization (FGD) System for Bhusawal Unit 4-5</v>
      </c>
      <c r="C504" s="1475" t="str">
        <f t="shared" si="70"/>
        <v>MERC/CAPEX/2020-2021/WFH/SBR/45</v>
      </c>
      <c r="D504" s="1473">
        <f t="shared" si="70"/>
        <v>44232</v>
      </c>
      <c r="E504" s="1476">
        <f t="shared" si="70"/>
        <v>830.4</v>
      </c>
      <c r="F504" s="1444">
        <f t="shared" si="61"/>
        <v>0</v>
      </c>
      <c r="G504" s="1444">
        <f t="shared" si="62"/>
        <v>0</v>
      </c>
      <c r="H504" s="1476">
        <f t="shared" si="63"/>
        <v>0</v>
      </c>
      <c r="I504" s="1444">
        <v>127.37</v>
      </c>
      <c r="J504" s="1444">
        <v>0</v>
      </c>
      <c r="K504" s="1476"/>
      <c r="L504" s="1476"/>
      <c r="M504" s="1476">
        <f t="shared" si="68"/>
        <v>0</v>
      </c>
      <c r="N504" s="1476">
        <f t="shared" si="65"/>
        <v>127.37</v>
      </c>
      <c r="O504" s="1445">
        <f t="shared" si="66"/>
        <v>0</v>
      </c>
      <c r="P504" s="1377">
        <f t="shared" si="67"/>
        <v>0</v>
      </c>
    </row>
    <row r="505" spans="1:16" ht="15.5" outlineLevel="1">
      <c r="A505" s="1450">
        <f t="shared" si="70"/>
        <v>0</v>
      </c>
      <c r="B505" s="1452" t="str">
        <f t="shared" si="70"/>
        <v>IDC</v>
      </c>
      <c r="C505" s="1475" t="str">
        <f t="shared" si="70"/>
        <v>MERC/CAPEX/2020-2021/WFH/SBR/45</v>
      </c>
      <c r="D505" s="1473">
        <f t="shared" si="70"/>
        <v>44232</v>
      </c>
      <c r="E505" s="1476">
        <f t="shared" si="70"/>
        <v>39.1</v>
      </c>
      <c r="F505" s="1444">
        <f t="shared" si="61"/>
        <v>0</v>
      </c>
      <c r="G505" s="1444">
        <f t="shared" si="62"/>
        <v>0</v>
      </c>
      <c r="H505" s="1476">
        <f t="shared" si="63"/>
        <v>0</v>
      </c>
      <c r="I505" s="1444">
        <v>0</v>
      </c>
      <c r="J505" s="1444">
        <v>0</v>
      </c>
      <c r="K505" s="1476"/>
      <c r="L505" s="1476"/>
      <c r="M505" s="1476">
        <f t="shared" si="68"/>
        <v>0</v>
      </c>
      <c r="N505" s="1476">
        <f t="shared" si="65"/>
        <v>0</v>
      </c>
      <c r="O505" s="1445">
        <f t="shared" si="66"/>
        <v>0</v>
      </c>
      <c r="P505" s="1377">
        <f t="shared" si="67"/>
        <v>0</v>
      </c>
    </row>
    <row r="506" spans="1:16" ht="31" outlineLevel="1">
      <c r="A506" s="1440">
        <f t="shared" si="70"/>
        <v>16</v>
      </c>
      <c r="B506" s="1441" t="str">
        <f t="shared" si="70"/>
        <v>Procurement of two BFP Cartridges &amp; one rotor of Turbine driven BFP &amp; at 500MW BTPS, Bhusawal</v>
      </c>
      <c r="C506" s="1442" t="str">
        <f t="shared" si="70"/>
        <v>MERC/CAPEX/2020-2021/WFO/SBR/49</v>
      </c>
      <c r="D506" s="1443">
        <f t="shared" si="70"/>
        <v>44263</v>
      </c>
      <c r="E506" s="1444">
        <f t="shared" si="70"/>
        <v>10.520000000000001</v>
      </c>
      <c r="F506" s="1444">
        <f t="shared" si="61"/>
        <v>0</v>
      </c>
      <c r="G506" s="1444">
        <f t="shared" si="62"/>
        <v>0</v>
      </c>
      <c r="H506" s="1444">
        <f t="shared" si="63"/>
        <v>0</v>
      </c>
      <c r="I506" s="1444">
        <v>0</v>
      </c>
      <c r="J506" s="1444">
        <v>0</v>
      </c>
      <c r="K506" s="1444"/>
      <c r="L506" s="1444"/>
      <c r="M506" s="1444">
        <f t="shared" si="68"/>
        <v>0</v>
      </c>
      <c r="N506" s="1444">
        <f t="shared" si="65"/>
        <v>0</v>
      </c>
      <c r="O506" s="1445">
        <f t="shared" si="66"/>
        <v>0</v>
      </c>
      <c r="P506" s="1377">
        <f t="shared" si="67"/>
        <v>0</v>
      </c>
    </row>
    <row r="507" spans="1:16" ht="15.5" outlineLevel="1">
      <c r="A507" s="1450">
        <f t="shared" si="70"/>
        <v>16.100000000000001</v>
      </c>
      <c r="B507" s="1452" t="str">
        <f t="shared" si="70"/>
        <v>Procurement of two BFP Cartridges at 500MW BTPS, Bhusawal</v>
      </c>
      <c r="C507" s="1475" t="str">
        <f t="shared" si="70"/>
        <v>MERC/CAPEX/2020-2021/WFO/SBR/49</v>
      </c>
      <c r="D507" s="1473">
        <f t="shared" si="70"/>
        <v>44263</v>
      </c>
      <c r="E507" s="1476">
        <f t="shared" si="70"/>
        <v>3.84</v>
      </c>
      <c r="F507" s="1444">
        <f t="shared" si="61"/>
        <v>2.2399997760000003</v>
      </c>
      <c r="G507" s="1444">
        <f t="shared" si="62"/>
        <v>2.2399997760000003</v>
      </c>
      <c r="H507" s="1476">
        <f t="shared" si="63"/>
        <v>0</v>
      </c>
      <c r="I507" s="1444">
        <v>0</v>
      </c>
      <c r="J507" s="1444">
        <v>0</v>
      </c>
      <c r="K507" s="1476"/>
      <c r="L507" s="1476"/>
      <c r="M507" s="1476">
        <f t="shared" si="68"/>
        <v>0</v>
      </c>
      <c r="N507" s="1476">
        <f t="shared" si="65"/>
        <v>0</v>
      </c>
      <c r="O507" s="1445">
        <f t="shared" si="66"/>
        <v>0</v>
      </c>
      <c r="P507" s="1377">
        <f t="shared" si="67"/>
        <v>0</v>
      </c>
    </row>
    <row r="508" spans="1:16" ht="15.5" outlineLevel="1">
      <c r="A508" s="1450">
        <f t="shared" si="70"/>
        <v>16.2</v>
      </c>
      <c r="B508" s="1452" t="str">
        <f t="shared" si="70"/>
        <v>Procurement of one rotor of Turbine driven BFP at 500MW BTPS, Bhusawal</v>
      </c>
      <c r="C508" s="1475" t="str">
        <f t="shared" si="70"/>
        <v>MERC/CAPEX/2020-2021/WFO/SBR/49</v>
      </c>
      <c r="D508" s="1473">
        <f t="shared" si="70"/>
        <v>44263</v>
      </c>
      <c r="E508" s="1476">
        <f t="shared" si="70"/>
        <v>6.46</v>
      </c>
      <c r="F508" s="1444">
        <f t="shared" si="61"/>
        <v>7.6135872999999998</v>
      </c>
      <c r="G508" s="1444">
        <f t="shared" si="62"/>
        <v>7.6135872999999998</v>
      </c>
      <c r="H508" s="1476">
        <f t="shared" si="63"/>
        <v>0</v>
      </c>
      <c r="I508" s="1444">
        <v>0</v>
      </c>
      <c r="J508" s="1444">
        <v>0</v>
      </c>
      <c r="K508" s="1476"/>
      <c r="L508" s="1476"/>
      <c r="M508" s="1476">
        <f t="shared" si="68"/>
        <v>0</v>
      </c>
      <c r="N508" s="1476">
        <f t="shared" si="65"/>
        <v>0</v>
      </c>
      <c r="O508" s="1445">
        <f t="shared" si="66"/>
        <v>0</v>
      </c>
      <c r="P508" s="1377">
        <f t="shared" si="67"/>
        <v>0</v>
      </c>
    </row>
    <row r="509" spans="1:16" ht="15.5" outlineLevel="1">
      <c r="A509" s="1450">
        <f t="shared" si="70"/>
        <v>0</v>
      </c>
      <c r="B509" s="1452" t="str">
        <f t="shared" si="70"/>
        <v>IDC</v>
      </c>
      <c r="C509" s="1475" t="str">
        <f t="shared" si="70"/>
        <v>MERC/CAPEX/2020-2021/WFO/SBR/49</v>
      </c>
      <c r="D509" s="1473">
        <f t="shared" si="70"/>
        <v>44263</v>
      </c>
      <c r="E509" s="1476">
        <f t="shared" si="70"/>
        <v>0.22</v>
      </c>
      <c r="F509" s="1444">
        <f t="shared" si="61"/>
        <v>0</v>
      </c>
      <c r="G509" s="1444">
        <f t="shared" si="62"/>
        <v>0</v>
      </c>
      <c r="H509" s="1476">
        <f t="shared" si="63"/>
        <v>0</v>
      </c>
      <c r="I509" s="1444">
        <v>0</v>
      </c>
      <c r="J509" s="1444">
        <v>0</v>
      </c>
      <c r="K509" s="1476"/>
      <c r="L509" s="1476"/>
      <c r="M509" s="1476">
        <f t="shared" si="68"/>
        <v>0</v>
      </c>
      <c r="N509" s="1476">
        <f t="shared" si="65"/>
        <v>0</v>
      </c>
      <c r="O509" s="1445">
        <f t="shared" si="66"/>
        <v>0</v>
      </c>
      <c r="P509" s="1377">
        <f t="shared" si="67"/>
        <v>0</v>
      </c>
    </row>
    <row r="510" spans="1:16" ht="31" outlineLevel="1">
      <c r="A510" s="1440">
        <f t="shared" si="70"/>
        <v>17</v>
      </c>
      <c r="B510" s="1441" t="str">
        <f t="shared" si="70"/>
        <v>CHP Improvement Schemes at 2X500MW, BTPS, Bhusawal</v>
      </c>
      <c r="C510" s="1442" t="str">
        <f t="shared" si="70"/>
        <v>MERC/CAPEX/2020-2021/WFH/SBR/09</v>
      </c>
      <c r="D510" s="1443">
        <f t="shared" si="70"/>
        <v>44357</v>
      </c>
      <c r="E510" s="1444">
        <f t="shared" si="70"/>
        <v>21.22</v>
      </c>
      <c r="F510" s="1444">
        <f t="shared" si="61"/>
        <v>0</v>
      </c>
      <c r="G510" s="1444">
        <f t="shared" si="62"/>
        <v>0</v>
      </c>
      <c r="H510" s="1444">
        <f t="shared" si="63"/>
        <v>0</v>
      </c>
      <c r="I510" s="1444">
        <v>0</v>
      </c>
      <c r="J510" s="1444">
        <v>0</v>
      </c>
      <c r="K510" s="1444"/>
      <c r="L510" s="1444"/>
      <c r="M510" s="1444">
        <f t="shared" si="68"/>
        <v>0</v>
      </c>
      <c r="N510" s="1444">
        <f t="shared" si="65"/>
        <v>0</v>
      </c>
      <c r="O510" s="1445">
        <f t="shared" si="66"/>
        <v>0</v>
      </c>
      <c r="P510" s="1377">
        <f t="shared" si="67"/>
        <v>0</v>
      </c>
    </row>
    <row r="511" spans="1:16" ht="15.5" outlineLevel="1">
      <c r="A511" s="1450">
        <f t="shared" si="70"/>
        <v>17.100000000000001</v>
      </c>
      <c r="B511" s="1452" t="str">
        <f t="shared" si="70"/>
        <v>Revamping of Apron Feeder in CHP at 2X500MW, BTPS</v>
      </c>
      <c r="C511" s="1475" t="str">
        <f t="shared" si="70"/>
        <v>MERC/CAPEX/2020-2021/WFH/SBR/09</v>
      </c>
      <c r="D511" s="1473">
        <f t="shared" si="70"/>
        <v>44357</v>
      </c>
      <c r="E511" s="1476">
        <f t="shared" si="70"/>
        <v>4.67</v>
      </c>
      <c r="F511" s="1444">
        <f t="shared" si="61"/>
        <v>4.6492000000000004</v>
      </c>
      <c r="G511" s="1444">
        <f t="shared" si="62"/>
        <v>4.6492000000000004</v>
      </c>
      <c r="H511" s="1476">
        <f t="shared" si="63"/>
        <v>0</v>
      </c>
      <c r="I511" s="1444">
        <v>0</v>
      </c>
      <c r="J511" s="1444">
        <v>0</v>
      </c>
      <c r="K511" s="1476"/>
      <c r="L511" s="1476"/>
      <c r="M511" s="1476">
        <f t="shared" si="68"/>
        <v>0</v>
      </c>
      <c r="N511" s="1476">
        <f t="shared" si="65"/>
        <v>0</v>
      </c>
      <c r="O511" s="1445">
        <f t="shared" si="66"/>
        <v>0</v>
      </c>
      <c r="P511" s="1377">
        <f t="shared" si="67"/>
        <v>0</v>
      </c>
    </row>
    <row r="512" spans="1:16" ht="31" outlineLevel="1">
      <c r="A512" s="1450">
        <f t="shared" si="70"/>
        <v>17.2</v>
      </c>
      <c r="B512" s="1452" t="str">
        <f t="shared" si="70"/>
        <v>Design, engineering, manufacturing, supply, Erection and commissioning of short conveyor from stack yard to belt feeder 112 in CHP 2x500MW BTPS.</v>
      </c>
      <c r="C512" s="1475" t="str">
        <f t="shared" si="70"/>
        <v>MERC/CAPEX/2020-2021/WFH/SBR/09</v>
      </c>
      <c r="D512" s="1473">
        <f t="shared" si="70"/>
        <v>44357</v>
      </c>
      <c r="E512" s="1476">
        <f t="shared" si="70"/>
        <v>3.53</v>
      </c>
      <c r="F512" s="1444">
        <f t="shared" si="61"/>
        <v>3.9647536259999998</v>
      </c>
      <c r="G512" s="1444">
        <f t="shared" si="62"/>
        <v>3.9647536259999998</v>
      </c>
      <c r="H512" s="1476">
        <f t="shared" si="63"/>
        <v>0</v>
      </c>
      <c r="I512" s="1444">
        <v>0</v>
      </c>
      <c r="J512" s="1444">
        <v>0</v>
      </c>
      <c r="K512" s="1476"/>
      <c r="L512" s="1476"/>
      <c r="M512" s="1476">
        <f t="shared" si="68"/>
        <v>0</v>
      </c>
      <c r="N512" s="1476">
        <f t="shared" si="65"/>
        <v>0</v>
      </c>
      <c r="O512" s="1445">
        <f t="shared" si="66"/>
        <v>0</v>
      </c>
      <c r="P512" s="1377">
        <f t="shared" si="67"/>
        <v>0</v>
      </c>
    </row>
    <row r="513" spans="1:16" ht="31" outlineLevel="1">
      <c r="A513" s="1450">
        <f t="shared" si="70"/>
        <v>17.3</v>
      </c>
      <c r="B513" s="1452" t="str">
        <f t="shared" si="70"/>
        <v>Design, engineering, manufacturing, supply, Erection and commissioning of stone grappler at Wagon Tippler No.3 in CHP 2x500MW BTPS.</v>
      </c>
      <c r="C513" s="1475" t="str">
        <f t="shared" si="70"/>
        <v>MERC/CAPEX/2020-2021/WFH/SBR/09</v>
      </c>
      <c r="D513" s="1473">
        <f t="shared" si="70"/>
        <v>44357</v>
      </c>
      <c r="E513" s="1476">
        <f t="shared" si="70"/>
        <v>0.84</v>
      </c>
      <c r="F513" s="1444">
        <f t="shared" si="61"/>
        <v>0</v>
      </c>
      <c r="G513" s="1444">
        <f t="shared" si="62"/>
        <v>0</v>
      </c>
      <c r="H513" s="1476">
        <f t="shared" si="63"/>
        <v>0</v>
      </c>
      <c r="I513" s="1444">
        <v>0.84</v>
      </c>
      <c r="J513" s="1444">
        <v>0.84</v>
      </c>
      <c r="K513" s="1476"/>
      <c r="L513" s="1476"/>
      <c r="M513" s="1476">
        <f t="shared" si="68"/>
        <v>0.84</v>
      </c>
      <c r="N513" s="1476">
        <f t="shared" si="65"/>
        <v>0</v>
      </c>
      <c r="O513" s="1445">
        <f t="shared" si="66"/>
        <v>0.84</v>
      </c>
      <c r="P513" s="1377">
        <f t="shared" si="67"/>
        <v>0</v>
      </c>
    </row>
    <row r="514" spans="1:16" ht="15.5" outlineLevel="1">
      <c r="A514" s="1450">
        <f t="shared" si="70"/>
        <v>17.399999999999999</v>
      </c>
      <c r="B514" s="1452" t="str">
        <f t="shared" si="70"/>
        <v>Procurement of suspended magnets in CHP 2x500MW BTPS.</v>
      </c>
      <c r="C514" s="1475" t="str">
        <f t="shared" si="70"/>
        <v>MERC/CAPEX/2020-2021/WFH/SBR/09</v>
      </c>
      <c r="D514" s="1473">
        <f t="shared" si="70"/>
        <v>44357</v>
      </c>
      <c r="E514" s="1476">
        <f t="shared" si="70"/>
        <v>2.95</v>
      </c>
      <c r="F514" s="1444">
        <f t="shared" si="61"/>
        <v>2.9470499999999999</v>
      </c>
      <c r="G514" s="1444">
        <f t="shared" si="62"/>
        <v>2.9470499999999999</v>
      </c>
      <c r="H514" s="1476">
        <f t="shared" si="63"/>
        <v>0</v>
      </c>
      <c r="I514" s="1444">
        <v>0</v>
      </c>
      <c r="J514" s="1444">
        <v>0</v>
      </c>
      <c r="K514" s="1476"/>
      <c r="L514" s="1476"/>
      <c r="M514" s="1476">
        <f t="shared" si="68"/>
        <v>0</v>
      </c>
      <c r="N514" s="1476">
        <f t="shared" si="65"/>
        <v>0</v>
      </c>
      <c r="O514" s="1445">
        <f t="shared" si="66"/>
        <v>0</v>
      </c>
      <c r="P514" s="1377">
        <f t="shared" si="67"/>
        <v>0</v>
      </c>
    </row>
    <row r="515" spans="1:16" ht="31" outlineLevel="1">
      <c r="A515" s="1450">
        <f t="shared" si="70"/>
        <v>17.5</v>
      </c>
      <c r="B515" s="1452" t="str">
        <f t="shared" si="70"/>
        <v>Supply, Erection And Commissioning of Electro-Mechanical Drive to Apron Feeder at CHP 500MW</v>
      </c>
      <c r="C515" s="1475" t="str">
        <f t="shared" si="70"/>
        <v>MERC/CAPEX/2020-2021/WFH/SBR/09</v>
      </c>
      <c r="D515" s="1473">
        <f t="shared" si="70"/>
        <v>44357</v>
      </c>
      <c r="E515" s="1476">
        <f t="shared" si="70"/>
        <v>7.57</v>
      </c>
      <c r="F515" s="1444">
        <f t="shared" si="61"/>
        <v>0</v>
      </c>
      <c r="G515" s="1444">
        <f t="shared" si="62"/>
        <v>0</v>
      </c>
      <c r="H515" s="1476">
        <f t="shared" si="63"/>
        <v>0</v>
      </c>
      <c r="I515" s="1444">
        <v>7.57</v>
      </c>
      <c r="J515" s="1444">
        <v>0</v>
      </c>
      <c r="K515" s="1476"/>
      <c r="L515" s="1476"/>
      <c r="M515" s="1476">
        <f t="shared" si="68"/>
        <v>0</v>
      </c>
      <c r="N515" s="1476">
        <f t="shared" si="65"/>
        <v>7.57</v>
      </c>
      <c r="O515" s="1445">
        <f t="shared" si="66"/>
        <v>0</v>
      </c>
      <c r="P515" s="1377">
        <f t="shared" si="67"/>
        <v>0</v>
      </c>
    </row>
    <row r="516" spans="1:16" ht="15.5" outlineLevel="1">
      <c r="A516" s="1450">
        <f t="shared" si="70"/>
        <v>0</v>
      </c>
      <c r="B516" s="1453" t="str">
        <f t="shared" si="70"/>
        <v>IDC</v>
      </c>
      <c r="C516" s="1475" t="str">
        <f t="shared" si="70"/>
        <v>MERC/CAPEX/2020-2021/WFH/SBR/09</v>
      </c>
      <c r="D516" s="1473">
        <f t="shared" si="70"/>
        <v>44357</v>
      </c>
      <c r="E516" s="1476">
        <f t="shared" si="70"/>
        <v>1.66</v>
      </c>
      <c r="F516" s="1444">
        <f t="shared" si="61"/>
        <v>6.7524100000000004E-2</v>
      </c>
      <c r="G516" s="1444">
        <f t="shared" si="62"/>
        <v>6.7524100000000004E-2</v>
      </c>
      <c r="H516" s="1476">
        <f t="shared" si="63"/>
        <v>0</v>
      </c>
      <c r="I516" s="1444">
        <v>0</v>
      </c>
      <c r="J516" s="1444">
        <v>0</v>
      </c>
      <c r="K516" s="1476"/>
      <c r="L516" s="1476"/>
      <c r="M516" s="1476">
        <f t="shared" si="68"/>
        <v>0</v>
      </c>
      <c r="N516" s="1476">
        <f t="shared" si="65"/>
        <v>0</v>
      </c>
      <c r="O516" s="1445">
        <f t="shared" si="66"/>
        <v>0</v>
      </c>
      <c r="P516" s="1377">
        <f t="shared" si="67"/>
        <v>0</v>
      </c>
    </row>
    <row r="517" spans="1:16" ht="31" outlineLevel="1">
      <c r="A517" s="1440" t="str">
        <f t="shared" si="70"/>
        <v>HO
DPR 6</v>
      </c>
      <c r="B517" s="1441" t="str">
        <f t="shared" si="70"/>
        <v>Supply, Installation, Commissioning and Operation &amp; Maintenance Services of Continuous Ambient Air Quality Monitoring Stations (CAAQMS) at various TPS</v>
      </c>
      <c r="C517" s="1442" t="str">
        <f t="shared" si="70"/>
        <v>MERC/CAPEX/20162017/00423</v>
      </c>
      <c r="D517" s="1443">
        <f t="shared" si="70"/>
        <v>42585</v>
      </c>
      <c r="E517" s="1444">
        <f t="shared" si="70"/>
        <v>3.9772580142857143</v>
      </c>
      <c r="F517" s="1444">
        <f t="shared" si="61"/>
        <v>0</v>
      </c>
      <c r="G517" s="1444">
        <f t="shared" si="62"/>
        <v>0</v>
      </c>
      <c r="H517" s="1444">
        <f t="shared" si="63"/>
        <v>0</v>
      </c>
      <c r="I517" s="1444">
        <v>0</v>
      </c>
      <c r="J517" s="1444">
        <v>0</v>
      </c>
      <c r="K517" s="1444"/>
      <c r="L517" s="1444"/>
      <c r="M517" s="1444">
        <f t="shared" si="68"/>
        <v>0</v>
      </c>
      <c r="N517" s="1444">
        <f t="shared" si="65"/>
        <v>0</v>
      </c>
      <c r="O517" s="1445">
        <f t="shared" si="66"/>
        <v>0</v>
      </c>
      <c r="P517" s="1377">
        <f t="shared" si="67"/>
        <v>0</v>
      </c>
    </row>
    <row r="518" spans="1:16" ht="15.5" outlineLevel="1">
      <c r="A518" s="1450">
        <f t="shared" ref="A518:E533" si="71">A288</f>
        <v>1</v>
      </c>
      <c r="B518" s="1452" t="str">
        <f t="shared" si="71"/>
        <v>Bhusawal: Unit 4-5 (3 Nos.)</v>
      </c>
      <c r="C518" s="1475" t="str">
        <f t="shared" si="71"/>
        <v>MERC/CAPEX/20162017/00423</v>
      </c>
      <c r="D518" s="1473">
        <f t="shared" si="71"/>
        <v>42585</v>
      </c>
      <c r="E518" s="1476">
        <f t="shared" si="71"/>
        <v>3.9772580142857143</v>
      </c>
      <c r="F518" s="1444">
        <f t="shared" si="61"/>
        <v>1.9467999333333335</v>
      </c>
      <c r="G518" s="1444">
        <f t="shared" si="62"/>
        <v>1.9457999143333333</v>
      </c>
      <c r="H518" s="1476">
        <f t="shared" si="63"/>
        <v>1.0000190000001297E-3</v>
      </c>
      <c r="I518" s="1444">
        <v>0</v>
      </c>
      <c r="J518" s="1444">
        <v>0</v>
      </c>
      <c r="K518" s="1476"/>
      <c r="L518" s="1476"/>
      <c r="M518" s="1476">
        <f t="shared" si="68"/>
        <v>0</v>
      </c>
      <c r="N518" s="1476">
        <f t="shared" si="65"/>
        <v>1.0000190000001297E-3</v>
      </c>
      <c r="O518" s="1445">
        <f t="shared" si="66"/>
        <v>0</v>
      </c>
      <c r="P518" s="1377">
        <f t="shared" si="67"/>
        <v>0</v>
      </c>
    </row>
    <row r="519" spans="1:16" ht="31" outlineLevel="1">
      <c r="A519" s="1440" t="str">
        <f t="shared" si="71"/>
        <v>HO
DPR 7</v>
      </c>
      <c r="B519" s="1441" t="str">
        <f t="shared" si="71"/>
        <v>Installation of Real Time Online Coal-Ash Analyzer at various TPS</v>
      </c>
      <c r="C519" s="1442" t="str">
        <f t="shared" si="71"/>
        <v>MERC/CAPEX/20162017/00774</v>
      </c>
      <c r="D519" s="1443">
        <f t="shared" si="71"/>
        <v>42643</v>
      </c>
      <c r="E519" s="1444">
        <f t="shared" si="71"/>
        <v>4.0552000000000001</v>
      </c>
      <c r="F519" s="1444">
        <f t="shared" si="61"/>
        <v>0</v>
      </c>
      <c r="G519" s="1444">
        <f t="shared" si="62"/>
        <v>0</v>
      </c>
      <c r="H519" s="1444">
        <f t="shared" si="63"/>
        <v>0</v>
      </c>
      <c r="I519" s="1444">
        <v>0</v>
      </c>
      <c r="J519" s="1444">
        <v>0</v>
      </c>
      <c r="K519" s="1444"/>
      <c r="L519" s="1444"/>
      <c r="M519" s="1444">
        <f t="shared" si="68"/>
        <v>0</v>
      </c>
      <c r="N519" s="1444">
        <f t="shared" si="65"/>
        <v>0</v>
      </c>
      <c r="O519" s="1445">
        <f t="shared" si="66"/>
        <v>0</v>
      </c>
      <c r="P519" s="1377">
        <f t="shared" si="67"/>
        <v>0</v>
      </c>
    </row>
    <row r="520" spans="1:16" ht="15.5" outlineLevel="1">
      <c r="A520" s="1450">
        <f t="shared" si="71"/>
        <v>1</v>
      </c>
      <c r="B520" s="1452" t="str">
        <f t="shared" si="71"/>
        <v>Bhusawal: Unit 4-5</v>
      </c>
      <c r="C520" s="1475" t="str">
        <f t="shared" si="71"/>
        <v>MERC/CAPEX/20162017/00774</v>
      </c>
      <c r="D520" s="1473">
        <f t="shared" si="71"/>
        <v>42643</v>
      </c>
      <c r="E520" s="1476">
        <f t="shared" si="71"/>
        <v>4.0552000000000001</v>
      </c>
      <c r="F520" s="1444">
        <f t="shared" si="61"/>
        <v>0</v>
      </c>
      <c r="G520" s="1444">
        <f t="shared" si="62"/>
        <v>0</v>
      </c>
      <c r="H520" s="1476">
        <f t="shared" si="63"/>
        <v>0</v>
      </c>
      <c r="I520" s="1444">
        <v>0</v>
      </c>
      <c r="J520" s="1444">
        <v>0</v>
      </c>
      <c r="K520" s="1476"/>
      <c r="L520" s="1476"/>
      <c r="M520" s="1476">
        <f t="shared" si="68"/>
        <v>0</v>
      </c>
      <c r="N520" s="1476">
        <f t="shared" si="65"/>
        <v>0</v>
      </c>
      <c r="O520" s="1445">
        <f t="shared" si="66"/>
        <v>0</v>
      </c>
      <c r="P520" s="1377">
        <f t="shared" si="67"/>
        <v>0</v>
      </c>
    </row>
    <row r="521" spans="1:16" ht="31" outlineLevel="1">
      <c r="A521" s="1440" t="str">
        <f t="shared" si="71"/>
        <v>HO
DPR 8</v>
      </c>
      <c r="B521" s="1441" t="str">
        <f t="shared" si="71"/>
        <v>Replacement of Fire Tenders at Various Power Stations of Mahagenco</v>
      </c>
      <c r="C521" s="1442" t="str">
        <f t="shared" si="71"/>
        <v>MERC/CAPEX/20172018/4653</v>
      </c>
      <c r="D521" s="1443">
        <f t="shared" si="71"/>
        <v>43052</v>
      </c>
      <c r="E521" s="1444">
        <f t="shared" si="71"/>
        <v>3.95</v>
      </c>
      <c r="F521" s="1444">
        <f t="shared" si="61"/>
        <v>0</v>
      </c>
      <c r="G521" s="1444">
        <f t="shared" si="62"/>
        <v>0</v>
      </c>
      <c r="H521" s="1444">
        <f t="shared" si="63"/>
        <v>0</v>
      </c>
      <c r="I521" s="1444">
        <v>0</v>
      </c>
      <c r="J521" s="1444">
        <v>0</v>
      </c>
      <c r="K521" s="1444"/>
      <c r="L521" s="1444"/>
      <c r="M521" s="1444">
        <f t="shared" si="68"/>
        <v>0</v>
      </c>
      <c r="N521" s="1444">
        <f t="shared" si="65"/>
        <v>0</v>
      </c>
      <c r="O521" s="1445">
        <f t="shared" si="66"/>
        <v>0</v>
      </c>
      <c r="P521" s="1377">
        <f t="shared" si="67"/>
        <v>0</v>
      </c>
    </row>
    <row r="522" spans="1:16" ht="15.5" outlineLevel="1">
      <c r="A522" s="1450">
        <f t="shared" si="71"/>
        <v>1</v>
      </c>
      <c r="B522" s="1452" t="str">
        <f t="shared" si="71"/>
        <v>Advance Multipurpose Fire Tender for BTPS 4-5</v>
      </c>
      <c r="C522" s="1477" t="str">
        <f t="shared" si="71"/>
        <v>MERC/CAPEX/20172018/4653</v>
      </c>
      <c r="D522" s="1473">
        <f t="shared" si="71"/>
        <v>43052</v>
      </c>
      <c r="E522" s="1476">
        <f t="shared" si="71"/>
        <v>1.45</v>
      </c>
      <c r="F522" s="1444">
        <f t="shared" si="61"/>
        <v>1.7765</v>
      </c>
      <c r="G522" s="1444">
        <f t="shared" si="62"/>
        <v>1.7765</v>
      </c>
      <c r="H522" s="1476">
        <f t="shared" si="63"/>
        <v>0</v>
      </c>
      <c r="I522" s="1444">
        <v>0</v>
      </c>
      <c r="J522" s="1444">
        <v>0</v>
      </c>
      <c r="K522" s="1476"/>
      <c r="L522" s="1476"/>
      <c r="M522" s="1476">
        <f t="shared" si="68"/>
        <v>0</v>
      </c>
      <c r="N522" s="1476">
        <f t="shared" si="65"/>
        <v>0</v>
      </c>
      <c r="O522" s="1445">
        <f t="shared" si="66"/>
        <v>0</v>
      </c>
      <c r="P522" s="1377">
        <f t="shared" si="67"/>
        <v>0</v>
      </c>
    </row>
    <row r="523" spans="1:16" ht="15.5" outlineLevel="1">
      <c r="A523" s="1450">
        <f t="shared" si="71"/>
        <v>2</v>
      </c>
      <c r="B523" s="1452" t="str">
        <f t="shared" si="71"/>
        <v>Normal Multipurpose Fire Tender for BTPS 4-5</v>
      </c>
      <c r="C523" s="1477" t="str">
        <f t="shared" si="71"/>
        <v>MERC/CAPEX/20172018/4653</v>
      </c>
      <c r="D523" s="1473">
        <f t="shared" si="71"/>
        <v>43052</v>
      </c>
      <c r="E523" s="1476">
        <f t="shared" si="71"/>
        <v>2.5</v>
      </c>
      <c r="F523" s="1444">
        <f t="shared" si="61"/>
        <v>2.1846524010000001</v>
      </c>
      <c r="G523" s="1444">
        <f t="shared" si="62"/>
        <v>2.1846524010000001</v>
      </c>
      <c r="H523" s="1476">
        <f t="shared" si="63"/>
        <v>0</v>
      </c>
      <c r="I523" s="1444">
        <v>0</v>
      </c>
      <c r="J523" s="1444">
        <v>0</v>
      </c>
      <c r="K523" s="1476"/>
      <c r="L523" s="1476"/>
      <c r="M523" s="1476">
        <f t="shared" si="68"/>
        <v>0</v>
      </c>
      <c r="N523" s="1476">
        <f t="shared" si="65"/>
        <v>0</v>
      </c>
      <c r="O523" s="1445">
        <f t="shared" si="66"/>
        <v>0</v>
      </c>
      <c r="P523" s="1377">
        <f t="shared" si="67"/>
        <v>0</v>
      </c>
    </row>
    <row r="524" spans="1:16" ht="15.5" outlineLevel="1">
      <c r="A524" s="1450">
        <f t="shared" si="71"/>
        <v>0</v>
      </c>
      <c r="B524" s="1452" t="str">
        <f t="shared" si="71"/>
        <v>IDC</v>
      </c>
      <c r="C524" s="1477" t="str">
        <f t="shared" si="71"/>
        <v>MERC/CAPEX/20172018/4653</v>
      </c>
      <c r="D524" s="1473">
        <f t="shared" si="71"/>
        <v>43052</v>
      </c>
      <c r="E524" s="1476">
        <f t="shared" si="71"/>
        <v>0</v>
      </c>
      <c r="F524" s="1444">
        <f t="shared" si="61"/>
        <v>0</v>
      </c>
      <c r="G524" s="1444">
        <f t="shared" si="62"/>
        <v>0</v>
      </c>
      <c r="H524" s="1476">
        <f t="shared" si="63"/>
        <v>0</v>
      </c>
      <c r="I524" s="1444">
        <v>0</v>
      </c>
      <c r="J524" s="1444">
        <v>0</v>
      </c>
      <c r="K524" s="1476"/>
      <c r="L524" s="1476"/>
      <c r="M524" s="1476">
        <f t="shared" si="68"/>
        <v>0</v>
      </c>
      <c r="N524" s="1476">
        <f t="shared" si="65"/>
        <v>0</v>
      </c>
      <c r="O524" s="1445">
        <f t="shared" si="66"/>
        <v>0</v>
      </c>
      <c r="P524" s="1377">
        <f t="shared" si="67"/>
        <v>0</v>
      </c>
    </row>
    <row r="525" spans="1:16" ht="31" outlineLevel="1">
      <c r="A525" s="1440" t="str">
        <f t="shared" si="71"/>
        <v>HO
DPR 10</v>
      </c>
      <c r="B525" s="1441" t="str">
        <f t="shared" si="71"/>
        <v>Implementation of IB recommendations- Civil works at various TPS of Mahagenco</v>
      </c>
      <c r="C525" s="1442" t="str">
        <f t="shared" si="71"/>
        <v>MERC/CAPEX/20172018/0177</v>
      </c>
      <c r="D525" s="1443">
        <f t="shared" si="71"/>
        <v>43137</v>
      </c>
      <c r="E525" s="1444">
        <f t="shared" si="71"/>
        <v>10.065399999999999</v>
      </c>
      <c r="F525" s="1444">
        <f t="shared" si="61"/>
        <v>0</v>
      </c>
      <c r="G525" s="1444">
        <f t="shared" si="62"/>
        <v>0</v>
      </c>
      <c r="H525" s="1444">
        <f t="shared" si="63"/>
        <v>0</v>
      </c>
      <c r="I525" s="1444">
        <v>0</v>
      </c>
      <c r="J525" s="1444">
        <v>0</v>
      </c>
      <c r="K525" s="1444"/>
      <c r="L525" s="1444"/>
      <c r="M525" s="1444">
        <f t="shared" si="68"/>
        <v>0</v>
      </c>
      <c r="N525" s="1444">
        <f t="shared" si="65"/>
        <v>0</v>
      </c>
      <c r="O525" s="1445">
        <f t="shared" si="66"/>
        <v>0</v>
      </c>
      <c r="P525" s="1377">
        <f t="shared" si="67"/>
        <v>0</v>
      </c>
    </row>
    <row r="526" spans="1:16" ht="15.5" outlineLevel="1">
      <c r="A526" s="1450">
        <f t="shared" si="71"/>
        <v>1</v>
      </c>
      <c r="B526" s="1452" t="str">
        <f t="shared" si="71"/>
        <v>Bhusawal: Unit 4-5</v>
      </c>
      <c r="C526" s="1478" t="str">
        <f t="shared" si="71"/>
        <v>MERC/CAPEX/20172018/0177</v>
      </c>
      <c r="D526" s="1473">
        <f t="shared" si="71"/>
        <v>43137</v>
      </c>
      <c r="E526" s="1476">
        <f t="shared" si="71"/>
        <v>10.065399999999999</v>
      </c>
      <c r="F526" s="1444">
        <f t="shared" si="61"/>
        <v>9.1854371740000005</v>
      </c>
      <c r="G526" s="1444">
        <f t="shared" si="62"/>
        <v>9.1836757359999996</v>
      </c>
      <c r="H526" s="1476">
        <f t="shared" si="63"/>
        <v>1.7614380000008367E-3</v>
      </c>
      <c r="I526" s="1444">
        <v>0</v>
      </c>
      <c r="J526" s="1444">
        <v>0</v>
      </c>
      <c r="K526" s="1476"/>
      <c r="L526" s="1476"/>
      <c r="M526" s="1476">
        <f t="shared" si="68"/>
        <v>0</v>
      </c>
      <c r="N526" s="1476">
        <f t="shared" si="65"/>
        <v>1.7614380000008367E-3</v>
      </c>
      <c r="O526" s="1445">
        <f t="shared" si="66"/>
        <v>0</v>
      </c>
      <c r="P526" s="1377">
        <f t="shared" si="67"/>
        <v>0</v>
      </c>
    </row>
    <row r="527" spans="1:16" ht="46.5" outlineLevel="1">
      <c r="A527" s="1440">
        <f t="shared" si="71"/>
        <v>18</v>
      </c>
      <c r="B527" s="1441" t="str">
        <f t="shared" si="71"/>
        <v>Procurement of assembly of baskets for Air Pre-heater of type 31.5 VIM 2000 (72° PA), Replacement of thermal insulation of Boiler, Ducts &amp; Steam Pipelines and Coal Mill Gear Box in 2x500MW at BTPS, Bhusawal</v>
      </c>
      <c r="C527" s="1442" t="str">
        <f t="shared" si="71"/>
        <v>MERC/CAPEX/2021-2022/ SBR/ 15</v>
      </c>
      <c r="D527" s="1443">
        <f t="shared" si="71"/>
        <v>44461</v>
      </c>
      <c r="E527" s="1444">
        <f t="shared" si="71"/>
        <v>14.96</v>
      </c>
      <c r="F527" s="1444">
        <f t="shared" si="61"/>
        <v>0</v>
      </c>
      <c r="G527" s="1444">
        <f t="shared" si="62"/>
        <v>0</v>
      </c>
      <c r="H527" s="1444">
        <f t="shared" si="63"/>
        <v>0</v>
      </c>
      <c r="I527" s="1444">
        <v>0</v>
      </c>
      <c r="J527" s="1444">
        <v>0</v>
      </c>
      <c r="K527" s="1444"/>
      <c r="L527" s="1444"/>
      <c r="M527" s="1444">
        <f t="shared" si="68"/>
        <v>0</v>
      </c>
      <c r="N527" s="1444">
        <f t="shared" si="65"/>
        <v>0</v>
      </c>
      <c r="O527" s="1445">
        <f t="shared" si="66"/>
        <v>0</v>
      </c>
      <c r="P527" s="1377">
        <f t="shared" si="67"/>
        <v>0</v>
      </c>
    </row>
    <row r="528" spans="1:16" ht="31" outlineLevel="1">
      <c r="A528" s="1314">
        <f t="shared" si="71"/>
        <v>18.100000000000001</v>
      </c>
      <c r="B528" s="1447" t="str">
        <f t="shared" si="71"/>
        <v>Procurement of assembly of baskets for Air Preheater of type 31.5 VIM 2000 (72° PA) for Unit-4&amp;5</v>
      </c>
      <c r="C528" s="1378" t="str">
        <f t="shared" si="71"/>
        <v>MERC/CAPEX/2021-2022/ SBR/ 15</v>
      </c>
      <c r="D528" s="1473">
        <f t="shared" si="71"/>
        <v>44461</v>
      </c>
      <c r="E528" s="305">
        <f t="shared" si="71"/>
        <v>5.53</v>
      </c>
      <c r="F528" s="1444">
        <f t="shared" si="61"/>
        <v>8.4110399999999998</v>
      </c>
      <c r="G528" s="1444">
        <f t="shared" si="62"/>
        <v>8.4110399999999998</v>
      </c>
      <c r="H528" s="305">
        <f t="shared" si="63"/>
        <v>0</v>
      </c>
      <c r="I528" s="1444">
        <v>0</v>
      </c>
      <c r="J528" s="1444">
        <v>0</v>
      </c>
      <c r="K528" s="305"/>
      <c r="L528" s="305"/>
      <c r="M528" s="305">
        <f t="shared" si="68"/>
        <v>0</v>
      </c>
      <c r="N528" s="305">
        <f t="shared" si="65"/>
        <v>0</v>
      </c>
      <c r="O528" s="1445">
        <f t="shared" si="66"/>
        <v>0</v>
      </c>
      <c r="P528" s="1377">
        <f t="shared" si="67"/>
        <v>0</v>
      </c>
    </row>
    <row r="529" spans="1:16" ht="31" outlineLevel="1">
      <c r="A529" s="1450">
        <f t="shared" si="71"/>
        <v>18.2</v>
      </c>
      <c r="B529" s="1452" t="str">
        <f t="shared" si="71"/>
        <v>Replacement of thermal insulation of Boiler, Ducts &amp; Steam Pipelines along with supply</v>
      </c>
      <c r="C529" s="1378" t="str">
        <f t="shared" si="71"/>
        <v>MERC/CAPEX/2021-2022/ SBR/ 15</v>
      </c>
      <c r="D529" s="1473">
        <f t="shared" si="71"/>
        <v>44461</v>
      </c>
      <c r="E529" s="305">
        <f t="shared" si="71"/>
        <v>3.52</v>
      </c>
      <c r="F529" s="1444">
        <f t="shared" si="61"/>
        <v>0</v>
      </c>
      <c r="G529" s="1444">
        <f t="shared" si="62"/>
        <v>0</v>
      </c>
      <c r="H529" s="305">
        <f t="shared" si="63"/>
        <v>0</v>
      </c>
      <c r="I529" s="1444">
        <v>3.52</v>
      </c>
      <c r="J529" s="1444">
        <v>2</v>
      </c>
      <c r="K529" s="305"/>
      <c r="L529" s="305"/>
      <c r="M529" s="305">
        <f t="shared" si="68"/>
        <v>2</v>
      </c>
      <c r="N529" s="305">
        <f t="shared" si="65"/>
        <v>1.52</v>
      </c>
      <c r="O529" s="1445">
        <f t="shared" si="66"/>
        <v>2</v>
      </c>
      <c r="P529" s="1377">
        <f t="shared" si="67"/>
        <v>0</v>
      </c>
    </row>
    <row r="530" spans="1:16" ht="15.5" outlineLevel="1">
      <c r="A530" s="1450">
        <f t="shared" si="71"/>
        <v>18.3</v>
      </c>
      <c r="B530" s="1452" t="str">
        <f t="shared" si="71"/>
        <v>Supply of XRP-1043 coal mill gearbox spares in unit-4&amp;5.</v>
      </c>
      <c r="C530" s="1378" t="str">
        <f t="shared" si="71"/>
        <v>MERC/CAPEX/2021-2022/ SBR/ 15</v>
      </c>
      <c r="D530" s="1473">
        <f t="shared" si="71"/>
        <v>44461</v>
      </c>
      <c r="E530" s="305">
        <f t="shared" si="71"/>
        <v>5.39</v>
      </c>
      <c r="F530" s="1444">
        <f t="shared" si="61"/>
        <v>0</v>
      </c>
      <c r="G530" s="1444">
        <f t="shared" si="62"/>
        <v>3.7043509000000001</v>
      </c>
      <c r="H530" s="305">
        <f t="shared" si="63"/>
        <v>-3.7043509000000001</v>
      </c>
      <c r="I530" s="1444">
        <v>3.7043508740000002</v>
      </c>
      <c r="J530" s="1444">
        <v>0</v>
      </c>
      <c r="K530" s="305"/>
      <c r="L530" s="305"/>
      <c r="M530" s="305">
        <f t="shared" si="68"/>
        <v>0</v>
      </c>
      <c r="N530" s="305">
        <f t="shared" si="65"/>
        <v>-2.5999999930803597E-8</v>
      </c>
      <c r="O530" s="1445">
        <f t="shared" si="66"/>
        <v>0</v>
      </c>
      <c r="P530" s="1377">
        <f t="shared" si="67"/>
        <v>0</v>
      </c>
    </row>
    <row r="531" spans="1:16" ht="15.5" outlineLevel="1">
      <c r="A531" s="1314">
        <f t="shared" si="71"/>
        <v>0</v>
      </c>
      <c r="B531" s="1452" t="str">
        <f t="shared" si="71"/>
        <v>IDC</v>
      </c>
      <c r="C531" s="1378" t="str">
        <f t="shared" si="71"/>
        <v>MERC/CAPEX/2021-2022/ SBR/ 15</v>
      </c>
      <c r="D531" s="1473">
        <f t="shared" si="71"/>
        <v>44461</v>
      </c>
      <c r="E531" s="305">
        <f t="shared" si="71"/>
        <v>0.52</v>
      </c>
      <c r="F531" s="1444">
        <f t="shared" si="61"/>
        <v>0</v>
      </c>
      <c r="G531" s="1444">
        <f t="shared" si="62"/>
        <v>0</v>
      </c>
      <c r="H531" s="305">
        <f t="shared" si="63"/>
        <v>0</v>
      </c>
      <c r="I531" s="1444">
        <v>0</v>
      </c>
      <c r="J531" s="1444">
        <v>0</v>
      </c>
      <c r="K531" s="305"/>
      <c r="L531" s="305"/>
      <c r="M531" s="305">
        <f t="shared" si="68"/>
        <v>0</v>
      </c>
      <c r="N531" s="305">
        <f t="shared" si="65"/>
        <v>0</v>
      </c>
      <c r="O531" s="1445">
        <f t="shared" si="66"/>
        <v>0</v>
      </c>
      <c r="P531" s="1377">
        <f t="shared" si="67"/>
        <v>0</v>
      </c>
    </row>
    <row r="532" spans="1:16" ht="46.5" outlineLevel="1">
      <c r="A532" s="1440">
        <f t="shared" si="71"/>
        <v>19</v>
      </c>
      <c r="B532" s="1441" t="str">
        <f t="shared" si="71"/>
        <v>Up-gradation of Operating System of Max DNA DCS, GE Fanuc PLC system &amp; Schneider PLC system &amp; Procurement of Critical Insurance spares for PA and FD fans System at 2 x 500 MW Units BTPS Bhusawal</v>
      </c>
      <c r="C532" s="1442" t="str">
        <f t="shared" si="71"/>
        <v>MERC/CAPEX/2023-2024/0178</v>
      </c>
      <c r="D532" s="1443">
        <f t="shared" si="71"/>
        <v>45362</v>
      </c>
      <c r="E532" s="1444">
        <f t="shared" si="71"/>
        <v>31.049999999999997</v>
      </c>
      <c r="F532" s="1444">
        <f t="shared" si="61"/>
        <v>0</v>
      </c>
      <c r="G532" s="1444">
        <f t="shared" si="62"/>
        <v>0</v>
      </c>
      <c r="H532" s="1444">
        <f t="shared" si="63"/>
        <v>0</v>
      </c>
      <c r="I532" s="1444">
        <v>0</v>
      </c>
      <c r="J532" s="1444">
        <v>0</v>
      </c>
      <c r="K532" s="1444"/>
      <c r="L532" s="1444"/>
      <c r="M532" s="1444">
        <f t="shared" si="68"/>
        <v>0</v>
      </c>
      <c r="N532" s="1444">
        <f t="shared" si="65"/>
        <v>0</v>
      </c>
      <c r="O532" s="1445">
        <f t="shared" si="66"/>
        <v>0</v>
      </c>
      <c r="P532" s="1377">
        <f t="shared" si="67"/>
        <v>0</v>
      </c>
    </row>
    <row r="533" spans="1:16" ht="15.5" outlineLevel="1">
      <c r="A533" s="1450">
        <f t="shared" si="71"/>
        <v>19.100000000000001</v>
      </c>
      <c r="B533" s="1452" t="str">
        <f t="shared" si="71"/>
        <v>Up-gradation of Existing MaxDNA System (HMI) at 500MW BTPS, Bhusawal</v>
      </c>
      <c r="C533" s="1378" t="str">
        <f t="shared" si="71"/>
        <v>MERC/CAPEX/2023-2024/0178</v>
      </c>
      <c r="D533" s="1473">
        <f t="shared" si="71"/>
        <v>45362</v>
      </c>
      <c r="E533" s="305">
        <f t="shared" si="71"/>
        <v>8.69</v>
      </c>
      <c r="F533" s="1444">
        <f t="shared" si="61"/>
        <v>0</v>
      </c>
      <c r="G533" s="1444">
        <f t="shared" si="62"/>
        <v>0</v>
      </c>
      <c r="H533" s="305">
        <f t="shared" si="63"/>
        <v>0</v>
      </c>
      <c r="I533" s="1444">
        <v>0</v>
      </c>
      <c r="J533" s="1444">
        <v>0</v>
      </c>
      <c r="K533" s="305"/>
      <c r="L533" s="305"/>
      <c r="M533" s="305">
        <f t="shared" si="68"/>
        <v>0</v>
      </c>
      <c r="N533" s="305">
        <f t="shared" si="65"/>
        <v>0</v>
      </c>
      <c r="O533" s="1445">
        <f t="shared" si="66"/>
        <v>0</v>
      </c>
      <c r="P533" s="1377">
        <f t="shared" si="67"/>
        <v>0</v>
      </c>
    </row>
    <row r="534" spans="1:16" ht="31" outlineLevel="1">
      <c r="A534" s="1450">
        <f t="shared" ref="A534:E549" si="72">A304</f>
        <v>19.2</v>
      </c>
      <c r="B534" s="1452" t="str">
        <f t="shared" si="72"/>
        <v>Up-gradation of GE IP (GE-Fanuc) make PLC system (HMI) installed at AHP, CPU plant, FOPH, FWPH and Mill Reject system at 2x500MW BTPS, Bhusawal.</v>
      </c>
      <c r="C534" s="1378" t="str">
        <f t="shared" si="72"/>
        <v>MERC/CAPEX/2023-2024/0178</v>
      </c>
      <c r="D534" s="1473">
        <f t="shared" si="72"/>
        <v>45362</v>
      </c>
      <c r="E534" s="305">
        <f t="shared" si="72"/>
        <v>1.35</v>
      </c>
      <c r="F534" s="1444">
        <f t="shared" ref="F534:F597" si="73">F304+I304</f>
        <v>0</v>
      </c>
      <c r="G534" s="1444">
        <f t="shared" ref="G534:G597" si="74">G304+M304</f>
        <v>0</v>
      </c>
      <c r="H534" s="305">
        <f t="shared" ref="H534:H597" si="75">F534-G534</f>
        <v>0</v>
      </c>
      <c r="I534" s="1444">
        <v>1.2948010000000001</v>
      </c>
      <c r="J534" s="1444">
        <v>1.3538010199999999</v>
      </c>
      <c r="K534" s="305"/>
      <c r="L534" s="305"/>
      <c r="M534" s="305">
        <f t="shared" si="68"/>
        <v>1.3538010199999999</v>
      </c>
      <c r="N534" s="305">
        <f t="shared" ref="N534:N597" si="76">H534+I534-M534</f>
        <v>-5.900001999999982E-2</v>
      </c>
      <c r="O534" s="1445">
        <f t="shared" ref="O534:O544" si="77">MAX(0,IF(M534=0,0,IF(G534+M534&lt;E534,M534,E534-G534)))</f>
        <v>1.35</v>
      </c>
      <c r="P534" s="1377">
        <f t="shared" ref="P534:P544" si="78">M534-O534</f>
        <v>3.8010199999998218E-3</v>
      </c>
    </row>
    <row r="535" spans="1:16" ht="15.5" outlineLevel="1">
      <c r="A535" s="1450">
        <f t="shared" si="72"/>
        <v>19.3</v>
      </c>
      <c r="B535" s="1452" t="str">
        <f t="shared" si="72"/>
        <v>Up-gradation of Schneider PLC System at 2x500MW, BTPS, Bhusawal</v>
      </c>
      <c r="C535" s="1442" t="str">
        <f t="shared" si="72"/>
        <v>MERC/CAPEX/2023-2024/0178</v>
      </c>
      <c r="D535" s="1443">
        <f t="shared" si="72"/>
        <v>45362</v>
      </c>
      <c r="E535" s="1444">
        <f t="shared" si="72"/>
        <v>2.33</v>
      </c>
      <c r="F535" s="1444">
        <f t="shared" si="73"/>
        <v>0</v>
      </c>
      <c r="G535" s="1444">
        <f t="shared" si="74"/>
        <v>0</v>
      </c>
      <c r="H535" s="1444">
        <f t="shared" si="75"/>
        <v>0</v>
      </c>
      <c r="I535" s="1444">
        <v>2.3093444879999998</v>
      </c>
      <c r="J535" s="1444">
        <v>2.3093444879999998</v>
      </c>
      <c r="K535" s="1444"/>
      <c r="L535" s="1444"/>
      <c r="M535" s="1444">
        <f t="shared" ref="M535:M544" si="79">SUM(J535:L535)</f>
        <v>2.3093444879999998</v>
      </c>
      <c r="N535" s="1444">
        <f t="shared" si="76"/>
        <v>0</v>
      </c>
      <c r="O535" s="1445">
        <f t="shared" si="77"/>
        <v>2.3093444879999998</v>
      </c>
      <c r="P535" s="1377">
        <f t="shared" si="78"/>
        <v>0</v>
      </c>
    </row>
    <row r="536" spans="1:16" ht="31" outlineLevel="1">
      <c r="A536" s="1450">
        <f t="shared" si="72"/>
        <v>19.399999999999999</v>
      </c>
      <c r="B536" s="1452" t="str">
        <f t="shared" si="72"/>
        <v>Procurement of Rotor assembly with blade set for PA and FD fan at 2 X 500 MW BTPS Bhusawal</v>
      </c>
      <c r="C536" s="1475" t="str">
        <f t="shared" si="72"/>
        <v>MERC/CAPEX/2023-2024/0178</v>
      </c>
      <c r="D536" s="1473">
        <f t="shared" si="72"/>
        <v>45362</v>
      </c>
      <c r="E536" s="1476">
        <f t="shared" si="72"/>
        <v>18.18</v>
      </c>
      <c r="F536" s="1444">
        <f t="shared" si="73"/>
        <v>0</v>
      </c>
      <c r="G536" s="1444">
        <f t="shared" si="74"/>
        <v>0</v>
      </c>
      <c r="H536" s="1476">
        <f t="shared" si="75"/>
        <v>0</v>
      </c>
      <c r="I536" s="1444">
        <v>16.16</v>
      </c>
      <c r="J536" s="1444">
        <v>16.16</v>
      </c>
      <c r="K536" s="1476"/>
      <c r="L536" s="1476"/>
      <c r="M536" s="1476">
        <f t="shared" si="79"/>
        <v>16.16</v>
      </c>
      <c r="N536" s="1476">
        <f t="shared" si="76"/>
        <v>0</v>
      </c>
      <c r="O536" s="1445">
        <f t="shared" si="77"/>
        <v>16.16</v>
      </c>
      <c r="P536" s="1377">
        <f t="shared" si="78"/>
        <v>0</v>
      </c>
    </row>
    <row r="537" spans="1:16" ht="15.5" outlineLevel="1">
      <c r="A537" s="1314">
        <f t="shared" si="72"/>
        <v>0</v>
      </c>
      <c r="B537" s="1452" t="str">
        <f t="shared" si="72"/>
        <v>IDC</v>
      </c>
      <c r="C537" s="1475" t="str">
        <f t="shared" si="72"/>
        <v>MERC/CAPEX/2023-2024/0178</v>
      </c>
      <c r="D537" s="1473">
        <f t="shared" si="72"/>
        <v>45362</v>
      </c>
      <c r="E537" s="1476">
        <f t="shared" si="72"/>
        <v>0.5</v>
      </c>
      <c r="F537" s="1444">
        <f t="shared" si="73"/>
        <v>0</v>
      </c>
      <c r="G537" s="1444">
        <f t="shared" si="74"/>
        <v>0</v>
      </c>
      <c r="H537" s="1476">
        <f t="shared" si="75"/>
        <v>0</v>
      </c>
      <c r="I537" s="1444">
        <v>0</v>
      </c>
      <c r="J537" s="1444">
        <v>0</v>
      </c>
      <c r="K537" s="1476"/>
      <c r="L537" s="1476"/>
      <c r="M537" s="1476">
        <f t="shared" si="79"/>
        <v>0</v>
      </c>
      <c r="N537" s="1476">
        <f t="shared" si="76"/>
        <v>0</v>
      </c>
      <c r="O537" s="1445">
        <f t="shared" si="77"/>
        <v>0</v>
      </c>
      <c r="P537" s="1377">
        <f t="shared" si="78"/>
        <v>0</v>
      </c>
    </row>
    <row r="538" spans="1:16" ht="31" outlineLevel="1">
      <c r="A538" s="1440" t="str">
        <f t="shared" si="72"/>
        <v>HO
DPR 13</v>
      </c>
      <c r="B538" s="1441" t="str">
        <f t="shared" si="72"/>
        <v>Construction of new Administrative Building for Mahagenco at Vidyut Bhawan, Katol Road, Nagpur</v>
      </c>
      <c r="C538" s="1475" t="str">
        <f t="shared" si="72"/>
        <v>MERC/CAPEX/2021-2022/MSPGCL/063</v>
      </c>
      <c r="D538" s="1473">
        <f t="shared" si="72"/>
        <v>44604</v>
      </c>
      <c r="E538" s="1476">
        <f t="shared" si="72"/>
        <v>57</v>
      </c>
      <c r="F538" s="1444">
        <f t="shared" si="73"/>
        <v>0</v>
      </c>
      <c r="G538" s="1444">
        <f t="shared" si="74"/>
        <v>0</v>
      </c>
      <c r="H538" s="1476">
        <f t="shared" si="75"/>
        <v>0</v>
      </c>
      <c r="I538" s="1444">
        <v>0</v>
      </c>
      <c r="J538" s="1444">
        <v>0</v>
      </c>
      <c r="K538" s="1476"/>
      <c r="L538" s="1476"/>
      <c r="M538" s="1476">
        <f t="shared" si="79"/>
        <v>0</v>
      </c>
      <c r="N538" s="1476">
        <f t="shared" si="76"/>
        <v>0</v>
      </c>
      <c r="O538" s="1445">
        <f t="shared" si="77"/>
        <v>0</v>
      </c>
      <c r="P538" s="1377">
        <f t="shared" si="78"/>
        <v>0</v>
      </c>
    </row>
    <row r="539" spans="1:16" ht="31" outlineLevel="1">
      <c r="A539" s="1446">
        <f t="shared" si="72"/>
        <v>1</v>
      </c>
      <c r="B539" s="1447" t="str">
        <f t="shared" si="72"/>
        <v>Construction of new Administrative Building for Mahagenco at Vidyut Bhawan, Katol Road, Nagpur</v>
      </c>
      <c r="C539" s="1475" t="str">
        <f t="shared" si="72"/>
        <v>MERC/CAPEX/2021-2022/MSPGCL/063</v>
      </c>
      <c r="D539" s="1473">
        <f t="shared" si="72"/>
        <v>44604</v>
      </c>
      <c r="E539" s="1476">
        <f t="shared" si="72"/>
        <v>54.24</v>
      </c>
      <c r="F539" s="1444">
        <f t="shared" si="73"/>
        <v>0</v>
      </c>
      <c r="G539" s="1444">
        <f t="shared" si="74"/>
        <v>0</v>
      </c>
      <c r="H539" s="1476">
        <f t="shared" si="75"/>
        <v>0</v>
      </c>
      <c r="I539" s="1444">
        <v>0</v>
      </c>
      <c r="J539" s="1444">
        <v>0</v>
      </c>
      <c r="K539" s="1476"/>
      <c r="L539" s="1476"/>
      <c r="M539" s="1476">
        <f t="shared" si="79"/>
        <v>0</v>
      </c>
      <c r="N539" s="1476">
        <f t="shared" si="76"/>
        <v>0</v>
      </c>
      <c r="O539" s="1445">
        <f t="shared" si="77"/>
        <v>0</v>
      </c>
      <c r="P539" s="1377">
        <f t="shared" si="78"/>
        <v>0</v>
      </c>
    </row>
    <row r="540" spans="1:16" ht="31" outlineLevel="1">
      <c r="A540" s="1446">
        <f t="shared" si="72"/>
        <v>0</v>
      </c>
      <c r="B540" s="1447" t="str">
        <f t="shared" si="72"/>
        <v>IDC</v>
      </c>
      <c r="C540" s="1442" t="str">
        <f t="shared" si="72"/>
        <v>MERC/CAPEX/2021-2022/MSPGCL/063</v>
      </c>
      <c r="D540" s="1443">
        <f t="shared" si="72"/>
        <v>44604</v>
      </c>
      <c r="E540" s="1444">
        <f t="shared" si="72"/>
        <v>2.76</v>
      </c>
      <c r="F540" s="1444">
        <f t="shared" si="73"/>
        <v>0</v>
      </c>
      <c r="G540" s="1444">
        <f t="shared" si="74"/>
        <v>0</v>
      </c>
      <c r="H540" s="1444">
        <f t="shared" si="75"/>
        <v>0</v>
      </c>
      <c r="I540" s="1444">
        <v>0</v>
      </c>
      <c r="J540" s="1444">
        <v>0</v>
      </c>
      <c r="K540" s="1444"/>
      <c r="L540" s="1444"/>
      <c r="M540" s="1444">
        <f t="shared" si="79"/>
        <v>0</v>
      </c>
      <c r="N540" s="1444">
        <f t="shared" si="76"/>
        <v>0</v>
      </c>
      <c r="O540" s="1445">
        <f t="shared" si="77"/>
        <v>0</v>
      </c>
      <c r="P540" s="1377">
        <f t="shared" si="78"/>
        <v>0</v>
      </c>
    </row>
    <row r="541" spans="1:16" ht="31" outlineLevel="1">
      <c r="A541" s="1440" t="str">
        <f t="shared" si="72"/>
        <v>HO
DPR 16</v>
      </c>
      <c r="B541" s="1441" t="str">
        <f t="shared" si="72"/>
        <v>Centralized Monitoring Solution</v>
      </c>
      <c r="C541" s="1475" t="str">
        <f t="shared" si="72"/>
        <v>MERC/CAPEX/MSPGCL/2023-24/0576</v>
      </c>
      <c r="D541" s="1473">
        <f t="shared" si="72"/>
        <v>45232</v>
      </c>
      <c r="E541" s="1476">
        <f t="shared" si="72"/>
        <v>69.308999999999997</v>
      </c>
      <c r="F541" s="1444">
        <f t="shared" si="73"/>
        <v>0</v>
      </c>
      <c r="G541" s="1444">
        <f t="shared" si="74"/>
        <v>0</v>
      </c>
      <c r="H541" s="1476">
        <f t="shared" si="75"/>
        <v>0</v>
      </c>
      <c r="I541" s="1444">
        <v>0</v>
      </c>
      <c r="J541" s="1444">
        <v>0</v>
      </c>
      <c r="K541" s="1476"/>
      <c r="L541" s="1476"/>
      <c r="M541" s="1476">
        <f t="shared" si="79"/>
        <v>0</v>
      </c>
      <c r="N541" s="1476">
        <f t="shared" si="76"/>
        <v>0</v>
      </c>
      <c r="O541" s="1445">
        <f t="shared" si="77"/>
        <v>0</v>
      </c>
      <c r="P541" s="1377">
        <f t="shared" si="78"/>
        <v>0</v>
      </c>
    </row>
    <row r="542" spans="1:16" ht="15.5" outlineLevel="1">
      <c r="A542" s="1446">
        <f t="shared" si="72"/>
        <v>1</v>
      </c>
      <c r="B542" s="1447" t="str">
        <f t="shared" si="72"/>
        <v>Centralized Monitoring Solution</v>
      </c>
      <c r="C542" s="1475" t="str">
        <f t="shared" si="72"/>
        <v>MERC/CAPEX/MSPGCL/2023-24/0576</v>
      </c>
      <c r="D542" s="1473">
        <f t="shared" si="72"/>
        <v>45232</v>
      </c>
      <c r="E542" s="1476">
        <f t="shared" si="72"/>
        <v>66.009</v>
      </c>
      <c r="F542" s="1444">
        <f t="shared" si="73"/>
        <v>0</v>
      </c>
      <c r="G542" s="1444">
        <f t="shared" si="74"/>
        <v>0</v>
      </c>
      <c r="H542" s="1476">
        <f t="shared" si="75"/>
        <v>0</v>
      </c>
      <c r="I542" s="1444">
        <v>0</v>
      </c>
      <c r="J542" s="1444">
        <v>0</v>
      </c>
      <c r="K542" s="1476"/>
      <c r="L542" s="1476"/>
      <c r="M542" s="1476">
        <f t="shared" si="79"/>
        <v>0</v>
      </c>
      <c r="N542" s="1476">
        <f t="shared" si="76"/>
        <v>0</v>
      </c>
      <c r="O542" s="1445">
        <f t="shared" si="77"/>
        <v>0</v>
      </c>
      <c r="P542" s="1377">
        <f t="shared" si="78"/>
        <v>0</v>
      </c>
    </row>
    <row r="543" spans="1:16" ht="15.5" outlineLevel="1">
      <c r="A543" s="1446">
        <f t="shared" si="72"/>
        <v>0</v>
      </c>
      <c r="B543" s="1447" t="str">
        <f t="shared" si="72"/>
        <v>IDC</v>
      </c>
      <c r="C543" s="1475" t="str">
        <f t="shared" si="72"/>
        <v>MERC/CAPEX/MSPGCL/2023-24/0576</v>
      </c>
      <c r="D543" s="1473">
        <f t="shared" si="72"/>
        <v>45232</v>
      </c>
      <c r="E543" s="1476">
        <f t="shared" si="72"/>
        <v>3.3</v>
      </c>
      <c r="F543" s="1444">
        <f t="shared" si="73"/>
        <v>0</v>
      </c>
      <c r="G543" s="1444">
        <f t="shared" si="74"/>
        <v>0</v>
      </c>
      <c r="H543" s="1476">
        <f t="shared" si="75"/>
        <v>0</v>
      </c>
      <c r="I543" s="1444">
        <v>0</v>
      </c>
      <c r="J543" s="1444">
        <v>0</v>
      </c>
      <c r="K543" s="1476"/>
      <c r="L543" s="1476"/>
      <c r="M543" s="1476">
        <f t="shared" si="79"/>
        <v>0</v>
      </c>
      <c r="N543" s="1476">
        <f t="shared" si="76"/>
        <v>0</v>
      </c>
      <c r="O543" s="1445">
        <f t="shared" si="77"/>
        <v>0</v>
      </c>
      <c r="P543" s="1377">
        <f t="shared" si="78"/>
        <v>0</v>
      </c>
    </row>
    <row r="544" spans="1:16" ht="31" outlineLevel="1">
      <c r="A544" s="1440">
        <f t="shared" si="72"/>
        <v>20</v>
      </c>
      <c r="B544" s="1441" t="str">
        <f t="shared" si="72"/>
        <v>Improvement of Loadability and Availability of Coal Handling Plant at BTPS, Bhusawal</v>
      </c>
      <c r="C544" s="1475" t="str">
        <f t="shared" si="72"/>
        <v>MERC/CAPEX/MSPGCL/2024-25/0309</v>
      </c>
      <c r="D544" s="1473">
        <f t="shared" si="72"/>
        <v>45429</v>
      </c>
      <c r="E544" s="1476">
        <f t="shared" si="72"/>
        <v>0</v>
      </c>
      <c r="F544" s="1444">
        <f t="shared" si="73"/>
        <v>0</v>
      </c>
      <c r="G544" s="1444">
        <f t="shared" si="74"/>
        <v>0</v>
      </c>
      <c r="H544" s="1476">
        <f t="shared" si="75"/>
        <v>0</v>
      </c>
      <c r="I544" s="1444">
        <v>0</v>
      </c>
      <c r="J544" s="1444">
        <v>0</v>
      </c>
      <c r="K544" s="1476"/>
      <c r="L544" s="1476"/>
      <c r="M544" s="1476">
        <f t="shared" si="79"/>
        <v>0</v>
      </c>
      <c r="N544" s="1476">
        <f t="shared" si="76"/>
        <v>0</v>
      </c>
      <c r="O544" s="1445">
        <f t="shared" si="77"/>
        <v>0</v>
      </c>
      <c r="P544" s="1377">
        <f t="shared" si="78"/>
        <v>0</v>
      </c>
    </row>
    <row r="545" spans="1:16" ht="46.5" outlineLevel="1">
      <c r="A545" s="1446">
        <f t="shared" si="72"/>
        <v>20.100000000000001</v>
      </c>
      <c r="B545" s="1447" t="str">
        <f t="shared" si="72"/>
        <v>Scheme-1:-Design Engineering, Supply, Erection, commissioning, Extension of travel Length &amp; Capacity Enhancement of coal yard with additional drive system of stacker reclaimer conveyor No. 110 at in coal handling Plant BTPS.</v>
      </c>
      <c r="C545" s="1475" t="str">
        <f t="shared" si="72"/>
        <v>MERC/CAPEX/MSPGCL/2024-25/0309</v>
      </c>
      <c r="D545" s="1473">
        <f t="shared" si="72"/>
        <v>45429</v>
      </c>
      <c r="E545" s="1476">
        <f t="shared" si="72"/>
        <v>14.27</v>
      </c>
      <c r="F545" s="1444">
        <f t="shared" si="73"/>
        <v>0</v>
      </c>
      <c r="G545" s="1444">
        <f t="shared" si="74"/>
        <v>0</v>
      </c>
      <c r="H545" s="1476">
        <f t="shared" si="75"/>
        <v>0</v>
      </c>
      <c r="I545" s="1444">
        <v>0</v>
      </c>
      <c r="J545" s="1444">
        <v>0</v>
      </c>
      <c r="K545" s="1476"/>
      <c r="L545" s="1476"/>
      <c r="M545" s="1476">
        <f t="shared" ref="M545:M608" si="80">SUM(J545:L545)</f>
        <v>0</v>
      </c>
      <c r="N545" s="1476">
        <f t="shared" si="76"/>
        <v>0</v>
      </c>
      <c r="O545" s="1445"/>
      <c r="P545" s="1377"/>
    </row>
    <row r="546" spans="1:16" ht="31" outlineLevel="1">
      <c r="A546" s="1446">
        <f t="shared" si="72"/>
        <v>20.2</v>
      </c>
      <c r="B546" s="1447" t="str">
        <f t="shared" si="72"/>
        <v>Scheme-2:-Design, Engineering, Rectification, Erection &amp; Commissioning of Z point at Conveyor 108A &amp; B at CHP-500MW.</v>
      </c>
      <c r="C546" s="1475" t="str">
        <f t="shared" si="72"/>
        <v>MERC/CAPEX/MSPGCL/2024-25/0309</v>
      </c>
      <c r="D546" s="1473">
        <f t="shared" si="72"/>
        <v>45429</v>
      </c>
      <c r="E546" s="1476">
        <f t="shared" si="72"/>
        <v>8.18</v>
      </c>
      <c r="F546" s="1444">
        <f t="shared" si="73"/>
        <v>0</v>
      </c>
      <c r="G546" s="1444">
        <f t="shared" si="74"/>
        <v>0</v>
      </c>
      <c r="H546" s="1476">
        <f t="shared" si="75"/>
        <v>0</v>
      </c>
      <c r="I546" s="1444">
        <v>0</v>
      </c>
      <c r="J546" s="1444">
        <v>0</v>
      </c>
      <c r="K546" s="1476"/>
      <c r="L546" s="1476"/>
      <c r="M546" s="1476">
        <f t="shared" si="80"/>
        <v>0</v>
      </c>
      <c r="N546" s="1476">
        <f t="shared" si="76"/>
        <v>0</v>
      </c>
      <c r="O546" s="1445"/>
      <c r="P546" s="1377"/>
    </row>
    <row r="547" spans="1:16" ht="31" outlineLevel="1">
      <c r="A547" s="1446">
        <f t="shared" si="72"/>
        <v>20.3</v>
      </c>
      <c r="B547" s="1447" t="str">
        <f t="shared" si="72"/>
        <v>Scheme-3:-Design, Engineering and provision of material lifting arrangement for crusher floor, wobbler feeder  &amp; C-105 floor In CHP BTPS.</v>
      </c>
      <c r="C547" s="1475" t="str">
        <f t="shared" si="72"/>
        <v>MERC/CAPEX/MSPGCL/2024-25/0309</v>
      </c>
      <c r="D547" s="1473">
        <f t="shared" si="72"/>
        <v>45429</v>
      </c>
      <c r="E547" s="1476">
        <f t="shared" si="72"/>
        <v>1.88</v>
      </c>
      <c r="F547" s="1444">
        <f t="shared" si="73"/>
        <v>0</v>
      </c>
      <c r="G547" s="1444">
        <f t="shared" si="74"/>
        <v>0</v>
      </c>
      <c r="H547" s="1476">
        <f t="shared" si="75"/>
        <v>0</v>
      </c>
      <c r="I547" s="1444">
        <v>0</v>
      </c>
      <c r="J547" s="1444">
        <v>0</v>
      </c>
      <c r="K547" s="1476"/>
      <c r="L547" s="1476"/>
      <c r="M547" s="1476">
        <f t="shared" si="80"/>
        <v>0</v>
      </c>
      <c r="N547" s="1476">
        <f t="shared" si="76"/>
        <v>0</v>
      </c>
      <c r="O547" s="1445"/>
      <c r="P547" s="1377"/>
    </row>
    <row r="548" spans="1:16" ht="31" outlineLevel="1">
      <c r="A548" s="1446">
        <f t="shared" si="72"/>
        <v>20.399999999999999</v>
      </c>
      <c r="B548" s="1447" t="str">
        <f t="shared" si="72"/>
        <v>Scheme-4:-Structural up-gradation and rehabilitation of reversible yard conveyor in coal handling plant.</v>
      </c>
      <c r="C548" s="1475" t="str">
        <f t="shared" si="72"/>
        <v>MERC/CAPEX/MSPGCL/2024-25/0309</v>
      </c>
      <c r="D548" s="1473">
        <f t="shared" si="72"/>
        <v>45429</v>
      </c>
      <c r="E548" s="1476">
        <f t="shared" si="72"/>
        <v>4.21</v>
      </c>
      <c r="F548" s="1444">
        <f t="shared" si="73"/>
        <v>0</v>
      </c>
      <c r="G548" s="1444">
        <f t="shared" si="74"/>
        <v>0</v>
      </c>
      <c r="H548" s="1476">
        <f t="shared" si="75"/>
        <v>0</v>
      </c>
      <c r="I548" s="1444">
        <v>0</v>
      </c>
      <c r="J548" s="1444">
        <v>0</v>
      </c>
      <c r="K548" s="1476"/>
      <c r="L548" s="1476"/>
      <c r="M548" s="1476">
        <f t="shared" si="80"/>
        <v>0</v>
      </c>
      <c r="N548" s="1476">
        <f t="shared" si="76"/>
        <v>0</v>
      </c>
      <c r="O548" s="1445"/>
      <c r="P548" s="1377"/>
    </row>
    <row r="549" spans="1:16" ht="31" outlineLevel="1">
      <c r="A549" s="1446">
        <f t="shared" si="72"/>
        <v>20.5</v>
      </c>
      <c r="B549" s="1447" t="str">
        <f t="shared" si="72"/>
        <v>Scheme-5:-Design, Engineering, Erection and commissioning of Receiving and discharge chutes of wobbler feeders in CHP BTPS.</v>
      </c>
      <c r="C549" s="1475" t="str">
        <f t="shared" si="72"/>
        <v>MERC/CAPEX/MSPGCL/2024-25/0309</v>
      </c>
      <c r="D549" s="1473">
        <f t="shared" si="72"/>
        <v>45429</v>
      </c>
      <c r="E549" s="1476">
        <f t="shared" si="72"/>
        <v>6.25</v>
      </c>
      <c r="F549" s="1444">
        <f t="shared" si="73"/>
        <v>0</v>
      </c>
      <c r="G549" s="1444">
        <f t="shared" si="74"/>
        <v>0</v>
      </c>
      <c r="H549" s="1476">
        <f t="shared" si="75"/>
        <v>0</v>
      </c>
      <c r="I549" s="1444">
        <v>0</v>
      </c>
      <c r="J549" s="1444">
        <v>0</v>
      </c>
      <c r="K549" s="1476"/>
      <c r="L549" s="1476"/>
      <c r="M549" s="1476">
        <f t="shared" si="80"/>
        <v>0</v>
      </c>
      <c r="N549" s="1476">
        <f t="shared" si="76"/>
        <v>0</v>
      </c>
      <c r="O549" s="1445"/>
      <c r="P549" s="1377"/>
    </row>
    <row r="550" spans="1:16" ht="15.5" outlineLevel="1">
      <c r="A550" s="1446">
        <f t="shared" ref="A550:E565" si="81">A320</f>
        <v>20.6</v>
      </c>
      <c r="B550" s="1447" t="str">
        <f t="shared" si="81"/>
        <v>Scheme-6: Procurement of 3 Nos. of Bulldozers at BTPS, Bhusawal.</v>
      </c>
      <c r="C550" s="1475" t="str">
        <f t="shared" si="81"/>
        <v>MERC/CAPEX/MSPGCL/2024-25/0309</v>
      </c>
      <c r="D550" s="1473">
        <f t="shared" si="81"/>
        <v>45429</v>
      </c>
      <c r="E550" s="1476">
        <f t="shared" si="81"/>
        <v>7.35</v>
      </c>
      <c r="F550" s="1444">
        <f t="shared" si="73"/>
        <v>0</v>
      </c>
      <c r="G550" s="1444">
        <f t="shared" si="74"/>
        <v>0</v>
      </c>
      <c r="H550" s="1476">
        <f t="shared" si="75"/>
        <v>0</v>
      </c>
      <c r="I550" s="1444">
        <v>0</v>
      </c>
      <c r="J550" s="1444">
        <v>0</v>
      </c>
      <c r="K550" s="1476"/>
      <c r="L550" s="1476"/>
      <c r="M550" s="1476">
        <f t="shared" si="80"/>
        <v>0</v>
      </c>
      <c r="N550" s="1476">
        <f t="shared" si="76"/>
        <v>0</v>
      </c>
      <c r="O550" s="1445"/>
      <c r="P550" s="1377"/>
    </row>
    <row r="551" spans="1:16" ht="15.5" outlineLevel="1">
      <c r="A551" s="1446">
        <f t="shared" si="81"/>
        <v>0</v>
      </c>
      <c r="B551" s="1447" t="str">
        <f t="shared" si="81"/>
        <v>IDC</v>
      </c>
      <c r="C551" s="1475">
        <f t="shared" si="81"/>
        <v>0</v>
      </c>
      <c r="D551" s="1473" t="str">
        <f t="shared" si="81"/>
        <v>-</v>
      </c>
      <c r="E551" s="1476">
        <f t="shared" si="81"/>
        <v>0</v>
      </c>
      <c r="F551" s="1444">
        <f t="shared" si="73"/>
        <v>0</v>
      </c>
      <c r="G551" s="1444">
        <f t="shared" si="74"/>
        <v>0</v>
      </c>
      <c r="H551" s="1476">
        <f t="shared" si="75"/>
        <v>0</v>
      </c>
      <c r="I551" s="1444">
        <v>0</v>
      </c>
      <c r="J551" s="1444">
        <v>0</v>
      </c>
      <c r="K551" s="1476"/>
      <c r="L551" s="1476"/>
      <c r="M551" s="1476">
        <f t="shared" si="80"/>
        <v>0</v>
      </c>
      <c r="N551" s="1476">
        <f t="shared" si="76"/>
        <v>0</v>
      </c>
      <c r="O551" s="1445"/>
      <c r="P551" s="1377"/>
    </row>
    <row r="552" spans="1:16" ht="15.5" outlineLevel="1">
      <c r="A552" s="1440">
        <f t="shared" si="81"/>
        <v>21</v>
      </c>
      <c r="B552" s="1441" t="str">
        <f t="shared" si="81"/>
        <v>Performance Improvement of Coal Handling Plant at BTPS-U4 &amp; 5, Bhusawal</v>
      </c>
      <c r="C552" s="1475" t="str">
        <f t="shared" si="81"/>
        <v>MERC/CAPEX/MSPGCL/2024-25/0310</v>
      </c>
      <c r="D552" s="1473" t="str">
        <f t="shared" si="81"/>
        <v>-</v>
      </c>
      <c r="E552" s="1476">
        <f t="shared" si="81"/>
        <v>0</v>
      </c>
      <c r="F552" s="1444">
        <f t="shared" si="73"/>
        <v>0</v>
      </c>
      <c r="G552" s="1444">
        <f t="shared" si="74"/>
        <v>0</v>
      </c>
      <c r="H552" s="1476">
        <f t="shared" si="75"/>
        <v>0</v>
      </c>
      <c r="I552" s="1444">
        <v>0</v>
      </c>
      <c r="J552" s="1444">
        <v>0</v>
      </c>
      <c r="K552" s="1476"/>
      <c r="L552" s="1476"/>
      <c r="M552" s="1476">
        <f t="shared" si="80"/>
        <v>0</v>
      </c>
      <c r="N552" s="1476">
        <f t="shared" si="76"/>
        <v>0</v>
      </c>
      <c r="O552" s="1445"/>
      <c r="P552" s="1377"/>
    </row>
    <row r="553" spans="1:16" ht="31" outlineLevel="1">
      <c r="A553" s="1446">
        <f t="shared" si="81"/>
        <v>21.1</v>
      </c>
      <c r="B553" s="1447" t="str">
        <f t="shared" si="81"/>
        <v>Scheme-1: Revamping, Modification of Gravity take-up and Drive Augmentation of Bunkering conveyor in CHP BTPS</v>
      </c>
      <c r="C553" s="1475" t="str">
        <f t="shared" si="81"/>
        <v>MERC/CAPEX/MSPGCL/2024-25/0310</v>
      </c>
      <c r="D553" s="1473">
        <f t="shared" si="81"/>
        <v>45429</v>
      </c>
      <c r="E553" s="1476">
        <f t="shared" si="81"/>
        <v>11.35</v>
      </c>
      <c r="F553" s="1444">
        <f t="shared" si="73"/>
        <v>0</v>
      </c>
      <c r="G553" s="1444">
        <f t="shared" si="74"/>
        <v>0</v>
      </c>
      <c r="H553" s="1476">
        <f t="shared" si="75"/>
        <v>0</v>
      </c>
      <c r="I553" s="1444">
        <v>0</v>
      </c>
      <c r="J553" s="1444">
        <v>0</v>
      </c>
      <c r="K553" s="1476"/>
      <c r="L553" s="1476"/>
      <c r="M553" s="1476">
        <f t="shared" si="80"/>
        <v>0</v>
      </c>
      <c r="N553" s="1476">
        <f t="shared" si="76"/>
        <v>0</v>
      </c>
      <c r="O553" s="1445"/>
      <c r="P553" s="1377"/>
    </row>
    <row r="554" spans="1:16" ht="15.5" outlineLevel="1">
      <c r="A554" s="1446">
        <f t="shared" si="81"/>
        <v>21.2</v>
      </c>
      <c r="B554" s="1447" t="str">
        <f t="shared" si="81"/>
        <v>Scheme-2: Revamping of coal diverting chutes in CHP 2x500 MW BTPS</v>
      </c>
      <c r="C554" s="1475" t="str">
        <f t="shared" si="81"/>
        <v>MERC/CAPEX/MSPGCL/2024-25/0310</v>
      </c>
      <c r="D554" s="1473">
        <f t="shared" si="81"/>
        <v>45429</v>
      </c>
      <c r="E554" s="1476">
        <f t="shared" si="81"/>
        <v>5.73</v>
      </c>
      <c r="F554" s="1444">
        <f t="shared" si="73"/>
        <v>0</v>
      </c>
      <c r="G554" s="1444">
        <f t="shared" si="74"/>
        <v>0</v>
      </c>
      <c r="H554" s="1476">
        <f t="shared" si="75"/>
        <v>0</v>
      </c>
      <c r="I554" s="1444">
        <v>0</v>
      </c>
      <c r="J554" s="1444">
        <v>0</v>
      </c>
      <c r="K554" s="1476"/>
      <c r="L554" s="1476"/>
      <c r="M554" s="1476">
        <f t="shared" si="80"/>
        <v>0</v>
      </c>
      <c r="N554" s="1476">
        <f t="shared" si="76"/>
        <v>0</v>
      </c>
      <c r="O554" s="1445"/>
      <c r="P554" s="1377"/>
    </row>
    <row r="555" spans="1:16" ht="31" outlineLevel="1">
      <c r="A555" s="1446">
        <f t="shared" si="81"/>
        <v>21.3</v>
      </c>
      <c r="B555" s="1447" t="str">
        <f t="shared" si="81"/>
        <v>Scheme-3: Revamping and structural augmentation of Reversible feeder conveyors in CHP-BTPS.</v>
      </c>
      <c r="C555" s="1475" t="str">
        <f t="shared" si="81"/>
        <v>MERC/CAPEX/MSPGCL/2024-25/0310</v>
      </c>
      <c r="D555" s="1473">
        <f t="shared" si="81"/>
        <v>45429</v>
      </c>
      <c r="E555" s="1476">
        <f t="shared" si="81"/>
        <v>1.77</v>
      </c>
      <c r="F555" s="1444">
        <f t="shared" si="73"/>
        <v>0</v>
      </c>
      <c r="G555" s="1444">
        <f t="shared" si="74"/>
        <v>0</v>
      </c>
      <c r="H555" s="1476">
        <f t="shared" si="75"/>
        <v>0</v>
      </c>
      <c r="I555" s="1444">
        <v>1.75</v>
      </c>
      <c r="J555" s="1444">
        <v>1.75</v>
      </c>
      <c r="K555" s="1476"/>
      <c r="L555" s="1476"/>
      <c r="M555" s="1476">
        <f t="shared" si="80"/>
        <v>1.75</v>
      </c>
      <c r="N555" s="1476">
        <f t="shared" si="76"/>
        <v>0</v>
      </c>
      <c r="O555" s="1445"/>
      <c r="P555" s="1377"/>
    </row>
    <row r="556" spans="1:16" ht="31" outlineLevel="1">
      <c r="A556" s="1446">
        <f t="shared" si="81"/>
        <v>21.4</v>
      </c>
      <c r="B556" s="1447" t="str">
        <f t="shared" si="81"/>
        <v>Scheme-4: Revamping and up-gradation of air &amp; ventilation system in Coal Handling Plant-BTPS.</v>
      </c>
      <c r="C556" s="1475" t="str">
        <f t="shared" si="81"/>
        <v>MERC/CAPEX/MSPGCL/2024-25/0310</v>
      </c>
      <c r="D556" s="1473">
        <f t="shared" si="81"/>
        <v>45429</v>
      </c>
      <c r="E556" s="1476">
        <f t="shared" si="81"/>
        <v>9.01</v>
      </c>
      <c r="F556" s="1444">
        <f t="shared" si="73"/>
        <v>0</v>
      </c>
      <c r="G556" s="1444">
        <f t="shared" si="74"/>
        <v>0</v>
      </c>
      <c r="H556" s="1476">
        <f t="shared" si="75"/>
        <v>0</v>
      </c>
      <c r="I556" s="1444">
        <v>0</v>
      </c>
      <c r="J556" s="1444">
        <v>0</v>
      </c>
      <c r="K556" s="1476"/>
      <c r="L556" s="1476"/>
      <c r="M556" s="1476">
        <f t="shared" si="80"/>
        <v>0</v>
      </c>
      <c r="N556" s="1476">
        <f t="shared" si="76"/>
        <v>0</v>
      </c>
      <c r="O556" s="1445"/>
      <c r="P556" s="1377"/>
    </row>
    <row r="557" spans="1:16" ht="31" outlineLevel="1">
      <c r="A557" s="1446">
        <f t="shared" si="81"/>
        <v>21.5</v>
      </c>
      <c r="B557" s="1447" t="str">
        <f t="shared" si="81"/>
        <v>Scheme-5: Revamping, Structural &amp; drive up-gradation  of conveyor-111 in CHP-BTPS.</v>
      </c>
      <c r="C557" s="1475" t="str">
        <f t="shared" si="81"/>
        <v>MERC/CAPEX/MSPGCL/2024-25/0310</v>
      </c>
      <c r="D557" s="1473">
        <f t="shared" si="81"/>
        <v>45429</v>
      </c>
      <c r="E557" s="1476">
        <f t="shared" si="81"/>
        <v>3.85</v>
      </c>
      <c r="F557" s="1444">
        <f t="shared" si="73"/>
        <v>0</v>
      </c>
      <c r="G557" s="1444">
        <f t="shared" si="74"/>
        <v>0</v>
      </c>
      <c r="H557" s="1476">
        <f t="shared" si="75"/>
        <v>0</v>
      </c>
      <c r="I557" s="1444">
        <v>0</v>
      </c>
      <c r="J557" s="1444">
        <v>0</v>
      </c>
      <c r="K557" s="1476"/>
      <c r="L557" s="1476"/>
      <c r="M557" s="1476">
        <f t="shared" si="80"/>
        <v>0</v>
      </c>
      <c r="N557" s="1476">
        <f t="shared" si="76"/>
        <v>0</v>
      </c>
      <c r="O557" s="1445"/>
      <c r="P557" s="1377"/>
    </row>
    <row r="558" spans="1:16" ht="31" outlineLevel="1">
      <c r="A558" s="1446">
        <f t="shared" si="81"/>
        <v>21.6</v>
      </c>
      <c r="B558" s="1447" t="str">
        <f t="shared" si="81"/>
        <v>Scheme-6: Revamping and structural up-gradation of conveyor system in tunnel area in Coal Handling Plant-BTPS.</v>
      </c>
      <c r="C558" s="1475" t="str">
        <f t="shared" si="81"/>
        <v>MERC/CAPEX/MSPGCL/2024-25/0310</v>
      </c>
      <c r="D558" s="1473">
        <f t="shared" si="81"/>
        <v>45429</v>
      </c>
      <c r="E558" s="1476">
        <f t="shared" si="81"/>
        <v>8.6199999999999992</v>
      </c>
      <c r="F558" s="1444">
        <f t="shared" si="73"/>
        <v>0</v>
      </c>
      <c r="G558" s="1444">
        <f t="shared" si="74"/>
        <v>0</v>
      </c>
      <c r="H558" s="1476">
        <f t="shared" si="75"/>
        <v>0</v>
      </c>
      <c r="I558" s="1444">
        <v>0</v>
      </c>
      <c r="J558" s="1444">
        <v>0</v>
      </c>
      <c r="K558" s="1476"/>
      <c r="L558" s="1476"/>
      <c r="M558" s="1476">
        <f t="shared" si="80"/>
        <v>0</v>
      </c>
      <c r="N558" s="1476">
        <f t="shared" si="76"/>
        <v>0</v>
      </c>
      <c r="O558" s="1445"/>
      <c r="P558" s="1377"/>
    </row>
    <row r="559" spans="1:16" ht="15.5" outlineLevel="1">
      <c r="A559" s="1446">
        <f t="shared" si="81"/>
        <v>21.7</v>
      </c>
      <c r="B559" s="1447" t="str">
        <f t="shared" si="81"/>
        <v>Scheme-7: Erection &amp; Commissioning of Travelling type coal chutes in CHP BTPS.</v>
      </c>
      <c r="C559" s="1475" t="str">
        <f t="shared" si="81"/>
        <v>MERC/CAPEX/MSPGCL/2024-25/0310</v>
      </c>
      <c r="D559" s="1473">
        <f t="shared" si="81"/>
        <v>45429</v>
      </c>
      <c r="E559" s="1476">
        <f t="shared" si="81"/>
        <v>8.06</v>
      </c>
      <c r="F559" s="1444">
        <f t="shared" si="73"/>
        <v>0</v>
      </c>
      <c r="G559" s="1444">
        <f t="shared" si="74"/>
        <v>0</v>
      </c>
      <c r="H559" s="1476">
        <f t="shared" si="75"/>
        <v>0</v>
      </c>
      <c r="I559" s="1444">
        <v>0</v>
      </c>
      <c r="J559" s="1444">
        <v>0</v>
      </c>
      <c r="K559" s="1476"/>
      <c r="L559" s="1476"/>
      <c r="M559" s="1476">
        <f t="shared" si="80"/>
        <v>0</v>
      </c>
      <c r="N559" s="1476">
        <f t="shared" si="76"/>
        <v>0</v>
      </c>
      <c r="O559" s="1445"/>
      <c r="P559" s="1377"/>
    </row>
    <row r="560" spans="1:16" ht="31" outlineLevel="1">
      <c r="A560" s="1446">
        <f t="shared" si="81"/>
        <v>21.8</v>
      </c>
      <c r="B560" s="1447" t="str">
        <f t="shared" si="81"/>
        <v>Scheme-8: Revamping of scoop cooling system installed in coal handling plant BTPS.</v>
      </c>
      <c r="C560" s="1475" t="str">
        <f t="shared" si="81"/>
        <v>MERC/CAPEX/MSPGCL/2024-25/0310</v>
      </c>
      <c r="D560" s="1473">
        <f t="shared" si="81"/>
        <v>45429</v>
      </c>
      <c r="E560" s="1476">
        <f t="shared" si="81"/>
        <v>4.9800000000000004</v>
      </c>
      <c r="F560" s="1444">
        <f t="shared" si="73"/>
        <v>0</v>
      </c>
      <c r="G560" s="1444">
        <f t="shared" si="74"/>
        <v>0</v>
      </c>
      <c r="H560" s="1476">
        <f t="shared" si="75"/>
        <v>0</v>
      </c>
      <c r="I560" s="1444">
        <v>0</v>
      </c>
      <c r="J560" s="1444">
        <v>0</v>
      </c>
      <c r="K560" s="1476"/>
      <c r="L560" s="1476"/>
      <c r="M560" s="1476">
        <f t="shared" si="80"/>
        <v>0</v>
      </c>
      <c r="N560" s="1476">
        <f t="shared" si="76"/>
        <v>0</v>
      </c>
      <c r="O560" s="1445"/>
      <c r="P560" s="1377"/>
    </row>
    <row r="561" spans="1:16" ht="15.5" outlineLevel="1">
      <c r="A561" s="1454">
        <f t="shared" si="81"/>
        <v>21.9</v>
      </c>
      <c r="B561" s="1454" t="str">
        <f t="shared" si="81"/>
        <v>Scheme-9: Retrofitting and Up-gradation of Dewatering system in CHP-BTPS.</v>
      </c>
      <c r="C561" s="1475" t="str">
        <f t="shared" si="81"/>
        <v>MERC/CAPEX/MSPGCL/2024-25/0310</v>
      </c>
      <c r="D561" s="1473">
        <f t="shared" si="81"/>
        <v>45429</v>
      </c>
      <c r="E561" s="1476">
        <f t="shared" si="81"/>
        <v>3.92</v>
      </c>
      <c r="F561" s="1444">
        <f t="shared" si="73"/>
        <v>0</v>
      </c>
      <c r="G561" s="1444">
        <f t="shared" si="74"/>
        <v>0</v>
      </c>
      <c r="H561" s="1476">
        <f t="shared" si="75"/>
        <v>0</v>
      </c>
      <c r="I561" s="1444">
        <v>0</v>
      </c>
      <c r="J561" s="1444">
        <v>0</v>
      </c>
      <c r="K561" s="1476"/>
      <c r="L561" s="1476"/>
      <c r="M561" s="1476">
        <f t="shared" si="80"/>
        <v>0</v>
      </c>
      <c r="N561" s="1476">
        <f t="shared" si="76"/>
        <v>0</v>
      </c>
      <c r="O561" s="1445"/>
      <c r="P561" s="1377"/>
    </row>
    <row r="562" spans="1:16" ht="15.5" outlineLevel="1">
      <c r="A562" s="1455">
        <f t="shared" si="81"/>
        <v>0</v>
      </c>
      <c r="B562" s="1455" t="str">
        <f t="shared" si="81"/>
        <v>IDC</v>
      </c>
      <c r="C562" s="1475">
        <f t="shared" si="81"/>
        <v>0</v>
      </c>
      <c r="D562" s="1473" t="str">
        <f t="shared" si="81"/>
        <v>-</v>
      </c>
      <c r="E562" s="1476">
        <f t="shared" si="81"/>
        <v>0</v>
      </c>
      <c r="F562" s="1444">
        <f t="shared" si="73"/>
        <v>0</v>
      </c>
      <c r="G562" s="1444">
        <f t="shared" si="74"/>
        <v>0</v>
      </c>
      <c r="H562" s="1476">
        <f t="shared" si="75"/>
        <v>0</v>
      </c>
      <c r="I562" s="1444">
        <v>0</v>
      </c>
      <c r="J562" s="1444">
        <v>0</v>
      </c>
      <c r="K562" s="1476"/>
      <c r="L562" s="1476"/>
      <c r="M562" s="1476">
        <f t="shared" si="80"/>
        <v>0</v>
      </c>
      <c r="N562" s="1476">
        <f t="shared" si="76"/>
        <v>0</v>
      </c>
      <c r="O562" s="1445"/>
      <c r="P562" s="1377"/>
    </row>
    <row r="563" spans="1:16" ht="15.5" outlineLevel="1">
      <c r="A563" s="1456">
        <f t="shared" si="81"/>
        <v>0</v>
      </c>
      <c r="B563" s="1456" t="str">
        <f t="shared" si="81"/>
        <v>Asset Transfer from Projects</v>
      </c>
      <c r="C563" s="1475">
        <f t="shared" si="81"/>
        <v>0</v>
      </c>
      <c r="D563" s="1473" t="str">
        <f t="shared" si="81"/>
        <v>-</v>
      </c>
      <c r="E563" s="1476">
        <f t="shared" si="81"/>
        <v>0</v>
      </c>
      <c r="F563" s="1444">
        <f t="shared" si="73"/>
        <v>0</v>
      </c>
      <c r="G563" s="1444">
        <f t="shared" si="74"/>
        <v>0</v>
      </c>
      <c r="H563" s="1476">
        <f t="shared" si="75"/>
        <v>0</v>
      </c>
      <c r="I563" s="1444">
        <v>0</v>
      </c>
      <c r="J563" s="1444">
        <v>0</v>
      </c>
      <c r="K563" s="1476"/>
      <c r="L563" s="1476"/>
      <c r="M563" s="1476">
        <f t="shared" si="80"/>
        <v>0</v>
      </c>
      <c r="N563" s="1476">
        <f t="shared" si="76"/>
        <v>0</v>
      </c>
      <c r="O563" s="1445"/>
      <c r="P563" s="1377"/>
    </row>
    <row r="564" spans="1:16" ht="15.5" outlineLevel="1">
      <c r="A564" s="1455">
        <f t="shared" si="81"/>
        <v>0</v>
      </c>
      <c r="B564" s="1455" t="str">
        <f t="shared" si="81"/>
        <v>SP Busduct Unit 4&amp;5</v>
      </c>
      <c r="C564" s="1475">
        <f t="shared" si="81"/>
        <v>0</v>
      </c>
      <c r="D564" s="1473" t="str">
        <f t="shared" si="81"/>
        <v>-</v>
      </c>
      <c r="E564" s="1476">
        <f t="shared" si="81"/>
        <v>0</v>
      </c>
      <c r="F564" s="1444">
        <f t="shared" si="73"/>
        <v>0.30071745999999999</v>
      </c>
      <c r="G564" s="1444">
        <f t="shared" si="74"/>
        <v>0.30071745999999999</v>
      </c>
      <c r="H564" s="1476">
        <f t="shared" si="75"/>
        <v>0</v>
      </c>
      <c r="I564" s="1444">
        <v>0</v>
      </c>
      <c r="J564" s="1444">
        <v>0</v>
      </c>
      <c r="K564" s="1476"/>
      <c r="L564" s="1476"/>
      <c r="M564" s="1476">
        <f t="shared" si="80"/>
        <v>0</v>
      </c>
      <c r="N564" s="1476">
        <f t="shared" si="76"/>
        <v>0</v>
      </c>
      <c r="O564" s="1445"/>
      <c r="P564" s="1377"/>
    </row>
    <row r="565" spans="1:16" ht="15.5" outlineLevel="1">
      <c r="A565" s="1455">
        <f t="shared" si="81"/>
        <v>0</v>
      </c>
      <c r="B565" s="1455" t="str">
        <f t="shared" si="81"/>
        <v>ESP,ID,FD,PA Fans &amp;Other Boiler Auxiliaries</v>
      </c>
      <c r="C565" s="1442">
        <f t="shared" si="81"/>
        <v>0</v>
      </c>
      <c r="D565" s="1443" t="str">
        <f t="shared" si="81"/>
        <v>-</v>
      </c>
      <c r="E565" s="1444">
        <f t="shared" si="81"/>
        <v>0</v>
      </c>
      <c r="F565" s="1444">
        <f t="shared" si="73"/>
        <v>1.0282827000000001</v>
      </c>
      <c r="G565" s="1444">
        <f t="shared" si="74"/>
        <v>1.0282827000000001</v>
      </c>
      <c r="H565" s="1444">
        <f t="shared" si="75"/>
        <v>0</v>
      </c>
      <c r="I565" s="1444">
        <v>0</v>
      </c>
      <c r="J565" s="1444">
        <v>0</v>
      </c>
      <c r="K565" s="1444"/>
      <c r="L565" s="1444"/>
      <c r="M565" s="1444">
        <f t="shared" si="80"/>
        <v>0</v>
      </c>
      <c r="N565" s="1444">
        <f t="shared" si="76"/>
        <v>0</v>
      </c>
    </row>
    <row r="566" spans="1:16" ht="15.5" outlineLevel="1">
      <c r="A566" s="1456">
        <f t="shared" ref="A566:E581" si="82">A336</f>
        <v>0</v>
      </c>
      <c r="B566" s="1456" t="str">
        <f t="shared" si="82"/>
        <v>(ii) DPR Yet to be Submitted to MERC</v>
      </c>
      <c r="C566" s="1442">
        <f t="shared" si="82"/>
        <v>0</v>
      </c>
      <c r="D566" s="1443" t="str">
        <f t="shared" si="82"/>
        <v>-</v>
      </c>
      <c r="E566" s="1444">
        <f t="shared" si="82"/>
        <v>0</v>
      </c>
      <c r="F566" s="1444">
        <f t="shared" si="73"/>
        <v>0</v>
      </c>
      <c r="G566" s="1444">
        <f t="shared" si="74"/>
        <v>0</v>
      </c>
      <c r="H566" s="1444">
        <f t="shared" si="75"/>
        <v>0</v>
      </c>
      <c r="I566" s="1444">
        <v>0</v>
      </c>
      <c r="J566" s="1444">
        <v>0</v>
      </c>
      <c r="K566" s="1444"/>
      <c r="L566" s="1444"/>
      <c r="M566" s="1444">
        <f t="shared" si="80"/>
        <v>0</v>
      </c>
      <c r="N566" s="1444">
        <f t="shared" si="76"/>
        <v>0</v>
      </c>
    </row>
    <row r="567" spans="1:16" ht="15.5" outlineLevel="1">
      <c r="A567" s="1457">
        <f t="shared" si="82"/>
        <v>0</v>
      </c>
      <c r="B567" s="1457" t="str">
        <f t="shared" si="82"/>
        <v xml:space="preserve">FY 2025-26 </v>
      </c>
      <c r="C567" s="1475">
        <f t="shared" si="82"/>
        <v>0</v>
      </c>
      <c r="D567" s="1473" t="str">
        <f t="shared" si="82"/>
        <v>-</v>
      </c>
      <c r="E567" s="1476">
        <f t="shared" si="82"/>
        <v>0</v>
      </c>
      <c r="F567" s="1444">
        <f t="shared" si="73"/>
        <v>0</v>
      </c>
      <c r="G567" s="1444">
        <f t="shared" si="74"/>
        <v>0</v>
      </c>
      <c r="H567" s="1476">
        <f t="shared" si="75"/>
        <v>0</v>
      </c>
      <c r="I567" s="1444">
        <v>0</v>
      </c>
      <c r="J567" s="1444">
        <v>0</v>
      </c>
      <c r="K567" s="1476"/>
      <c r="L567" s="1476"/>
      <c r="M567" s="1476">
        <f t="shared" si="80"/>
        <v>0</v>
      </c>
      <c r="N567" s="1476">
        <f t="shared" si="76"/>
        <v>0</v>
      </c>
    </row>
    <row r="568" spans="1:16" ht="31" outlineLevel="1">
      <c r="A568" s="1458">
        <f t="shared" si="82"/>
        <v>1</v>
      </c>
      <c r="B568" s="1459" t="str">
        <f t="shared" si="82"/>
        <v>Up gradation of coal mill reject system, Procurement of Air heater baskets &amp; spare Air heater gearbox at 2X500MW, Bhusawal TPS</v>
      </c>
      <c r="C568" s="1475">
        <f t="shared" si="82"/>
        <v>0</v>
      </c>
      <c r="D568" s="1473" t="str">
        <f t="shared" si="82"/>
        <v>-</v>
      </c>
      <c r="E568" s="1476">
        <f t="shared" si="82"/>
        <v>0</v>
      </c>
      <c r="F568" s="1444">
        <f t="shared" si="73"/>
        <v>0</v>
      </c>
      <c r="G568" s="1444">
        <f t="shared" si="74"/>
        <v>0</v>
      </c>
      <c r="H568" s="1476">
        <f t="shared" si="75"/>
        <v>0</v>
      </c>
      <c r="I568" s="1444">
        <v>0</v>
      </c>
      <c r="J568" s="1444">
        <v>0</v>
      </c>
      <c r="K568" s="1476"/>
      <c r="L568" s="1476"/>
      <c r="M568" s="1476">
        <f t="shared" si="80"/>
        <v>0</v>
      </c>
      <c r="N568" s="1476">
        <f t="shared" si="76"/>
        <v>0</v>
      </c>
    </row>
    <row r="569" spans="1:16" ht="62" outlineLevel="1">
      <c r="A569" s="1455">
        <f t="shared" si="82"/>
        <v>1.1000000000000001</v>
      </c>
      <c r="B569" s="1455" t="str">
        <f t="shared" si="82"/>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569" s="1475">
        <f t="shared" si="82"/>
        <v>0</v>
      </c>
      <c r="D569" s="1473" t="str">
        <f t="shared" si="82"/>
        <v>-</v>
      </c>
      <c r="E569" s="1476">
        <f t="shared" si="82"/>
        <v>0</v>
      </c>
      <c r="F569" s="1444">
        <f t="shared" si="73"/>
        <v>0</v>
      </c>
      <c r="G569" s="1444">
        <f t="shared" si="74"/>
        <v>0</v>
      </c>
      <c r="H569" s="1476">
        <f t="shared" si="75"/>
        <v>0</v>
      </c>
      <c r="I569" s="1444">
        <v>0</v>
      </c>
      <c r="J569" s="1444">
        <v>0</v>
      </c>
      <c r="K569" s="1476"/>
      <c r="L569" s="1476"/>
      <c r="M569" s="1476">
        <f t="shared" si="80"/>
        <v>0</v>
      </c>
      <c r="N569" s="1476">
        <f t="shared" si="76"/>
        <v>0</v>
      </c>
    </row>
    <row r="570" spans="1:16" ht="31" outlineLevel="1">
      <c r="A570" s="1455">
        <f t="shared" si="82"/>
        <v>1.2</v>
      </c>
      <c r="B570" s="1455" t="str">
        <f t="shared" si="82"/>
        <v>Procurement of assembly of baskets &amp; seals for Air Preheater of type 31.5 VIM 2000 (72° PA), in Unit-5 2x500MW, BTPS Bhusawal</v>
      </c>
      <c r="C570" s="1475">
        <f t="shared" si="82"/>
        <v>0</v>
      </c>
      <c r="D570" s="1473" t="str">
        <f t="shared" si="82"/>
        <v>-</v>
      </c>
      <c r="E570" s="1476">
        <f t="shared" si="82"/>
        <v>0</v>
      </c>
      <c r="F570" s="1444">
        <f t="shared" si="73"/>
        <v>0</v>
      </c>
      <c r="G570" s="1444">
        <f t="shared" si="74"/>
        <v>0</v>
      </c>
      <c r="H570" s="1476">
        <f t="shared" si="75"/>
        <v>0</v>
      </c>
      <c r="I570" s="1444">
        <v>0</v>
      </c>
      <c r="J570" s="1444">
        <v>0</v>
      </c>
      <c r="K570" s="1476"/>
      <c r="L570" s="1476"/>
      <c r="M570" s="1476">
        <f t="shared" si="80"/>
        <v>0</v>
      </c>
      <c r="N570" s="1476">
        <f t="shared" si="76"/>
        <v>0</v>
      </c>
    </row>
    <row r="571" spans="1:16" ht="31" outlineLevel="1">
      <c r="A571" s="1455">
        <f t="shared" si="82"/>
        <v>1.3</v>
      </c>
      <c r="B571" s="1455" t="str">
        <f t="shared" si="82"/>
        <v>Procurement of APH Gearbox to improve availability and performance of Air preheaters at 2 x 500 MW Units, BTPS, Bhusawal. </v>
      </c>
      <c r="C571" s="1475">
        <f t="shared" si="82"/>
        <v>0</v>
      </c>
      <c r="D571" s="1473" t="str">
        <f t="shared" si="82"/>
        <v>-</v>
      </c>
      <c r="E571" s="1476">
        <f t="shared" si="82"/>
        <v>0</v>
      </c>
      <c r="F571" s="1444">
        <f t="shared" si="73"/>
        <v>0</v>
      </c>
      <c r="G571" s="1444">
        <f t="shared" si="74"/>
        <v>0</v>
      </c>
      <c r="H571" s="1476">
        <f t="shared" si="75"/>
        <v>0</v>
      </c>
      <c r="I571" s="1444">
        <v>0</v>
      </c>
      <c r="J571" s="1444">
        <v>0</v>
      </c>
      <c r="K571" s="1476"/>
      <c r="L571" s="1476"/>
      <c r="M571" s="1476">
        <f t="shared" si="80"/>
        <v>0</v>
      </c>
      <c r="N571" s="1476">
        <f t="shared" si="76"/>
        <v>0</v>
      </c>
    </row>
    <row r="572" spans="1:16" ht="15.5" outlineLevel="1">
      <c r="A572" s="1458">
        <f t="shared" si="82"/>
        <v>2</v>
      </c>
      <c r="B572" s="1459" t="str">
        <f t="shared" si="82"/>
        <v>Boiler Reliability &amp; Availability improvement at 2x500MW, Bhusawal TPS.</v>
      </c>
      <c r="C572" s="1442">
        <f t="shared" si="82"/>
        <v>0</v>
      </c>
      <c r="D572" s="1443" t="str">
        <f t="shared" si="82"/>
        <v>-</v>
      </c>
      <c r="E572" s="1444">
        <f t="shared" si="82"/>
        <v>0</v>
      </c>
      <c r="F572" s="1444">
        <f t="shared" si="73"/>
        <v>0</v>
      </c>
      <c r="G572" s="1444">
        <f t="shared" si="74"/>
        <v>0</v>
      </c>
      <c r="H572" s="1444">
        <f t="shared" si="75"/>
        <v>0</v>
      </c>
      <c r="I572" s="1444">
        <v>0</v>
      </c>
      <c r="J572" s="1444">
        <v>0</v>
      </c>
      <c r="K572" s="1444"/>
      <c r="L572" s="1444"/>
      <c r="M572" s="1444">
        <f t="shared" si="80"/>
        <v>0</v>
      </c>
      <c r="N572" s="1444">
        <f t="shared" si="76"/>
        <v>0</v>
      </c>
    </row>
    <row r="573" spans="1:16" ht="31" outlineLevel="1">
      <c r="A573" s="1455">
        <f t="shared" si="82"/>
        <v>2.1</v>
      </c>
      <c r="B573" s="1455" t="str">
        <f t="shared" si="82"/>
        <v xml:space="preserve">Procurement &amp; Replacement Of LTSH Coils for Unit - 4 &amp; 5 (500MW) TPS, Bhusawal. </v>
      </c>
      <c r="C573" s="1475">
        <f t="shared" si="82"/>
        <v>0</v>
      </c>
      <c r="D573" s="1473" t="str">
        <f t="shared" si="82"/>
        <v>-</v>
      </c>
      <c r="E573" s="1476">
        <f t="shared" si="82"/>
        <v>0</v>
      </c>
      <c r="F573" s="1444">
        <f t="shared" si="73"/>
        <v>0</v>
      </c>
      <c r="G573" s="1444">
        <f t="shared" si="74"/>
        <v>0</v>
      </c>
      <c r="H573" s="1476">
        <f t="shared" si="75"/>
        <v>0</v>
      </c>
      <c r="I573" s="1444">
        <v>0</v>
      </c>
      <c r="J573" s="1444">
        <v>0</v>
      </c>
      <c r="K573" s="1476"/>
      <c r="L573" s="1476"/>
      <c r="M573" s="1476">
        <f t="shared" si="80"/>
        <v>0</v>
      </c>
      <c r="N573" s="1476">
        <f t="shared" si="76"/>
        <v>0</v>
      </c>
    </row>
    <row r="574" spans="1:16" ht="31" outlineLevel="1">
      <c r="A574" s="1455">
        <f t="shared" si="82"/>
        <v>2.2000000000000002</v>
      </c>
      <c r="B574" s="1455" t="str">
        <f t="shared" si="82"/>
        <v>Procurement &amp; Replacement Of Economiser Coils For Unit - 4 &amp; 5 (500MW) TPS, Bhusawal</v>
      </c>
      <c r="C574" s="1475">
        <f t="shared" si="82"/>
        <v>0</v>
      </c>
      <c r="D574" s="1473" t="str">
        <f t="shared" si="82"/>
        <v>-</v>
      </c>
      <c r="E574" s="1476">
        <f t="shared" si="82"/>
        <v>0</v>
      </c>
      <c r="F574" s="1444">
        <f t="shared" si="73"/>
        <v>0</v>
      </c>
      <c r="G574" s="1444">
        <f t="shared" si="74"/>
        <v>0</v>
      </c>
      <c r="H574" s="1476">
        <f t="shared" si="75"/>
        <v>0</v>
      </c>
      <c r="I574" s="1444">
        <v>0</v>
      </c>
      <c r="J574" s="1444">
        <v>0</v>
      </c>
      <c r="K574" s="1476"/>
      <c r="L574" s="1476"/>
      <c r="M574" s="1476">
        <f t="shared" si="80"/>
        <v>0</v>
      </c>
      <c r="N574" s="1476">
        <f t="shared" si="76"/>
        <v>0</v>
      </c>
    </row>
    <row r="575" spans="1:16" ht="15.5" outlineLevel="1">
      <c r="A575" s="1455">
        <f t="shared" si="82"/>
        <v>2.2999999999999998</v>
      </c>
      <c r="B575" s="1455" t="str">
        <f t="shared" si="82"/>
        <v>Procurement of assembly of APH Baskets Unit-4</v>
      </c>
      <c r="C575" s="1442">
        <f t="shared" si="82"/>
        <v>0</v>
      </c>
      <c r="D575" s="1443" t="str">
        <f t="shared" si="82"/>
        <v>-</v>
      </c>
      <c r="E575" s="1444">
        <f t="shared" si="82"/>
        <v>0</v>
      </c>
      <c r="F575" s="1444">
        <f t="shared" si="73"/>
        <v>0</v>
      </c>
      <c r="G575" s="1444">
        <f t="shared" si="74"/>
        <v>0</v>
      </c>
      <c r="H575" s="1444">
        <f t="shared" si="75"/>
        <v>0</v>
      </c>
      <c r="I575" s="1444">
        <v>0</v>
      </c>
      <c r="J575" s="1444">
        <v>0</v>
      </c>
      <c r="K575" s="1444"/>
      <c r="L575" s="1444"/>
      <c r="M575" s="1444">
        <f t="shared" si="80"/>
        <v>0</v>
      </c>
      <c r="N575" s="1444">
        <f t="shared" si="76"/>
        <v>0</v>
      </c>
    </row>
    <row r="576" spans="1:16" ht="15.5" outlineLevel="1">
      <c r="A576" s="1455">
        <f t="shared" si="82"/>
        <v>2.4</v>
      </c>
      <c r="B576" s="1455" t="str">
        <f t="shared" si="82"/>
        <v>Procurement of APH Gearbox Unit-4&amp;5</v>
      </c>
      <c r="C576" s="1475">
        <f t="shared" si="82"/>
        <v>0</v>
      </c>
      <c r="D576" s="1473" t="str">
        <f t="shared" si="82"/>
        <v>-</v>
      </c>
      <c r="E576" s="1476">
        <f t="shared" si="82"/>
        <v>0</v>
      </c>
      <c r="F576" s="1444">
        <f t="shared" si="73"/>
        <v>0</v>
      </c>
      <c r="G576" s="1444">
        <f t="shared" si="74"/>
        <v>0</v>
      </c>
      <c r="H576" s="1476">
        <f t="shared" si="75"/>
        <v>0</v>
      </c>
      <c r="I576" s="1444">
        <v>0</v>
      </c>
      <c r="J576" s="1444">
        <v>0</v>
      </c>
      <c r="K576" s="1476"/>
      <c r="L576" s="1476"/>
      <c r="M576" s="1476">
        <f t="shared" si="80"/>
        <v>0</v>
      </c>
      <c r="N576" s="1476">
        <f t="shared" si="76"/>
        <v>0</v>
      </c>
    </row>
    <row r="577" spans="1:14" ht="15.5" outlineLevel="1">
      <c r="A577" s="1458">
        <f t="shared" si="82"/>
        <v>3</v>
      </c>
      <c r="B577" s="1459" t="str">
        <f t="shared" si="82"/>
        <v>Various Turbine side reliability improvement schemes at 2x500MW, BTPS</v>
      </c>
      <c r="C577" s="1475">
        <f t="shared" si="82"/>
        <v>0</v>
      </c>
      <c r="D577" s="1473" t="str">
        <f t="shared" si="82"/>
        <v>-</v>
      </c>
      <c r="E577" s="1476">
        <f t="shared" si="82"/>
        <v>0</v>
      </c>
      <c r="F577" s="1444">
        <f t="shared" si="73"/>
        <v>0</v>
      </c>
      <c r="G577" s="1444">
        <f t="shared" si="74"/>
        <v>0</v>
      </c>
      <c r="H577" s="1476">
        <f t="shared" si="75"/>
        <v>0</v>
      </c>
      <c r="I577" s="1444">
        <v>0</v>
      </c>
      <c r="J577" s="1444">
        <v>0</v>
      </c>
      <c r="K577" s="1476"/>
      <c r="L577" s="1476"/>
      <c r="M577" s="1476">
        <f t="shared" si="80"/>
        <v>0</v>
      </c>
      <c r="N577" s="1476">
        <f t="shared" si="76"/>
        <v>0</v>
      </c>
    </row>
    <row r="578" spans="1:14" ht="15.5" outlineLevel="1">
      <c r="A578" s="1455">
        <f t="shared" si="82"/>
        <v>3.1</v>
      </c>
      <c r="B578" s="1455" t="str">
        <f t="shared" si="82"/>
        <v>Reliability improvement of Atlas copco make (mode -ZR -500)</v>
      </c>
      <c r="C578" s="1475">
        <f t="shared" si="82"/>
        <v>0</v>
      </c>
      <c r="D578" s="1473" t="str">
        <f t="shared" si="82"/>
        <v>-</v>
      </c>
      <c r="E578" s="1476">
        <f t="shared" si="82"/>
        <v>0</v>
      </c>
      <c r="F578" s="1444">
        <f t="shared" si="73"/>
        <v>0</v>
      </c>
      <c r="G578" s="1444">
        <f t="shared" si="74"/>
        <v>0</v>
      </c>
      <c r="H578" s="1476">
        <f t="shared" si="75"/>
        <v>0</v>
      </c>
      <c r="I578" s="1444">
        <v>0</v>
      </c>
      <c r="J578" s="1444">
        <v>0</v>
      </c>
      <c r="K578" s="1476"/>
      <c r="L578" s="1476"/>
      <c r="M578" s="1476">
        <f t="shared" si="80"/>
        <v>0</v>
      </c>
      <c r="N578" s="1476">
        <f t="shared" si="76"/>
        <v>0</v>
      </c>
    </row>
    <row r="579" spans="1:14" ht="15.5" outlineLevel="1">
      <c r="A579" s="1455">
        <f t="shared" si="82"/>
        <v>3.2</v>
      </c>
      <c r="B579" s="1455" t="str">
        <f t="shared" si="82"/>
        <v xml:space="preserve">Reliability improvement of  HPCV Valve with procurment cone assy </v>
      </c>
      <c r="C579" s="1475">
        <f t="shared" si="82"/>
        <v>0</v>
      </c>
      <c r="D579" s="1473" t="str">
        <f t="shared" si="82"/>
        <v>-</v>
      </c>
      <c r="E579" s="1476">
        <f t="shared" si="82"/>
        <v>0</v>
      </c>
      <c r="F579" s="1444">
        <f t="shared" si="73"/>
        <v>0</v>
      </c>
      <c r="G579" s="1444">
        <f t="shared" si="74"/>
        <v>0</v>
      </c>
      <c r="H579" s="1476">
        <f t="shared" si="75"/>
        <v>0</v>
      </c>
      <c r="I579" s="1444">
        <v>0</v>
      </c>
      <c r="J579" s="1444">
        <v>0</v>
      </c>
      <c r="K579" s="1476"/>
      <c r="L579" s="1476"/>
      <c r="M579" s="1476">
        <f t="shared" si="80"/>
        <v>0</v>
      </c>
      <c r="N579" s="1476">
        <f t="shared" si="76"/>
        <v>0</v>
      </c>
    </row>
    <row r="580" spans="1:14" ht="15.5" outlineLevel="1">
      <c r="A580" s="1455">
        <f t="shared" si="82"/>
        <v>3.3</v>
      </c>
      <c r="B580" s="1455" t="str">
        <f t="shared" si="82"/>
        <v>Reliability improvement of Alfa Laval make Portable COP</v>
      </c>
      <c r="C580" s="1475">
        <f t="shared" si="82"/>
        <v>0</v>
      </c>
      <c r="D580" s="1473" t="str">
        <f t="shared" si="82"/>
        <v>-</v>
      </c>
      <c r="E580" s="1476">
        <f t="shared" si="82"/>
        <v>0</v>
      </c>
      <c r="F580" s="1444">
        <f t="shared" si="73"/>
        <v>0</v>
      </c>
      <c r="G580" s="1444">
        <f t="shared" si="74"/>
        <v>0</v>
      </c>
      <c r="H580" s="1476">
        <f t="shared" si="75"/>
        <v>0</v>
      </c>
      <c r="I580" s="1444">
        <v>0</v>
      </c>
      <c r="J580" s="1444">
        <v>0</v>
      </c>
      <c r="K580" s="1476"/>
      <c r="L580" s="1476"/>
      <c r="M580" s="1476">
        <f t="shared" si="80"/>
        <v>0</v>
      </c>
      <c r="N580" s="1476">
        <f t="shared" si="76"/>
        <v>0</v>
      </c>
    </row>
    <row r="581" spans="1:14" ht="31" outlineLevel="1">
      <c r="A581" s="1455">
        <f t="shared" si="82"/>
        <v>3.4</v>
      </c>
      <c r="B581" s="1455" t="str">
        <f t="shared" si="82"/>
        <v>Reliability improvement of Seal Oil System with procurement of various U Seal rings</v>
      </c>
      <c r="C581" s="1475">
        <f t="shared" si="82"/>
        <v>0</v>
      </c>
      <c r="D581" s="1473" t="str">
        <f t="shared" si="82"/>
        <v>-</v>
      </c>
      <c r="E581" s="1476">
        <f t="shared" si="82"/>
        <v>0</v>
      </c>
      <c r="F581" s="1444">
        <f t="shared" si="73"/>
        <v>0</v>
      </c>
      <c r="G581" s="1444">
        <f t="shared" si="74"/>
        <v>0</v>
      </c>
      <c r="H581" s="1476">
        <f t="shared" si="75"/>
        <v>0</v>
      </c>
      <c r="I581" s="1444">
        <v>0</v>
      </c>
      <c r="J581" s="1444">
        <v>0</v>
      </c>
      <c r="K581" s="1476"/>
      <c r="L581" s="1476"/>
      <c r="M581" s="1476">
        <f t="shared" si="80"/>
        <v>0</v>
      </c>
      <c r="N581" s="1476">
        <f t="shared" si="76"/>
        <v>0</v>
      </c>
    </row>
    <row r="582" spans="1:14" ht="31" outlineLevel="1">
      <c r="A582" s="1455">
        <f t="shared" ref="A582:E597" si="83">A352</f>
        <v>3.5</v>
      </c>
      <c r="B582" s="1455" t="str">
        <f t="shared" si="83"/>
        <v>Reliability improvement of Unit-4 &amp; 5 NDCT with replacement of PVC fills and allied work</v>
      </c>
      <c r="C582" s="1442">
        <f t="shared" si="83"/>
        <v>0</v>
      </c>
      <c r="D582" s="1443" t="str">
        <f t="shared" si="83"/>
        <v>-</v>
      </c>
      <c r="E582" s="1444">
        <f t="shared" si="83"/>
        <v>0</v>
      </c>
      <c r="F582" s="1444">
        <f t="shared" si="73"/>
        <v>0</v>
      </c>
      <c r="G582" s="1444">
        <f t="shared" si="74"/>
        <v>0</v>
      </c>
      <c r="H582" s="1444">
        <f t="shared" si="75"/>
        <v>0</v>
      </c>
      <c r="I582" s="1444">
        <v>0</v>
      </c>
      <c r="J582" s="1444">
        <v>0</v>
      </c>
      <c r="K582" s="1444"/>
      <c r="L582" s="1444"/>
      <c r="M582" s="1444">
        <f t="shared" si="80"/>
        <v>0</v>
      </c>
      <c r="N582" s="1444">
        <f t="shared" si="76"/>
        <v>0</v>
      </c>
    </row>
    <row r="583" spans="1:14" ht="15.5" outlineLevel="1">
      <c r="A583" s="1455">
        <f t="shared" si="83"/>
        <v>3.6</v>
      </c>
      <c r="B583" s="1455" t="str">
        <f t="shared" si="83"/>
        <v>Upgradation of Chiller plant, GEHO pump house &amp; OLTC PLC system.</v>
      </c>
      <c r="C583" s="1475">
        <f t="shared" si="83"/>
        <v>0</v>
      </c>
      <c r="D583" s="1473" t="str">
        <f t="shared" si="83"/>
        <v>-</v>
      </c>
      <c r="E583" s="1476">
        <f t="shared" si="83"/>
        <v>0</v>
      </c>
      <c r="F583" s="1444">
        <f t="shared" si="73"/>
        <v>0</v>
      </c>
      <c r="G583" s="1444">
        <f t="shared" si="74"/>
        <v>0</v>
      </c>
      <c r="H583" s="1476">
        <f t="shared" si="75"/>
        <v>0</v>
      </c>
      <c r="I583" s="1444">
        <v>0</v>
      </c>
      <c r="J583" s="1444">
        <v>0</v>
      </c>
      <c r="K583" s="1476"/>
      <c r="L583" s="1476"/>
      <c r="M583" s="1476">
        <f t="shared" si="80"/>
        <v>0</v>
      </c>
      <c r="N583" s="1476">
        <f t="shared" si="76"/>
        <v>0</v>
      </c>
    </row>
    <row r="584" spans="1:14" ht="15.5" outlineLevel="1">
      <c r="A584" s="1458">
        <f t="shared" si="83"/>
        <v>4</v>
      </c>
      <c r="B584" s="1459" t="str">
        <f t="shared" si="83"/>
        <v>IB recommended scheme related (Civil and Electrical)</v>
      </c>
      <c r="C584" s="1475">
        <f t="shared" si="83"/>
        <v>0</v>
      </c>
      <c r="D584" s="1473" t="str">
        <f t="shared" si="83"/>
        <v>-</v>
      </c>
      <c r="E584" s="1476">
        <f t="shared" si="83"/>
        <v>0</v>
      </c>
      <c r="F584" s="1444">
        <f t="shared" si="73"/>
        <v>0</v>
      </c>
      <c r="G584" s="1444">
        <f t="shared" si="74"/>
        <v>0</v>
      </c>
      <c r="H584" s="1476">
        <f t="shared" si="75"/>
        <v>0</v>
      </c>
      <c r="I584" s="1444">
        <v>0</v>
      </c>
      <c r="J584" s="1444">
        <v>0</v>
      </c>
      <c r="K584" s="1476"/>
      <c r="L584" s="1476"/>
      <c r="M584" s="1476">
        <f t="shared" si="80"/>
        <v>0</v>
      </c>
      <c r="N584" s="1476">
        <f t="shared" si="76"/>
        <v>0</v>
      </c>
    </row>
    <row r="585" spans="1:14" ht="31" outlineLevel="1">
      <c r="A585" s="1455">
        <f t="shared" si="83"/>
        <v>4.0999999999999996</v>
      </c>
      <c r="B585" s="1455" t="str">
        <f t="shared" si="83"/>
        <v>Work of fabricating and erecting structural steel watch tower (10 Nos.) in major store, plant area, ash pipe line and ash bund area at BTPS, Deepnagar.</v>
      </c>
      <c r="C585" s="1475">
        <f t="shared" si="83"/>
        <v>0</v>
      </c>
      <c r="D585" s="1473" t="str">
        <f t="shared" si="83"/>
        <v>-</v>
      </c>
      <c r="E585" s="1476">
        <f t="shared" si="83"/>
        <v>0</v>
      </c>
      <c r="F585" s="1444">
        <f t="shared" si="73"/>
        <v>0</v>
      </c>
      <c r="G585" s="1444">
        <f t="shared" si="74"/>
        <v>0</v>
      </c>
      <c r="H585" s="1476">
        <f t="shared" si="75"/>
        <v>0</v>
      </c>
      <c r="I585" s="1444">
        <v>0</v>
      </c>
      <c r="J585" s="1444">
        <v>0</v>
      </c>
      <c r="K585" s="1476"/>
      <c r="L585" s="1476"/>
      <c r="M585" s="1476">
        <f t="shared" si="80"/>
        <v>0</v>
      </c>
      <c r="N585" s="1476">
        <f t="shared" si="76"/>
        <v>0</v>
      </c>
    </row>
    <row r="586" spans="1:14" ht="31" outlineLevel="1">
      <c r="A586" s="1455">
        <f t="shared" si="83"/>
        <v>4.2</v>
      </c>
      <c r="B586" s="1455" t="str">
        <f t="shared" si="83"/>
        <v>Work of construction of ladies frisking room for security section and visitors room near factory gate and providing at 2x500MW, BTPS, Deepnagar.</v>
      </c>
      <c r="C586" s="1442">
        <f t="shared" si="83"/>
        <v>0</v>
      </c>
      <c r="D586" s="1443" t="str">
        <f t="shared" si="83"/>
        <v>-</v>
      </c>
      <c r="E586" s="1444">
        <f t="shared" si="83"/>
        <v>0</v>
      </c>
      <c r="F586" s="1444">
        <f t="shared" si="73"/>
        <v>0</v>
      </c>
      <c r="G586" s="1444">
        <f t="shared" si="74"/>
        <v>0</v>
      </c>
      <c r="H586" s="1444">
        <f t="shared" si="75"/>
        <v>0</v>
      </c>
      <c r="I586" s="1444">
        <v>0</v>
      </c>
      <c r="J586" s="1444">
        <v>0</v>
      </c>
      <c r="K586" s="1444"/>
      <c r="L586" s="1444"/>
      <c r="M586" s="1444">
        <f t="shared" si="80"/>
        <v>0</v>
      </c>
      <c r="N586" s="1444">
        <f t="shared" si="76"/>
        <v>0</v>
      </c>
    </row>
    <row r="587" spans="1:14" ht="31" outlineLevel="1">
      <c r="A587" s="1455">
        <f t="shared" si="83"/>
        <v>4.3</v>
      </c>
      <c r="B587" s="1455" t="str">
        <f t="shared" si="83"/>
        <v>Work of dismantling and construction old weathered UCR compound wall on bhogawati riverside in 2x500 MW at BTPS.</v>
      </c>
      <c r="C587" s="1475">
        <f t="shared" si="83"/>
        <v>0</v>
      </c>
      <c r="D587" s="1473" t="str">
        <f t="shared" si="83"/>
        <v>-</v>
      </c>
      <c r="E587" s="1476">
        <f t="shared" si="83"/>
        <v>0</v>
      </c>
      <c r="F587" s="1444">
        <f t="shared" si="73"/>
        <v>0</v>
      </c>
      <c r="G587" s="1444">
        <f t="shared" si="74"/>
        <v>0</v>
      </c>
      <c r="H587" s="1476">
        <f t="shared" si="75"/>
        <v>0</v>
      </c>
      <c r="I587" s="1444">
        <v>0</v>
      </c>
      <c r="J587" s="1444">
        <v>0</v>
      </c>
      <c r="K587" s="1476"/>
      <c r="L587" s="1476"/>
      <c r="M587" s="1476">
        <f t="shared" si="80"/>
        <v>0</v>
      </c>
      <c r="N587" s="1476">
        <f t="shared" si="76"/>
        <v>0</v>
      </c>
    </row>
    <row r="588" spans="1:14" ht="31" outlineLevel="1">
      <c r="A588" s="1455">
        <f t="shared" si="83"/>
        <v>4.4000000000000004</v>
      </c>
      <c r="B588" s="1455" t="str">
        <f t="shared" si="83"/>
        <v>Construcion of RCC comppund wall from remote silo to pimpri sekam railway siding cabin at BTPS</v>
      </c>
      <c r="C588" s="1475">
        <f t="shared" si="83"/>
        <v>0</v>
      </c>
      <c r="D588" s="1473" t="str">
        <f t="shared" si="83"/>
        <v>-</v>
      </c>
      <c r="E588" s="1476">
        <f t="shared" si="83"/>
        <v>0</v>
      </c>
      <c r="F588" s="1444">
        <f t="shared" si="73"/>
        <v>0</v>
      </c>
      <c r="G588" s="1444">
        <f t="shared" si="74"/>
        <v>0</v>
      </c>
      <c r="H588" s="1476">
        <f t="shared" si="75"/>
        <v>0</v>
      </c>
      <c r="I588" s="1444">
        <v>0</v>
      </c>
      <c r="J588" s="1444">
        <v>0</v>
      </c>
      <c r="K588" s="1476"/>
      <c r="L588" s="1476"/>
      <c r="M588" s="1476">
        <f t="shared" si="80"/>
        <v>0</v>
      </c>
      <c r="N588" s="1476">
        <f t="shared" si="76"/>
        <v>0</v>
      </c>
    </row>
    <row r="589" spans="1:14" ht="15.5" outlineLevel="1">
      <c r="A589" s="1455">
        <f t="shared" si="83"/>
        <v>4.5</v>
      </c>
      <c r="B589" s="1455" t="str">
        <f t="shared" si="83"/>
        <v>Installation of Highmast towers</v>
      </c>
      <c r="C589" s="1475">
        <f t="shared" si="83"/>
        <v>0</v>
      </c>
      <c r="D589" s="1473" t="str">
        <f t="shared" si="83"/>
        <v>-</v>
      </c>
      <c r="E589" s="1476">
        <f t="shared" si="83"/>
        <v>0</v>
      </c>
      <c r="F589" s="1444">
        <f t="shared" si="73"/>
        <v>0</v>
      </c>
      <c r="G589" s="1444">
        <f t="shared" si="74"/>
        <v>0</v>
      </c>
      <c r="H589" s="1476">
        <f t="shared" si="75"/>
        <v>0</v>
      </c>
      <c r="I589" s="1444">
        <v>0</v>
      </c>
      <c r="J589" s="1444">
        <v>0</v>
      </c>
      <c r="K589" s="1476"/>
      <c r="L589" s="1476"/>
      <c r="M589" s="1476">
        <f t="shared" si="80"/>
        <v>0</v>
      </c>
      <c r="N589" s="1476">
        <f t="shared" si="76"/>
        <v>0</v>
      </c>
    </row>
    <row r="590" spans="1:14" ht="15.5" outlineLevel="1">
      <c r="A590" s="1457">
        <f t="shared" si="83"/>
        <v>0</v>
      </c>
      <c r="B590" s="1457" t="str">
        <f t="shared" si="83"/>
        <v xml:space="preserve">FY 2026-27 </v>
      </c>
      <c r="C590" s="1475">
        <f t="shared" si="83"/>
        <v>0</v>
      </c>
      <c r="D590" s="1473" t="str">
        <f t="shared" si="83"/>
        <v>-</v>
      </c>
      <c r="E590" s="1476">
        <f t="shared" si="83"/>
        <v>0</v>
      </c>
      <c r="F590" s="1444">
        <f t="shared" si="73"/>
        <v>0</v>
      </c>
      <c r="G590" s="1444">
        <f t="shared" si="74"/>
        <v>0</v>
      </c>
      <c r="H590" s="1476">
        <f t="shared" si="75"/>
        <v>0</v>
      </c>
      <c r="I590" s="1444">
        <v>0</v>
      </c>
      <c r="J590" s="1444">
        <v>0</v>
      </c>
      <c r="K590" s="1476"/>
      <c r="L590" s="1476"/>
      <c r="M590" s="1476">
        <f t="shared" si="80"/>
        <v>0</v>
      </c>
      <c r="N590" s="1476">
        <f t="shared" si="76"/>
        <v>0</v>
      </c>
    </row>
    <row r="591" spans="1:14" ht="31" outlineLevel="1">
      <c r="A591" s="1458">
        <f t="shared" si="83"/>
        <v>1</v>
      </c>
      <c r="B591" s="1459" t="str">
        <f t="shared" si="83"/>
        <v>Coal Mill Performance Improvement and Life Enhancement of BHEL Make XRP-1043 Coal Mills in 2x500 MW BTPS.</v>
      </c>
      <c r="C591" s="1475">
        <f t="shared" si="83"/>
        <v>0</v>
      </c>
      <c r="D591" s="1473" t="str">
        <f t="shared" si="83"/>
        <v>-</v>
      </c>
      <c r="E591" s="1476">
        <f t="shared" si="83"/>
        <v>0</v>
      </c>
      <c r="F591" s="1444">
        <f t="shared" si="73"/>
        <v>0</v>
      </c>
      <c r="G591" s="1444">
        <f t="shared" si="74"/>
        <v>0</v>
      </c>
      <c r="H591" s="1476">
        <f t="shared" si="75"/>
        <v>0</v>
      </c>
      <c r="I591" s="1444">
        <v>0</v>
      </c>
      <c r="J591" s="1444">
        <v>0</v>
      </c>
      <c r="K591" s="1476"/>
      <c r="L591" s="1476"/>
      <c r="M591" s="1476">
        <f t="shared" si="80"/>
        <v>0</v>
      </c>
      <c r="N591" s="1476">
        <f t="shared" si="76"/>
        <v>0</v>
      </c>
    </row>
    <row r="592" spans="1:14" ht="31" outlineLevel="1">
      <c r="A592" s="1455">
        <f t="shared" si="83"/>
        <v>1.1000000000000001</v>
      </c>
      <c r="B592" s="1455" t="str">
        <f t="shared" si="83"/>
        <v>Coal Mill Performance Improvement and Life Enhancement of BHEL Make XRP-1043 Coal Mills in 2x500 MW BTPS.</v>
      </c>
      <c r="C592" s="1475">
        <f t="shared" si="83"/>
        <v>0</v>
      </c>
      <c r="D592" s="1473" t="str">
        <f t="shared" si="83"/>
        <v>-</v>
      </c>
      <c r="E592" s="1476">
        <f t="shared" si="83"/>
        <v>0</v>
      </c>
      <c r="F592" s="1444">
        <f t="shared" si="73"/>
        <v>0</v>
      </c>
      <c r="G592" s="1444">
        <f t="shared" si="74"/>
        <v>0</v>
      </c>
      <c r="H592" s="1476">
        <f t="shared" si="75"/>
        <v>0</v>
      </c>
      <c r="I592" s="1444">
        <v>0</v>
      </c>
      <c r="J592" s="1444">
        <v>0</v>
      </c>
      <c r="K592" s="1476"/>
      <c r="L592" s="1476"/>
      <c r="M592" s="1476">
        <f t="shared" si="80"/>
        <v>0</v>
      </c>
      <c r="N592" s="1476">
        <f t="shared" si="76"/>
        <v>0</v>
      </c>
    </row>
    <row r="593" spans="1:14" ht="46.5" outlineLevel="1">
      <c r="A593" s="1455">
        <f t="shared" si="83"/>
        <v>2</v>
      </c>
      <c r="B593" s="1455" t="str">
        <f t="shared" si="83"/>
        <v xml:space="preserve">Upgradation of Coal feeder weighing system and revamping of Boiler side pneumatic dampers system of Hot air, cold air, FD,PA and burner tilt at Bhusawal TPS 2x500W </v>
      </c>
      <c r="C593" s="1475">
        <f t="shared" si="83"/>
        <v>0</v>
      </c>
      <c r="D593" s="1473" t="str">
        <f t="shared" si="83"/>
        <v>-</v>
      </c>
      <c r="E593" s="1476">
        <f t="shared" si="83"/>
        <v>0</v>
      </c>
      <c r="F593" s="1444">
        <f t="shared" si="73"/>
        <v>0</v>
      </c>
      <c r="G593" s="1444">
        <f t="shared" si="74"/>
        <v>0</v>
      </c>
      <c r="H593" s="1476">
        <f t="shared" si="75"/>
        <v>0</v>
      </c>
      <c r="I593" s="1444">
        <v>0</v>
      </c>
      <c r="J593" s="1444">
        <v>0</v>
      </c>
      <c r="K593" s="1476"/>
      <c r="L593" s="1476"/>
      <c r="M593" s="1476">
        <f t="shared" si="80"/>
        <v>0</v>
      </c>
      <c r="N593" s="1476">
        <f t="shared" si="76"/>
        <v>0</v>
      </c>
    </row>
    <row r="594" spans="1:14" ht="15.5" outlineLevel="1">
      <c r="A594" s="1455">
        <f t="shared" si="83"/>
        <v>2.1</v>
      </c>
      <c r="B594" s="1455" t="str">
        <f t="shared" si="83"/>
        <v xml:space="preserve">Upgradation of Coal feeder weighing system  at Bhusawal TPS 2x500W </v>
      </c>
      <c r="C594" s="1475">
        <f t="shared" si="83"/>
        <v>0</v>
      </c>
      <c r="D594" s="1473" t="str">
        <f t="shared" si="83"/>
        <v>-</v>
      </c>
      <c r="E594" s="1476">
        <f t="shared" si="83"/>
        <v>0</v>
      </c>
      <c r="F594" s="1444">
        <f t="shared" si="73"/>
        <v>0</v>
      </c>
      <c r="G594" s="1444">
        <f t="shared" si="74"/>
        <v>0</v>
      </c>
      <c r="H594" s="1476">
        <f t="shared" si="75"/>
        <v>0</v>
      </c>
      <c r="I594" s="1444">
        <v>0</v>
      </c>
      <c r="J594" s="1444">
        <v>0</v>
      </c>
      <c r="K594" s="1476"/>
      <c r="L594" s="1476"/>
      <c r="M594" s="1476">
        <f t="shared" si="80"/>
        <v>0</v>
      </c>
      <c r="N594" s="1476">
        <f t="shared" si="76"/>
        <v>0</v>
      </c>
    </row>
    <row r="595" spans="1:14" ht="15.5" outlineLevel="1">
      <c r="A595" s="1455">
        <f t="shared" si="83"/>
        <v>2.2000000000000002</v>
      </c>
      <c r="B595" s="1455" t="str">
        <f t="shared" si="83"/>
        <v>Up-gradation of carbon monoxide analyzer in flue gas installed</v>
      </c>
      <c r="C595" s="1475">
        <f t="shared" si="83"/>
        <v>0</v>
      </c>
      <c r="D595" s="1473" t="str">
        <f t="shared" si="83"/>
        <v>-</v>
      </c>
      <c r="E595" s="1476">
        <f t="shared" si="83"/>
        <v>0</v>
      </c>
      <c r="F595" s="1444">
        <f t="shared" si="73"/>
        <v>0</v>
      </c>
      <c r="G595" s="1444">
        <f t="shared" si="74"/>
        <v>0</v>
      </c>
      <c r="H595" s="1476">
        <f t="shared" si="75"/>
        <v>0</v>
      </c>
      <c r="I595" s="1444">
        <v>0</v>
      </c>
      <c r="J595" s="1444">
        <v>0</v>
      </c>
      <c r="K595" s="1476"/>
      <c r="L595" s="1476"/>
      <c r="M595" s="1476">
        <f t="shared" si="80"/>
        <v>0</v>
      </c>
      <c r="N595" s="1476">
        <f t="shared" si="76"/>
        <v>0</v>
      </c>
    </row>
    <row r="596" spans="1:14" ht="31" outlineLevel="1">
      <c r="A596" s="1455">
        <f t="shared" si="83"/>
        <v>2.2999999999999998</v>
      </c>
      <c r="B596" s="1455" t="str">
        <f t="shared" si="83"/>
        <v>Up- Gradation of condition monitoring &amp; analysis system for TSI of Main Turbine , TDBFP &amp; BOP System 2x500 MW BTPS.</v>
      </c>
      <c r="C596" s="1475">
        <f t="shared" si="83"/>
        <v>0</v>
      </c>
      <c r="D596" s="1473" t="str">
        <f t="shared" si="83"/>
        <v>-</v>
      </c>
      <c r="E596" s="1476">
        <f t="shared" si="83"/>
        <v>0</v>
      </c>
      <c r="F596" s="1444">
        <f t="shared" si="73"/>
        <v>0</v>
      </c>
      <c r="G596" s="1444">
        <f t="shared" si="74"/>
        <v>0</v>
      </c>
      <c r="H596" s="1476">
        <f t="shared" si="75"/>
        <v>0</v>
      </c>
      <c r="I596" s="1444">
        <v>0</v>
      </c>
      <c r="J596" s="1444">
        <v>0</v>
      </c>
      <c r="K596" s="1476"/>
      <c r="L596" s="1476"/>
      <c r="M596" s="1476">
        <f t="shared" si="80"/>
        <v>0</v>
      </c>
      <c r="N596" s="1476">
        <f t="shared" si="76"/>
        <v>0</v>
      </c>
    </row>
    <row r="597" spans="1:14" ht="31" outlineLevel="1">
      <c r="A597" s="1455">
        <f t="shared" si="83"/>
        <v>2.5</v>
      </c>
      <c r="B597" s="1455" t="str">
        <f t="shared" si="83"/>
        <v xml:space="preserve">Revamping of Boiler side pneumatic dampers system of Hot air, cold air, FD,PA and burner tilt at BTPS 2X500MW </v>
      </c>
      <c r="C597" s="1475">
        <f t="shared" si="83"/>
        <v>0</v>
      </c>
      <c r="D597" s="1473" t="str">
        <f t="shared" si="83"/>
        <v>-</v>
      </c>
      <c r="E597" s="1476">
        <f t="shared" si="83"/>
        <v>0</v>
      </c>
      <c r="F597" s="1444">
        <f t="shared" si="73"/>
        <v>0</v>
      </c>
      <c r="G597" s="1444">
        <f t="shared" si="74"/>
        <v>0</v>
      </c>
      <c r="H597" s="1476">
        <f t="shared" si="75"/>
        <v>0</v>
      </c>
      <c r="I597" s="1444">
        <v>0</v>
      </c>
      <c r="J597" s="1444">
        <v>0</v>
      </c>
      <c r="K597" s="1476"/>
      <c r="L597" s="1476"/>
      <c r="M597" s="1476">
        <f t="shared" si="80"/>
        <v>0</v>
      </c>
      <c r="N597" s="1476">
        <f t="shared" si="76"/>
        <v>0</v>
      </c>
    </row>
    <row r="598" spans="1:14" ht="15.5" outlineLevel="1">
      <c r="A598" s="1455">
        <f t="shared" ref="A598:E613" si="84">A368</f>
        <v>2.6</v>
      </c>
      <c r="B598" s="1455" t="str">
        <f t="shared" si="84"/>
        <v>Procurement of various high pressure valves at 2x500 MW.</v>
      </c>
      <c r="C598" s="1442">
        <f t="shared" si="84"/>
        <v>0</v>
      </c>
      <c r="D598" s="1443" t="str">
        <f t="shared" si="84"/>
        <v>-</v>
      </c>
      <c r="E598" s="1444">
        <f t="shared" si="84"/>
        <v>0</v>
      </c>
      <c r="F598" s="1444">
        <f t="shared" ref="F598:F661" si="85">F368+I368</f>
        <v>0</v>
      </c>
      <c r="G598" s="1444">
        <f t="shared" ref="G598:G661" si="86">G368+M368</f>
        <v>0</v>
      </c>
      <c r="H598" s="1444">
        <f t="shared" ref="H598:H681" si="87">F598-G598</f>
        <v>0</v>
      </c>
      <c r="I598" s="1444">
        <v>0</v>
      </c>
      <c r="J598" s="1444">
        <v>0</v>
      </c>
      <c r="K598" s="1444"/>
      <c r="L598" s="1444"/>
      <c r="M598" s="1444">
        <f t="shared" si="80"/>
        <v>0</v>
      </c>
      <c r="N598" s="1444">
        <f t="shared" ref="N598:N681" si="88">H598+I598-M598</f>
        <v>0</v>
      </c>
    </row>
    <row r="599" spans="1:14" ht="31" outlineLevel="1">
      <c r="A599" s="1458">
        <f t="shared" si="84"/>
        <v>3</v>
      </c>
      <c r="B599" s="1459" t="str">
        <f t="shared" si="84"/>
        <v>Schemes for Turbine side auxiliaries systems Performance &amp; efficiency improvement schemes at 2X500MW, Bhusawal TPS</v>
      </c>
      <c r="C599" s="1475">
        <f t="shared" si="84"/>
        <v>0</v>
      </c>
      <c r="D599" s="1473" t="str">
        <f t="shared" si="84"/>
        <v>-</v>
      </c>
      <c r="E599" s="1476">
        <f t="shared" si="84"/>
        <v>0</v>
      </c>
      <c r="F599" s="1444">
        <f t="shared" si="85"/>
        <v>0</v>
      </c>
      <c r="G599" s="1444">
        <f t="shared" si="86"/>
        <v>0</v>
      </c>
      <c r="H599" s="1476">
        <f t="shared" si="87"/>
        <v>0</v>
      </c>
      <c r="I599" s="1444">
        <v>0</v>
      </c>
      <c r="J599" s="1444">
        <v>0</v>
      </c>
      <c r="K599" s="1476"/>
      <c r="L599" s="1476"/>
      <c r="M599" s="1476">
        <f t="shared" si="80"/>
        <v>0</v>
      </c>
      <c r="N599" s="1476">
        <f t="shared" si="88"/>
        <v>0</v>
      </c>
    </row>
    <row r="600" spans="1:14" ht="31" outlineLevel="1">
      <c r="A600" s="1455">
        <f t="shared" si="84"/>
        <v>3.1</v>
      </c>
      <c r="B600" s="1455" t="str">
        <f t="shared" si="84"/>
        <v>Procurement of BFP Booster Pump (FA-1B-75) complete assembly (04 Nos) at 500MW BTPS, Bhusawal.</v>
      </c>
      <c r="C600" s="1475">
        <f t="shared" si="84"/>
        <v>0</v>
      </c>
      <c r="D600" s="1473" t="str">
        <f t="shared" si="84"/>
        <v>-</v>
      </c>
      <c r="E600" s="1476">
        <f t="shared" si="84"/>
        <v>0</v>
      </c>
      <c r="F600" s="1444">
        <f t="shared" si="85"/>
        <v>0</v>
      </c>
      <c r="G600" s="1444">
        <f t="shared" si="86"/>
        <v>0</v>
      </c>
      <c r="H600" s="1476">
        <f t="shared" si="87"/>
        <v>0</v>
      </c>
      <c r="I600" s="1444">
        <v>0</v>
      </c>
      <c r="J600" s="1444">
        <v>0</v>
      </c>
      <c r="K600" s="1476"/>
      <c r="L600" s="1476"/>
      <c r="M600" s="1476">
        <f t="shared" si="80"/>
        <v>0</v>
      </c>
      <c r="N600" s="1476">
        <f t="shared" si="88"/>
        <v>0</v>
      </c>
    </row>
    <row r="601" spans="1:14" ht="31" outlineLevel="1">
      <c r="A601" s="1455">
        <f t="shared" si="84"/>
        <v>3.2</v>
      </c>
      <c r="B601" s="1455" t="str">
        <f t="shared" si="84"/>
        <v>Procurement of Vacuum Pump complete assembly with recirculation Pump (01 No) and Impeller assembly (2 Nos) at 500MW BTPS, Bhusawal.</v>
      </c>
      <c r="C601" s="1475">
        <f t="shared" si="84"/>
        <v>0</v>
      </c>
      <c r="D601" s="1473" t="str">
        <f t="shared" si="84"/>
        <v>-</v>
      </c>
      <c r="E601" s="1476">
        <f t="shared" si="84"/>
        <v>0</v>
      </c>
      <c r="F601" s="1444">
        <f t="shared" si="85"/>
        <v>0</v>
      </c>
      <c r="G601" s="1444">
        <f t="shared" si="86"/>
        <v>0</v>
      </c>
      <c r="H601" s="1476">
        <f t="shared" si="87"/>
        <v>0</v>
      </c>
      <c r="I601" s="1444">
        <v>0</v>
      </c>
      <c r="J601" s="1444">
        <v>0</v>
      </c>
      <c r="K601" s="1476"/>
      <c r="L601" s="1476"/>
      <c r="M601" s="1476">
        <f t="shared" si="80"/>
        <v>0</v>
      </c>
      <c r="N601" s="1476">
        <f t="shared" si="88"/>
        <v>0</v>
      </c>
    </row>
    <row r="602" spans="1:14" ht="31" outlineLevel="1">
      <c r="A602" s="1455">
        <f t="shared" si="84"/>
        <v>3.3</v>
      </c>
      <c r="B602" s="1455" t="str">
        <f t="shared" si="84"/>
        <v>Revamping, modification of outdoor ducting of Air ventilation system at 2x500MW BTPS, Bhusawal.</v>
      </c>
      <c r="C602" s="1475">
        <f t="shared" si="84"/>
        <v>0</v>
      </c>
      <c r="D602" s="1473" t="str">
        <f t="shared" si="84"/>
        <v>-</v>
      </c>
      <c r="E602" s="1476">
        <f t="shared" si="84"/>
        <v>0</v>
      </c>
      <c r="F602" s="1444">
        <f t="shared" si="85"/>
        <v>0</v>
      </c>
      <c r="G602" s="1444">
        <f t="shared" si="86"/>
        <v>0</v>
      </c>
      <c r="H602" s="1476">
        <f t="shared" si="87"/>
        <v>0</v>
      </c>
      <c r="I602" s="1444">
        <v>0</v>
      </c>
      <c r="J602" s="1444">
        <v>0</v>
      </c>
      <c r="K602" s="1476"/>
      <c r="L602" s="1476"/>
      <c r="M602" s="1476">
        <f t="shared" si="80"/>
        <v>0</v>
      </c>
      <c r="N602" s="1476">
        <f t="shared" si="88"/>
        <v>0</v>
      </c>
    </row>
    <row r="603" spans="1:14" ht="15.5" outlineLevel="1">
      <c r="A603" s="1455">
        <f t="shared" si="84"/>
        <v>3.4</v>
      </c>
      <c r="B603" s="1455" t="str">
        <f t="shared" si="84"/>
        <v>Performance improvement of compressors</v>
      </c>
      <c r="C603" s="1475">
        <f t="shared" si="84"/>
        <v>0</v>
      </c>
      <c r="D603" s="1473" t="str">
        <f t="shared" si="84"/>
        <v>-</v>
      </c>
      <c r="E603" s="1476">
        <f t="shared" si="84"/>
        <v>0</v>
      </c>
      <c r="F603" s="1444">
        <f t="shared" si="85"/>
        <v>0</v>
      </c>
      <c r="G603" s="1444">
        <f t="shared" si="86"/>
        <v>0</v>
      </c>
      <c r="H603" s="1476">
        <f t="shared" si="87"/>
        <v>0</v>
      </c>
      <c r="I603" s="1444">
        <v>0</v>
      </c>
      <c r="J603" s="1444">
        <v>0</v>
      </c>
      <c r="K603" s="1476"/>
      <c r="L603" s="1476"/>
      <c r="M603" s="1476">
        <f t="shared" si="80"/>
        <v>0</v>
      </c>
      <c r="N603" s="1476">
        <f t="shared" si="88"/>
        <v>0</v>
      </c>
    </row>
    <row r="604" spans="1:14" ht="15.5" outlineLevel="1">
      <c r="A604" s="1455">
        <f t="shared" si="84"/>
        <v>3.5</v>
      </c>
      <c r="B604" s="1455" t="str">
        <f t="shared" si="84"/>
        <v>Centralized Water Management System at BTPS, Deepnagar, Bhusawal</v>
      </c>
      <c r="C604" s="1475">
        <f t="shared" si="84"/>
        <v>0</v>
      </c>
      <c r="D604" s="1473" t="str">
        <f t="shared" si="84"/>
        <v>-</v>
      </c>
      <c r="E604" s="1476">
        <f t="shared" si="84"/>
        <v>0</v>
      </c>
      <c r="F604" s="1444">
        <f t="shared" si="85"/>
        <v>0</v>
      </c>
      <c r="G604" s="1444">
        <f t="shared" si="86"/>
        <v>0</v>
      </c>
      <c r="H604" s="1476">
        <f t="shared" si="87"/>
        <v>0</v>
      </c>
      <c r="I604" s="1444">
        <v>0</v>
      </c>
      <c r="J604" s="1444">
        <v>0</v>
      </c>
      <c r="K604" s="1476"/>
      <c r="L604" s="1476"/>
      <c r="M604" s="1476">
        <f t="shared" si="80"/>
        <v>0</v>
      </c>
      <c r="N604" s="1476">
        <f t="shared" si="88"/>
        <v>0</v>
      </c>
    </row>
    <row r="605" spans="1:14" ht="31" outlineLevel="1">
      <c r="A605" s="1455">
        <f t="shared" si="84"/>
        <v>3.6</v>
      </c>
      <c r="B605" s="1455" t="str">
        <f t="shared" si="84"/>
        <v>Revamping and upgradation of Forbes Marshal make Steam &amp; Water Analysis System Installed at 2x500MW BTPS.</v>
      </c>
      <c r="C605" s="1475">
        <f t="shared" si="84"/>
        <v>0</v>
      </c>
      <c r="D605" s="1473" t="str">
        <f t="shared" si="84"/>
        <v>-</v>
      </c>
      <c r="E605" s="1476">
        <f t="shared" si="84"/>
        <v>0</v>
      </c>
      <c r="F605" s="1444">
        <f t="shared" si="85"/>
        <v>0</v>
      </c>
      <c r="G605" s="1444">
        <f t="shared" si="86"/>
        <v>0</v>
      </c>
      <c r="H605" s="1476">
        <f t="shared" si="87"/>
        <v>0</v>
      </c>
      <c r="I605" s="1444">
        <v>0</v>
      </c>
      <c r="J605" s="1444">
        <v>0</v>
      </c>
      <c r="K605" s="1476"/>
      <c r="L605" s="1476"/>
      <c r="M605" s="1476">
        <f t="shared" si="80"/>
        <v>0</v>
      </c>
      <c r="N605" s="1476">
        <f t="shared" si="88"/>
        <v>0</v>
      </c>
    </row>
    <row r="606" spans="1:14" ht="31" outlineLevel="1">
      <c r="A606" s="1458">
        <f t="shared" si="84"/>
        <v>4</v>
      </c>
      <c r="B606" s="1459" t="str">
        <f t="shared" si="84"/>
        <v>Implementation of flexible operation solutions for technical minimum operation of 2x500MW, BTPS.</v>
      </c>
      <c r="C606" s="1475">
        <f t="shared" si="84"/>
        <v>0</v>
      </c>
      <c r="D606" s="1473" t="str">
        <f t="shared" si="84"/>
        <v>-</v>
      </c>
      <c r="E606" s="1476">
        <f t="shared" si="84"/>
        <v>0</v>
      </c>
      <c r="F606" s="1444">
        <f t="shared" si="85"/>
        <v>0</v>
      </c>
      <c r="G606" s="1444">
        <f t="shared" si="86"/>
        <v>0</v>
      </c>
      <c r="H606" s="1476">
        <f t="shared" si="87"/>
        <v>0</v>
      </c>
      <c r="I606" s="1444">
        <v>0</v>
      </c>
      <c r="J606" s="1444">
        <v>0</v>
      </c>
      <c r="K606" s="1476"/>
      <c r="L606" s="1476"/>
      <c r="M606" s="1476">
        <f t="shared" si="80"/>
        <v>0</v>
      </c>
      <c r="N606" s="1476">
        <f t="shared" si="88"/>
        <v>0</v>
      </c>
    </row>
    <row r="607" spans="1:14" ht="31" outlineLevel="1">
      <c r="A607" s="1455">
        <f t="shared" si="84"/>
        <v>4.0999999999999996</v>
      </c>
      <c r="B607" s="1455" t="str">
        <f t="shared" si="84"/>
        <v>Implementation of flexible operation solutions for technical minimum operation of 2x500MW, BTPS.</v>
      </c>
      <c r="C607" s="1475">
        <f t="shared" si="84"/>
        <v>0</v>
      </c>
      <c r="D607" s="1473" t="str">
        <f t="shared" si="84"/>
        <v>-</v>
      </c>
      <c r="E607" s="1476">
        <f t="shared" si="84"/>
        <v>0</v>
      </c>
      <c r="F607" s="1444">
        <f t="shared" si="85"/>
        <v>0</v>
      </c>
      <c r="G607" s="1444">
        <f t="shared" si="86"/>
        <v>0</v>
      </c>
      <c r="H607" s="1476">
        <f t="shared" si="87"/>
        <v>0</v>
      </c>
      <c r="I607" s="1444">
        <v>0</v>
      </c>
      <c r="J607" s="1444">
        <v>0</v>
      </c>
      <c r="K607" s="1476"/>
      <c r="L607" s="1476"/>
      <c r="M607" s="1476">
        <f t="shared" si="80"/>
        <v>0</v>
      </c>
      <c r="N607" s="1476">
        <f t="shared" si="88"/>
        <v>0</v>
      </c>
    </row>
    <row r="608" spans="1:14" ht="15.5" outlineLevel="1">
      <c r="A608" s="1457">
        <f t="shared" si="84"/>
        <v>0</v>
      </c>
      <c r="B608" s="1457" t="str">
        <f t="shared" si="84"/>
        <v xml:space="preserve">FY 2027-28 </v>
      </c>
      <c r="C608" s="1442">
        <f t="shared" si="84"/>
        <v>0</v>
      </c>
      <c r="D608" s="1443" t="str">
        <f t="shared" si="84"/>
        <v>-</v>
      </c>
      <c r="E608" s="1444">
        <f t="shared" si="84"/>
        <v>0</v>
      </c>
      <c r="F608" s="1444">
        <f t="shared" si="85"/>
        <v>0</v>
      </c>
      <c r="G608" s="1444">
        <f t="shared" si="86"/>
        <v>0</v>
      </c>
      <c r="H608" s="1444">
        <f t="shared" si="87"/>
        <v>0</v>
      </c>
      <c r="I608" s="1444">
        <v>0</v>
      </c>
      <c r="J608" s="1444">
        <v>0</v>
      </c>
      <c r="K608" s="1444"/>
      <c r="L608" s="1444"/>
      <c r="M608" s="1444">
        <f t="shared" si="80"/>
        <v>0</v>
      </c>
      <c r="N608" s="1444">
        <f t="shared" si="88"/>
        <v>0</v>
      </c>
    </row>
    <row r="609" spans="1:14" ht="31" outlineLevel="1">
      <c r="A609" s="1458">
        <f t="shared" si="84"/>
        <v>1</v>
      </c>
      <c r="B609" s="1459" t="str">
        <f t="shared" si="84"/>
        <v>Supply,Installation and commissioning of Boiler performance and reliability improvement schemes at BTPS 2x500MW.</v>
      </c>
      <c r="C609" s="1475">
        <f t="shared" si="84"/>
        <v>0</v>
      </c>
      <c r="D609" s="1473" t="str">
        <f t="shared" si="84"/>
        <v>-</v>
      </c>
      <c r="E609" s="1476">
        <f t="shared" si="84"/>
        <v>0</v>
      </c>
      <c r="F609" s="1444">
        <f t="shared" si="85"/>
        <v>0</v>
      </c>
      <c r="G609" s="1444">
        <f t="shared" si="86"/>
        <v>0</v>
      </c>
      <c r="H609" s="1476">
        <f t="shared" si="87"/>
        <v>0</v>
      </c>
      <c r="I609" s="1444">
        <v>0</v>
      </c>
      <c r="J609" s="1444">
        <v>0</v>
      </c>
      <c r="K609" s="1476"/>
      <c r="L609" s="1476"/>
      <c r="M609" s="1476">
        <f t="shared" ref="M609:M672" si="89">SUM(J609:L609)</f>
        <v>0</v>
      </c>
      <c r="N609" s="1476">
        <f t="shared" si="88"/>
        <v>0</v>
      </c>
    </row>
    <row r="610" spans="1:14" ht="31" outlineLevel="1">
      <c r="A610" s="1455">
        <f t="shared" si="84"/>
        <v>1.1000000000000001</v>
      </c>
      <c r="B610" s="1455" t="str">
        <f t="shared" si="84"/>
        <v>Procurement of  M/s Torishima, Japan make, 350 KW, 6.6KV, Boiler Circulating Water (BCW) Pump Motors at BTPS 2x500MW.</v>
      </c>
      <c r="C610" s="1475">
        <f t="shared" si="84"/>
        <v>0</v>
      </c>
      <c r="D610" s="1473" t="str">
        <f t="shared" si="84"/>
        <v>-</v>
      </c>
      <c r="E610" s="1476">
        <f t="shared" si="84"/>
        <v>0</v>
      </c>
      <c r="F610" s="1444">
        <f t="shared" si="85"/>
        <v>0</v>
      </c>
      <c r="G610" s="1444">
        <f t="shared" si="86"/>
        <v>0</v>
      </c>
      <c r="H610" s="1476">
        <f t="shared" si="87"/>
        <v>0</v>
      </c>
      <c r="I610" s="1444">
        <v>0</v>
      </c>
      <c r="J610" s="1444">
        <v>0</v>
      </c>
      <c r="K610" s="1476"/>
      <c r="L610" s="1476"/>
      <c r="M610" s="1476">
        <f t="shared" si="89"/>
        <v>0</v>
      </c>
      <c r="N610" s="1476">
        <f t="shared" si="88"/>
        <v>0</v>
      </c>
    </row>
    <row r="611" spans="1:14" ht="31" outlineLevel="1">
      <c r="A611" s="1455">
        <f t="shared" si="84"/>
        <v>1.2</v>
      </c>
      <c r="B611" s="1455" t="str">
        <f t="shared" si="84"/>
        <v>Installation commissioning of Online DC Earth fault monitoring system at 220V DCDB at 500MW U-4&amp;5.</v>
      </c>
      <c r="C611" s="1475">
        <f t="shared" si="84"/>
        <v>0</v>
      </c>
      <c r="D611" s="1473" t="str">
        <f t="shared" si="84"/>
        <v>-</v>
      </c>
      <c r="E611" s="1476">
        <f t="shared" si="84"/>
        <v>0</v>
      </c>
      <c r="F611" s="1444">
        <f t="shared" si="85"/>
        <v>0</v>
      </c>
      <c r="G611" s="1444">
        <f t="shared" si="86"/>
        <v>0</v>
      </c>
      <c r="H611" s="1476">
        <f t="shared" si="87"/>
        <v>0</v>
      </c>
      <c r="I611" s="1444">
        <v>0</v>
      </c>
      <c r="J611" s="1444">
        <v>0</v>
      </c>
      <c r="K611" s="1476"/>
      <c r="L611" s="1476"/>
      <c r="M611" s="1476">
        <f t="shared" si="89"/>
        <v>0</v>
      </c>
      <c r="N611" s="1476">
        <f t="shared" si="88"/>
        <v>0</v>
      </c>
    </row>
    <row r="612" spans="1:14" ht="31" outlineLevel="1">
      <c r="A612" s="1455">
        <f t="shared" si="84"/>
        <v>1.3</v>
      </c>
      <c r="B612" s="1455" t="str">
        <f t="shared" si="84"/>
        <v>Design,  supply, erection, comms. Of ID VFD &amp; AHP transformers for 2x500MW BTPS.</v>
      </c>
      <c r="C612" s="1475">
        <f t="shared" si="84"/>
        <v>0</v>
      </c>
      <c r="D612" s="1473" t="str">
        <f t="shared" si="84"/>
        <v>-</v>
      </c>
      <c r="E612" s="1476">
        <f t="shared" si="84"/>
        <v>0</v>
      </c>
      <c r="F612" s="1444">
        <f t="shared" si="85"/>
        <v>0</v>
      </c>
      <c r="G612" s="1444">
        <f t="shared" si="86"/>
        <v>0</v>
      </c>
      <c r="H612" s="1476">
        <f t="shared" si="87"/>
        <v>0</v>
      </c>
      <c r="I612" s="1444">
        <v>0</v>
      </c>
      <c r="J612" s="1444">
        <v>0</v>
      </c>
      <c r="K612" s="1476"/>
      <c r="L612" s="1476"/>
      <c r="M612" s="1476">
        <f t="shared" si="89"/>
        <v>0</v>
      </c>
      <c r="N612" s="1476">
        <f t="shared" si="88"/>
        <v>0</v>
      </c>
    </row>
    <row r="613" spans="1:14" ht="31" outlineLevel="1">
      <c r="A613" s="1455">
        <f t="shared" si="84"/>
        <v>1.4</v>
      </c>
      <c r="B613" s="1455" t="str">
        <f t="shared" si="84"/>
        <v>Design,supply,installation and commissioning of Energy efficient  System for illumination at BTPS 2x500MW.</v>
      </c>
      <c r="C613" s="1475">
        <f t="shared" si="84"/>
        <v>0</v>
      </c>
      <c r="D613" s="1473" t="str">
        <f t="shared" si="84"/>
        <v>-</v>
      </c>
      <c r="E613" s="1476">
        <f t="shared" si="84"/>
        <v>0</v>
      </c>
      <c r="F613" s="1444">
        <f t="shared" si="85"/>
        <v>0</v>
      </c>
      <c r="G613" s="1444">
        <f t="shared" si="86"/>
        <v>0</v>
      </c>
      <c r="H613" s="1476">
        <f t="shared" si="87"/>
        <v>0</v>
      </c>
      <c r="I613" s="1444">
        <v>0</v>
      </c>
      <c r="J613" s="1444">
        <v>0</v>
      </c>
      <c r="K613" s="1476"/>
      <c r="L613" s="1476"/>
      <c r="M613" s="1476">
        <f t="shared" si="89"/>
        <v>0</v>
      </c>
      <c r="N613" s="1476">
        <f t="shared" si="88"/>
        <v>0</v>
      </c>
    </row>
    <row r="614" spans="1:14" ht="31" outlineLevel="1">
      <c r="A614" s="1455">
        <f t="shared" ref="A614:E629" si="90">A384</f>
        <v>1.5</v>
      </c>
      <c r="B614" s="1455" t="str">
        <f t="shared" si="90"/>
        <v>Procurement of  Main Gear unit assembly of electrical Actuators in 2x500MW BTPS</v>
      </c>
      <c r="C614" s="1442">
        <f t="shared" si="90"/>
        <v>0</v>
      </c>
      <c r="D614" s="1443" t="str">
        <f t="shared" si="90"/>
        <v>-</v>
      </c>
      <c r="E614" s="1444">
        <f t="shared" si="90"/>
        <v>0</v>
      </c>
      <c r="F614" s="1444">
        <f t="shared" si="85"/>
        <v>0</v>
      </c>
      <c r="G614" s="1444">
        <f t="shared" si="86"/>
        <v>0</v>
      </c>
      <c r="H614" s="1444">
        <f t="shared" si="87"/>
        <v>0</v>
      </c>
      <c r="I614" s="1444">
        <v>0</v>
      </c>
      <c r="J614" s="1444">
        <v>0</v>
      </c>
      <c r="K614" s="1444"/>
      <c r="L614" s="1444"/>
      <c r="M614" s="1444">
        <f t="shared" si="89"/>
        <v>0</v>
      </c>
      <c r="N614" s="1444">
        <f t="shared" si="88"/>
        <v>0</v>
      </c>
    </row>
    <row r="615" spans="1:14" ht="31" outlineLevel="1">
      <c r="A615" s="1455">
        <f t="shared" si="90"/>
        <v>1.6</v>
      </c>
      <c r="B615" s="1455" t="str">
        <f t="shared" si="90"/>
        <v>Supply, erection, commissioning &amp; site testing of 360V, 750 AH Station UPS Battery Sets  along with accessories for Unit No.5 at BTPS 2x500MW.</v>
      </c>
      <c r="C615" s="1475">
        <f t="shared" si="90"/>
        <v>0</v>
      </c>
      <c r="D615" s="1473" t="str">
        <f t="shared" si="90"/>
        <v>-</v>
      </c>
      <c r="E615" s="1476">
        <f t="shared" si="90"/>
        <v>0</v>
      </c>
      <c r="F615" s="1444">
        <f t="shared" si="85"/>
        <v>0</v>
      </c>
      <c r="G615" s="1444">
        <f t="shared" si="86"/>
        <v>0</v>
      </c>
      <c r="H615" s="1476">
        <f t="shared" si="87"/>
        <v>0</v>
      </c>
      <c r="I615" s="1444">
        <v>0</v>
      </c>
      <c r="J615" s="1444">
        <v>0</v>
      </c>
      <c r="K615" s="1476"/>
      <c r="L615" s="1476"/>
      <c r="M615" s="1476">
        <f t="shared" si="89"/>
        <v>0</v>
      </c>
      <c r="N615" s="1476">
        <f t="shared" si="88"/>
        <v>0</v>
      </c>
    </row>
    <row r="616" spans="1:14" ht="15.5" outlineLevel="1">
      <c r="A616" s="1455">
        <f t="shared" si="90"/>
        <v>1.7</v>
      </c>
      <c r="B616" s="1455" t="str">
        <f t="shared" si="90"/>
        <v xml:space="preserve">Upgradation of EWLI system  at Bhusawal TPS 2x500W </v>
      </c>
      <c r="C616" s="1442">
        <f t="shared" si="90"/>
        <v>0</v>
      </c>
      <c r="D616" s="1443" t="str">
        <f t="shared" si="90"/>
        <v>-</v>
      </c>
      <c r="E616" s="1444">
        <f t="shared" si="90"/>
        <v>0</v>
      </c>
      <c r="F616" s="1444">
        <f t="shared" si="85"/>
        <v>0</v>
      </c>
      <c r="G616" s="1444">
        <f t="shared" si="86"/>
        <v>0</v>
      </c>
      <c r="H616" s="1444">
        <f t="shared" si="87"/>
        <v>0</v>
      </c>
      <c r="I616" s="1444">
        <v>0</v>
      </c>
      <c r="J616" s="1444">
        <v>0</v>
      </c>
      <c r="K616" s="1444"/>
      <c r="L616" s="1444"/>
      <c r="M616" s="1444">
        <f t="shared" si="89"/>
        <v>0</v>
      </c>
      <c r="N616" s="1444">
        <f t="shared" si="88"/>
        <v>0</v>
      </c>
    </row>
    <row r="617" spans="1:14" ht="46.5" outlineLevel="1">
      <c r="A617" s="1458">
        <f t="shared" si="90"/>
        <v>2</v>
      </c>
      <c r="B617" s="1459" t="str">
        <f t="shared" si="90"/>
        <v>Performance improvement of Bottom ash evacualtion system to reduce auxillary power consumption, water consumption &amp; environmental pollution at 2X500MW, Bhusawal TPS</v>
      </c>
      <c r="C617" s="1475">
        <f t="shared" si="90"/>
        <v>0</v>
      </c>
      <c r="D617" s="1473" t="str">
        <f t="shared" si="90"/>
        <v>-</v>
      </c>
      <c r="E617" s="1476">
        <f t="shared" si="90"/>
        <v>0</v>
      </c>
      <c r="F617" s="1444">
        <f t="shared" si="85"/>
        <v>0</v>
      </c>
      <c r="G617" s="1444">
        <f t="shared" si="86"/>
        <v>0</v>
      </c>
      <c r="H617" s="1476">
        <f t="shared" si="87"/>
        <v>0</v>
      </c>
      <c r="I617" s="1444">
        <v>0</v>
      </c>
      <c r="J617" s="1444">
        <v>0</v>
      </c>
      <c r="K617" s="1476"/>
      <c r="L617" s="1476"/>
      <c r="M617" s="1476">
        <f t="shared" si="89"/>
        <v>0</v>
      </c>
      <c r="N617" s="1476">
        <f t="shared" si="88"/>
        <v>0</v>
      </c>
    </row>
    <row r="618" spans="1:14" ht="31" outlineLevel="1">
      <c r="A618" s="1455">
        <f t="shared" si="90"/>
        <v>2.1</v>
      </c>
      <c r="B618" s="1455" t="str">
        <f t="shared" si="90"/>
        <v>Modification of latest design AR 200/550 Ash slurry pump assembly including auxillaries at AHP, 2x500MW, BTPS.</v>
      </c>
      <c r="C618" s="1442">
        <f t="shared" si="90"/>
        <v>0</v>
      </c>
      <c r="D618" s="1443" t="str">
        <f t="shared" si="90"/>
        <v>-</v>
      </c>
      <c r="E618" s="1444">
        <f t="shared" si="90"/>
        <v>0</v>
      </c>
      <c r="F618" s="1444">
        <f t="shared" si="85"/>
        <v>0</v>
      </c>
      <c r="G618" s="1444">
        <f t="shared" si="86"/>
        <v>0</v>
      </c>
      <c r="H618" s="1444">
        <f t="shared" si="87"/>
        <v>0</v>
      </c>
      <c r="I618" s="1444">
        <v>0</v>
      </c>
      <c r="J618" s="1444">
        <v>0</v>
      </c>
      <c r="K618" s="1444"/>
      <c r="L618" s="1444"/>
      <c r="M618" s="1444">
        <f t="shared" si="89"/>
        <v>0</v>
      </c>
      <c r="N618" s="1444">
        <f t="shared" si="88"/>
        <v>0</v>
      </c>
    </row>
    <row r="619" spans="1:14" ht="31" outlineLevel="1">
      <c r="A619" s="1455">
        <f t="shared" si="90"/>
        <v>2.2000000000000002</v>
      </c>
      <c r="B619" s="1455" t="str">
        <f t="shared" si="90"/>
        <v>Modification of single roll reversible clinker grinder system at AHP, 2x500MW, BTPS</v>
      </c>
      <c r="C619" s="1475">
        <f t="shared" si="90"/>
        <v>0</v>
      </c>
      <c r="D619" s="1473" t="str">
        <f t="shared" si="90"/>
        <v>-</v>
      </c>
      <c r="E619" s="1476">
        <f t="shared" si="90"/>
        <v>0</v>
      </c>
      <c r="F619" s="1444">
        <f t="shared" si="85"/>
        <v>0</v>
      </c>
      <c r="G619" s="1444">
        <f t="shared" si="86"/>
        <v>0</v>
      </c>
      <c r="H619" s="1476">
        <f t="shared" si="87"/>
        <v>0</v>
      </c>
      <c r="I619" s="1444">
        <v>0</v>
      </c>
      <c r="J619" s="1444">
        <v>0</v>
      </c>
      <c r="K619" s="1476"/>
      <c r="L619" s="1476"/>
      <c r="M619" s="1476">
        <f t="shared" si="89"/>
        <v>0</v>
      </c>
      <c r="N619" s="1476">
        <f t="shared" si="88"/>
        <v>0</v>
      </c>
    </row>
    <row r="620" spans="1:14" ht="31" outlineLevel="1">
      <c r="A620" s="1455">
        <f t="shared" si="90"/>
        <v>2.2999999999999998</v>
      </c>
      <c r="B620" s="1455" t="str">
        <f t="shared" si="90"/>
        <v>Modification of bottom ash &amp; coarse ash slurry pipe line disposal system at AHP 2X500 MW BTPS</v>
      </c>
      <c r="C620" s="1475">
        <f t="shared" si="90"/>
        <v>0</v>
      </c>
      <c r="D620" s="1473" t="str">
        <f t="shared" si="90"/>
        <v>-</v>
      </c>
      <c r="E620" s="1476">
        <f t="shared" si="90"/>
        <v>0</v>
      </c>
      <c r="F620" s="1444">
        <f t="shared" si="85"/>
        <v>0</v>
      </c>
      <c r="G620" s="1444">
        <f t="shared" si="86"/>
        <v>0</v>
      </c>
      <c r="H620" s="1476">
        <f t="shared" si="87"/>
        <v>0</v>
      </c>
      <c r="I620" s="1444">
        <v>0</v>
      </c>
      <c r="J620" s="1444">
        <v>0</v>
      </c>
      <c r="K620" s="1476"/>
      <c r="L620" s="1476"/>
      <c r="M620" s="1476">
        <f t="shared" si="89"/>
        <v>0</v>
      </c>
      <c r="N620" s="1476">
        <f t="shared" si="88"/>
        <v>0</v>
      </c>
    </row>
    <row r="621" spans="1:14" ht="15.5" outlineLevel="1">
      <c r="A621" s="1458">
        <f t="shared" si="90"/>
        <v>3</v>
      </c>
      <c r="B621" s="1459" t="str">
        <f t="shared" si="90"/>
        <v>Boiler Reliability &amp; Availability improvement at 2x500MW, Bhusawal TPS.</v>
      </c>
      <c r="C621" s="1442">
        <f t="shared" si="90"/>
        <v>0</v>
      </c>
      <c r="D621" s="1443" t="str">
        <f t="shared" si="90"/>
        <v>-</v>
      </c>
      <c r="E621" s="1444">
        <f t="shared" si="90"/>
        <v>0</v>
      </c>
      <c r="F621" s="1444">
        <f t="shared" si="85"/>
        <v>0</v>
      </c>
      <c r="G621" s="1444">
        <f t="shared" si="86"/>
        <v>0</v>
      </c>
      <c r="H621" s="1444">
        <f t="shared" si="87"/>
        <v>0</v>
      </c>
      <c r="I621" s="1444">
        <v>0</v>
      </c>
      <c r="J621" s="1444">
        <v>0</v>
      </c>
      <c r="K621" s="1444"/>
      <c r="L621" s="1444"/>
      <c r="M621" s="1444">
        <f t="shared" si="89"/>
        <v>0</v>
      </c>
      <c r="N621" s="1444">
        <f t="shared" si="88"/>
        <v>0</v>
      </c>
    </row>
    <row r="622" spans="1:14" ht="15.5" outlineLevel="1">
      <c r="A622" s="1455">
        <f t="shared" si="90"/>
        <v>3.1</v>
      </c>
      <c r="B622" s="1455" t="str">
        <f t="shared" si="90"/>
        <v>Procurement of Boiler Coils (CRH &amp;HRH) at 2x500MW BTPS.</v>
      </c>
      <c r="C622" s="1475">
        <f t="shared" si="90"/>
        <v>0</v>
      </c>
      <c r="D622" s="1473" t="str">
        <f t="shared" si="90"/>
        <v>-</v>
      </c>
      <c r="E622" s="1476">
        <f t="shared" si="90"/>
        <v>0</v>
      </c>
      <c r="F622" s="1444">
        <f t="shared" si="85"/>
        <v>0</v>
      </c>
      <c r="G622" s="1444">
        <f t="shared" si="86"/>
        <v>0</v>
      </c>
      <c r="H622" s="1476">
        <f t="shared" si="87"/>
        <v>0</v>
      </c>
      <c r="I622" s="1444">
        <v>0</v>
      </c>
      <c r="J622" s="1444">
        <v>0</v>
      </c>
      <c r="K622" s="1476"/>
      <c r="L622" s="1476"/>
      <c r="M622" s="1476">
        <f t="shared" si="89"/>
        <v>0</v>
      </c>
      <c r="N622" s="1476">
        <f t="shared" si="88"/>
        <v>0</v>
      </c>
    </row>
    <row r="623" spans="1:14" ht="15.5" outlineLevel="1">
      <c r="A623" s="1455">
        <f t="shared" si="90"/>
        <v>3.2</v>
      </c>
      <c r="B623" s="1455" t="str">
        <f t="shared" si="90"/>
        <v>Procurement of ID fan impeller with shaft at 2x500 MW BTPS.</v>
      </c>
      <c r="C623" s="1475">
        <f t="shared" si="90"/>
        <v>0</v>
      </c>
      <c r="D623" s="1473" t="str">
        <f t="shared" si="90"/>
        <v>-</v>
      </c>
      <c r="E623" s="1476">
        <f t="shared" si="90"/>
        <v>0</v>
      </c>
      <c r="F623" s="1444">
        <f t="shared" si="85"/>
        <v>0</v>
      </c>
      <c r="G623" s="1444">
        <f t="shared" si="86"/>
        <v>0</v>
      </c>
      <c r="H623" s="1476">
        <f t="shared" si="87"/>
        <v>0</v>
      </c>
      <c r="I623" s="1444">
        <v>0</v>
      </c>
      <c r="J623" s="1444">
        <v>0</v>
      </c>
      <c r="K623" s="1476"/>
      <c r="L623" s="1476"/>
      <c r="M623" s="1476">
        <f t="shared" si="89"/>
        <v>0</v>
      </c>
      <c r="N623" s="1476">
        <f t="shared" si="88"/>
        <v>0</v>
      </c>
    </row>
    <row r="624" spans="1:14" ht="31" outlineLevel="1">
      <c r="A624" s="1455">
        <f t="shared" si="90"/>
        <v>3.3</v>
      </c>
      <c r="B624" s="1455" t="str">
        <f t="shared" si="90"/>
        <v>Procurement SH,RH,MS outlet valves with actuator and motor at 2x500 MW BTPS.</v>
      </c>
      <c r="C624" s="1442">
        <f t="shared" si="90"/>
        <v>0</v>
      </c>
      <c r="D624" s="1443" t="str">
        <f t="shared" si="90"/>
        <v>-</v>
      </c>
      <c r="E624" s="1444">
        <f t="shared" si="90"/>
        <v>0</v>
      </c>
      <c r="F624" s="1444">
        <f t="shared" si="85"/>
        <v>0</v>
      </c>
      <c r="G624" s="1444">
        <f t="shared" si="86"/>
        <v>0</v>
      </c>
      <c r="H624" s="1444">
        <f t="shared" si="87"/>
        <v>0</v>
      </c>
      <c r="I624" s="1444">
        <v>0</v>
      </c>
      <c r="J624" s="1444">
        <v>0</v>
      </c>
      <c r="K624" s="1444"/>
      <c r="L624" s="1444"/>
      <c r="M624" s="1444">
        <f t="shared" si="89"/>
        <v>0</v>
      </c>
      <c r="N624" s="1444">
        <f t="shared" si="88"/>
        <v>0</v>
      </c>
    </row>
    <row r="625" spans="1:14" ht="15.5" outlineLevel="1">
      <c r="A625" s="1458">
        <f t="shared" si="90"/>
        <v>4</v>
      </c>
      <c r="B625" s="1459" t="str">
        <f t="shared" si="90"/>
        <v>CHP Infrastructure Development Schemes</v>
      </c>
      <c r="C625" s="1475">
        <f t="shared" si="90"/>
        <v>0</v>
      </c>
      <c r="D625" s="1473" t="str">
        <f t="shared" si="90"/>
        <v>-</v>
      </c>
      <c r="E625" s="1476">
        <f t="shared" si="90"/>
        <v>0</v>
      </c>
      <c r="F625" s="1444">
        <f t="shared" si="85"/>
        <v>0</v>
      </c>
      <c r="G625" s="1444">
        <f t="shared" si="86"/>
        <v>0</v>
      </c>
      <c r="H625" s="1476">
        <f t="shared" si="87"/>
        <v>0</v>
      </c>
      <c r="I625" s="1444">
        <v>0</v>
      </c>
      <c r="J625" s="1444">
        <v>0</v>
      </c>
      <c r="K625" s="1476"/>
      <c r="L625" s="1476"/>
      <c r="M625" s="1476">
        <f t="shared" si="89"/>
        <v>0</v>
      </c>
      <c r="N625" s="1476">
        <f t="shared" si="88"/>
        <v>0</v>
      </c>
    </row>
    <row r="626" spans="1:14" ht="31" outlineLevel="1">
      <c r="A626" s="1455">
        <f t="shared" si="90"/>
        <v>4.0999999999999996</v>
      </c>
      <c r="B626" s="1455" t="str">
        <f t="shared" si="90"/>
        <v>Supply, installation and commissioning PLC system on a single platform to match with external aspect &amp; process improvement at CHP 2x500MW BTPS.</v>
      </c>
      <c r="C626" s="1475">
        <f t="shared" si="90"/>
        <v>0</v>
      </c>
      <c r="D626" s="1473" t="str">
        <f t="shared" si="90"/>
        <v>-</v>
      </c>
      <c r="E626" s="1476">
        <f t="shared" si="90"/>
        <v>0</v>
      </c>
      <c r="F626" s="1444">
        <f t="shared" si="85"/>
        <v>0</v>
      </c>
      <c r="G626" s="1444">
        <f t="shared" si="86"/>
        <v>0</v>
      </c>
      <c r="H626" s="1476">
        <f t="shared" si="87"/>
        <v>0</v>
      </c>
      <c r="I626" s="1444">
        <v>0</v>
      </c>
      <c r="J626" s="1444">
        <v>0</v>
      </c>
      <c r="K626" s="1476"/>
      <c r="L626" s="1476"/>
      <c r="M626" s="1476">
        <f t="shared" si="89"/>
        <v>0</v>
      </c>
      <c r="N626" s="1476">
        <f t="shared" si="88"/>
        <v>0</v>
      </c>
    </row>
    <row r="627" spans="1:14" ht="31" outlineLevel="1">
      <c r="A627" s="1455">
        <f t="shared" si="90"/>
        <v>4.2</v>
      </c>
      <c r="B627" s="1455" t="str">
        <f t="shared" si="90"/>
        <v>Supply, installation, retrofitting and commissioning of HT breaker at HT Switchgear in CHP 2x500MW BTPS</v>
      </c>
      <c r="C627" s="1475">
        <f t="shared" si="90"/>
        <v>0</v>
      </c>
      <c r="D627" s="1473" t="str">
        <f t="shared" si="90"/>
        <v>-</v>
      </c>
      <c r="E627" s="1476">
        <f t="shared" si="90"/>
        <v>0</v>
      </c>
      <c r="F627" s="1444">
        <f t="shared" si="85"/>
        <v>0</v>
      </c>
      <c r="G627" s="1444">
        <f t="shared" si="86"/>
        <v>0</v>
      </c>
      <c r="H627" s="1476">
        <f t="shared" si="87"/>
        <v>0</v>
      </c>
      <c r="I627" s="1444">
        <v>0</v>
      </c>
      <c r="J627" s="1444">
        <v>0</v>
      </c>
      <c r="K627" s="1476"/>
      <c r="L627" s="1476"/>
      <c r="M627" s="1476">
        <f t="shared" si="89"/>
        <v>0</v>
      </c>
      <c r="N627" s="1476">
        <f t="shared" si="88"/>
        <v>0</v>
      </c>
    </row>
    <row r="628" spans="1:14" ht="31" outlineLevel="1">
      <c r="A628" s="1455">
        <f t="shared" si="90"/>
        <v>4.3</v>
      </c>
      <c r="B628" s="1455" t="str">
        <f t="shared" si="90"/>
        <v>Supply, installation, retrofitting and commissioning of LT breaker at LT Switchgear in CHP 2x500MW BTPS.</v>
      </c>
      <c r="C628" s="1475">
        <f t="shared" si="90"/>
        <v>0</v>
      </c>
      <c r="D628" s="1473" t="str">
        <f t="shared" si="90"/>
        <v>-</v>
      </c>
      <c r="E628" s="1476">
        <f t="shared" si="90"/>
        <v>0</v>
      </c>
      <c r="F628" s="1444">
        <f t="shared" si="85"/>
        <v>0</v>
      </c>
      <c r="G628" s="1444">
        <f t="shared" si="86"/>
        <v>0</v>
      </c>
      <c r="H628" s="1476">
        <f t="shared" si="87"/>
        <v>0</v>
      </c>
      <c r="I628" s="1444">
        <v>0</v>
      </c>
      <c r="J628" s="1444">
        <v>0</v>
      </c>
      <c r="K628" s="1476"/>
      <c r="L628" s="1476"/>
      <c r="M628" s="1476">
        <f t="shared" si="89"/>
        <v>0</v>
      </c>
      <c r="N628" s="1476">
        <f t="shared" si="88"/>
        <v>0</v>
      </c>
    </row>
    <row r="629" spans="1:14" ht="31" outlineLevel="1">
      <c r="A629" s="1455">
        <f t="shared" si="90"/>
        <v>4.4000000000000004</v>
      </c>
      <c r="B629" s="1455" t="str">
        <f t="shared" si="90"/>
        <v>Supply, Installation &amp; Commissioning of  Magnetic Separators at CHP 2x 500MW BTPS Deepnagar</v>
      </c>
      <c r="C629" s="1475">
        <f t="shared" si="90"/>
        <v>0</v>
      </c>
      <c r="D629" s="1473" t="str">
        <f t="shared" si="90"/>
        <v>-</v>
      </c>
      <c r="E629" s="1476">
        <f t="shared" si="90"/>
        <v>0</v>
      </c>
      <c r="F629" s="1444">
        <f t="shared" si="85"/>
        <v>0</v>
      </c>
      <c r="G629" s="1444">
        <f t="shared" si="86"/>
        <v>0</v>
      </c>
      <c r="H629" s="1476">
        <f t="shared" si="87"/>
        <v>0</v>
      </c>
      <c r="I629" s="1444">
        <v>0</v>
      </c>
      <c r="J629" s="1444">
        <v>0</v>
      </c>
      <c r="K629" s="1476"/>
      <c r="L629" s="1476"/>
      <c r="M629" s="1476">
        <f t="shared" si="89"/>
        <v>0</v>
      </c>
      <c r="N629" s="1476">
        <f t="shared" si="88"/>
        <v>0</v>
      </c>
    </row>
    <row r="630" spans="1:14" ht="31" outlineLevel="1">
      <c r="A630" s="1455">
        <f t="shared" ref="A630:E645" si="91">A400</f>
        <v>4.5</v>
      </c>
      <c r="B630" s="1455" t="str">
        <f t="shared" si="91"/>
        <v>Supply, Installation &amp; Commissioning Flameproof lighting at CHP 2x 500MW BTPS Deepnagar</v>
      </c>
      <c r="C630" s="1475">
        <f t="shared" si="91"/>
        <v>0</v>
      </c>
      <c r="D630" s="1473" t="str">
        <f t="shared" si="91"/>
        <v>-</v>
      </c>
      <c r="E630" s="1476">
        <f t="shared" si="91"/>
        <v>0</v>
      </c>
      <c r="F630" s="1444">
        <f t="shared" si="85"/>
        <v>0</v>
      </c>
      <c r="G630" s="1444">
        <f t="shared" si="86"/>
        <v>0</v>
      </c>
      <c r="H630" s="1476">
        <f t="shared" si="87"/>
        <v>0</v>
      </c>
      <c r="I630" s="1444">
        <v>0</v>
      </c>
      <c r="J630" s="1444">
        <v>0</v>
      </c>
      <c r="K630" s="1476"/>
      <c r="L630" s="1476"/>
      <c r="M630" s="1476">
        <f t="shared" si="89"/>
        <v>0</v>
      </c>
      <c r="N630" s="1476">
        <f t="shared" si="88"/>
        <v>0</v>
      </c>
    </row>
    <row r="631" spans="1:14" ht="15.5" outlineLevel="1">
      <c r="A631" s="1455">
        <f t="shared" si="91"/>
        <v>4.5999999999999996</v>
      </c>
      <c r="B631" s="1455" t="str">
        <f t="shared" si="91"/>
        <v>Supply, Installation &amp; upgradation of HT /LT relay at CHP BTPS.</v>
      </c>
      <c r="C631" s="1475">
        <f t="shared" si="91"/>
        <v>0</v>
      </c>
      <c r="D631" s="1473" t="str">
        <f t="shared" si="91"/>
        <v>-</v>
      </c>
      <c r="E631" s="1476">
        <f t="shared" si="91"/>
        <v>0</v>
      </c>
      <c r="F631" s="1444">
        <f t="shared" si="85"/>
        <v>0</v>
      </c>
      <c r="G631" s="1444">
        <f t="shared" si="86"/>
        <v>0</v>
      </c>
      <c r="H631" s="1476">
        <f t="shared" si="87"/>
        <v>0</v>
      </c>
      <c r="I631" s="1444">
        <v>0</v>
      </c>
      <c r="J631" s="1444">
        <v>0</v>
      </c>
      <c r="K631" s="1476"/>
      <c r="L631" s="1476"/>
      <c r="M631" s="1476">
        <f t="shared" si="89"/>
        <v>0</v>
      </c>
      <c r="N631" s="1476">
        <f t="shared" si="88"/>
        <v>0</v>
      </c>
    </row>
    <row r="632" spans="1:14" ht="15.5" outlineLevel="1">
      <c r="A632" s="1458">
        <f t="shared" si="91"/>
        <v>5</v>
      </c>
      <c r="B632" s="1459" t="str">
        <f t="shared" si="91"/>
        <v>Detail  Project report of improvement of Unloading in Coal handling Plant BTPS.</v>
      </c>
      <c r="C632" s="1475">
        <f t="shared" si="91"/>
        <v>0</v>
      </c>
      <c r="D632" s="1473" t="str">
        <f t="shared" si="91"/>
        <v>-</v>
      </c>
      <c r="E632" s="1476">
        <f t="shared" si="91"/>
        <v>0</v>
      </c>
      <c r="F632" s="1444">
        <f t="shared" si="85"/>
        <v>0</v>
      </c>
      <c r="G632" s="1444">
        <f t="shared" si="86"/>
        <v>0</v>
      </c>
      <c r="H632" s="1476">
        <f t="shared" si="87"/>
        <v>0</v>
      </c>
      <c r="I632" s="1444">
        <v>0</v>
      </c>
      <c r="J632" s="1444">
        <v>0</v>
      </c>
      <c r="K632" s="1476"/>
      <c r="L632" s="1476"/>
      <c r="M632" s="1476">
        <f t="shared" si="89"/>
        <v>0</v>
      </c>
      <c r="N632" s="1476">
        <f t="shared" si="88"/>
        <v>0</v>
      </c>
    </row>
    <row r="633" spans="1:14" ht="15.5" outlineLevel="1">
      <c r="A633" s="1455">
        <f t="shared" si="91"/>
        <v>5.0999999999999996</v>
      </c>
      <c r="B633" s="1455" t="str">
        <f t="shared" si="91"/>
        <v>Procurement of 04 no of locomotives for Coal handling Plant BTPS.</v>
      </c>
      <c r="C633" s="1475">
        <f t="shared" si="91"/>
        <v>0</v>
      </c>
      <c r="D633" s="1473" t="str">
        <f t="shared" si="91"/>
        <v>-</v>
      </c>
      <c r="E633" s="1476">
        <f t="shared" si="91"/>
        <v>0</v>
      </c>
      <c r="F633" s="1444">
        <f t="shared" si="85"/>
        <v>0</v>
      </c>
      <c r="G633" s="1444">
        <f t="shared" si="86"/>
        <v>0</v>
      </c>
      <c r="H633" s="1476">
        <f t="shared" si="87"/>
        <v>0</v>
      </c>
      <c r="I633" s="1444">
        <v>0</v>
      </c>
      <c r="J633" s="1444">
        <v>0</v>
      </c>
      <c r="K633" s="1476"/>
      <c r="L633" s="1476"/>
      <c r="M633" s="1476">
        <f t="shared" si="89"/>
        <v>0</v>
      </c>
      <c r="N633" s="1476">
        <f t="shared" si="88"/>
        <v>0</v>
      </c>
    </row>
    <row r="634" spans="1:14" ht="31" outlineLevel="1">
      <c r="A634" s="1455">
        <f t="shared" si="91"/>
        <v>5.2</v>
      </c>
      <c r="B634" s="1455" t="str">
        <f t="shared" si="91"/>
        <v>Design Supply Erection and Comission of Hour glass shape Coal diverting chutes with extra life wear resistant plates in CHP, BTPS.</v>
      </c>
      <c r="C634" s="1475">
        <f t="shared" si="91"/>
        <v>0</v>
      </c>
      <c r="D634" s="1473" t="str">
        <f t="shared" si="91"/>
        <v>-</v>
      </c>
      <c r="E634" s="1476">
        <f t="shared" si="91"/>
        <v>0</v>
      </c>
      <c r="F634" s="1444">
        <f t="shared" si="85"/>
        <v>0</v>
      </c>
      <c r="G634" s="1444">
        <f t="shared" si="86"/>
        <v>0</v>
      </c>
      <c r="H634" s="1476">
        <f t="shared" si="87"/>
        <v>0</v>
      </c>
      <c r="I634" s="1444">
        <v>0</v>
      </c>
      <c r="J634" s="1444">
        <v>0</v>
      </c>
      <c r="K634" s="1476"/>
      <c r="L634" s="1476"/>
      <c r="M634" s="1476">
        <f t="shared" si="89"/>
        <v>0</v>
      </c>
      <c r="N634" s="1476">
        <f t="shared" si="88"/>
        <v>0</v>
      </c>
    </row>
    <row r="635" spans="1:14" ht="31" outlineLevel="1">
      <c r="A635" s="1455">
        <f t="shared" si="91"/>
        <v>5.3</v>
      </c>
      <c r="B635" s="1455" t="str">
        <f t="shared" si="91"/>
        <v>Design Supply Erection and Comission of Inverted Y Shape  Coal diverting chutes with extra life wear resistant plates in CHP, BTPS.</v>
      </c>
      <c r="C635" s="1475">
        <f t="shared" si="91"/>
        <v>0</v>
      </c>
      <c r="D635" s="1473" t="str">
        <f t="shared" si="91"/>
        <v>-</v>
      </c>
      <c r="E635" s="1476">
        <f t="shared" si="91"/>
        <v>0</v>
      </c>
      <c r="F635" s="1444">
        <f t="shared" si="85"/>
        <v>0</v>
      </c>
      <c r="G635" s="1444">
        <f t="shared" si="86"/>
        <v>0</v>
      </c>
      <c r="H635" s="1476">
        <f t="shared" si="87"/>
        <v>0</v>
      </c>
      <c r="I635" s="1444">
        <v>0</v>
      </c>
      <c r="J635" s="1444">
        <v>0</v>
      </c>
      <c r="K635" s="1476"/>
      <c r="L635" s="1476"/>
      <c r="M635" s="1476">
        <f t="shared" si="89"/>
        <v>0</v>
      </c>
      <c r="N635" s="1476">
        <f t="shared" si="88"/>
        <v>0</v>
      </c>
    </row>
    <row r="636" spans="1:14" ht="31" outlineLevel="1">
      <c r="A636" s="1455">
        <f t="shared" si="91"/>
        <v>5.4</v>
      </c>
      <c r="B636" s="1455" t="str">
        <f t="shared" si="91"/>
        <v>Design Supply Erection and Comission of coal diverting chutes with extra life wear resistant plates in CHP BTPS.</v>
      </c>
      <c r="C636" s="1475">
        <f t="shared" si="91"/>
        <v>0</v>
      </c>
      <c r="D636" s="1473" t="str">
        <f t="shared" si="91"/>
        <v>-</v>
      </c>
      <c r="E636" s="1476">
        <f t="shared" si="91"/>
        <v>0</v>
      </c>
      <c r="F636" s="1444">
        <f t="shared" si="85"/>
        <v>0</v>
      </c>
      <c r="G636" s="1444">
        <f t="shared" si="86"/>
        <v>0</v>
      </c>
      <c r="H636" s="1476">
        <f t="shared" si="87"/>
        <v>0</v>
      </c>
      <c r="I636" s="1444">
        <v>0</v>
      </c>
      <c r="J636" s="1444">
        <v>0</v>
      </c>
      <c r="K636" s="1476"/>
      <c r="L636" s="1476"/>
      <c r="M636" s="1476">
        <f t="shared" si="89"/>
        <v>0</v>
      </c>
      <c r="N636" s="1476">
        <f t="shared" si="88"/>
        <v>0</v>
      </c>
    </row>
    <row r="637" spans="1:14" ht="31" outlineLevel="1">
      <c r="A637" s="1455">
        <f t="shared" si="91"/>
        <v>5.5</v>
      </c>
      <c r="B637" s="1455" t="str">
        <f t="shared" si="91"/>
        <v>Work of Revamping and structural up-gradation of conveyor 104A&amp;B in Coal Handling Plant-BTPS.</v>
      </c>
      <c r="C637" s="1475">
        <f t="shared" si="91"/>
        <v>0</v>
      </c>
      <c r="D637" s="1473" t="str">
        <f t="shared" si="91"/>
        <v>-</v>
      </c>
      <c r="E637" s="1476">
        <f t="shared" si="91"/>
        <v>0</v>
      </c>
      <c r="F637" s="1444">
        <f t="shared" si="85"/>
        <v>0</v>
      </c>
      <c r="G637" s="1444">
        <f t="shared" si="86"/>
        <v>0</v>
      </c>
      <c r="H637" s="1476">
        <f t="shared" si="87"/>
        <v>0</v>
      </c>
      <c r="I637" s="1444">
        <v>0</v>
      </c>
      <c r="J637" s="1444">
        <v>0</v>
      </c>
      <c r="K637" s="1476"/>
      <c r="L637" s="1476"/>
      <c r="M637" s="1476">
        <f t="shared" si="89"/>
        <v>0</v>
      </c>
      <c r="N637" s="1476">
        <f t="shared" si="88"/>
        <v>0</v>
      </c>
    </row>
    <row r="638" spans="1:14" ht="31" outlineLevel="1">
      <c r="A638" s="1458">
        <f t="shared" si="91"/>
        <v>6</v>
      </c>
      <c r="B638" s="1459" t="str">
        <f t="shared" si="91"/>
        <v>Supply and Installation of  reliability improvement schemes for HT/LT switchgears and auxilliaries at BTPS 2x500MW.</v>
      </c>
      <c r="C638" s="1475">
        <f t="shared" si="91"/>
        <v>0</v>
      </c>
      <c r="D638" s="1473" t="str">
        <f t="shared" si="91"/>
        <v>-</v>
      </c>
      <c r="E638" s="1476">
        <f t="shared" si="91"/>
        <v>0</v>
      </c>
      <c r="F638" s="1444">
        <f t="shared" si="85"/>
        <v>0</v>
      </c>
      <c r="G638" s="1444">
        <f t="shared" si="86"/>
        <v>0</v>
      </c>
      <c r="H638" s="1476">
        <f t="shared" si="87"/>
        <v>0</v>
      </c>
      <c r="I638" s="1444">
        <v>0</v>
      </c>
      <c r="J638" s="1444">
        <v>0</v>
      </c>
      <c r="K638" s="1476"/>
      <c r="L638" s="1476"/>
      <c r="M638" s="1476">
        <f t="shared" si="89"/>
        <v>0</v>
      </c>
      <c r="N638" s="1476">
        <f t="shared" si="88"/>
        <v>0</v>
      </c>
    </row>
    <row r="639" spans="1:14" ht="15.5" outlineLevel="1">
      <c r="A639" s="1455">
        <f t="shared" si="91"/>
        <v>6.1</v>
      </c>
      <c r="B639" s="1455" t="str">
        <f t="shared" si="91"/>
        <v>Procurement of HT Motors of various ratings at 2x500MW.</v>
      </c>
      <c r="C639" s="1475">
        <f t="shared" si="91"/>
        <v>0</v>
      </c>
      <c r="D639" s="1473" t="str">
        <f t="shared" si="91"/>
        <v>-</v>
      </c>
      <c r="E639" s="1476">
        <f t="shared" si="91"/>
        <v>0</v>
      </c>
      <c r="F639" s="1444">
        <f t="shared" si="85"/>
        <v>0</v>
      </c>
      <c r="G639" s="1444">
        <f t="shared" si="86"/>
        <v>0</v>
      </c>
      <c r="H639" s="1476">
        <f t="shared" si="87"/>
        <v>0</v>
      </c>
      <c r="I639" s="1444">
        <v>0</v>
      </c>
      <c r="J639" s="1444">
        <v>0</v>
      </c>
      <c r="K639" s="1476"/>
      <c r="L639" s="1476"/>
      <c r="M639" s="1476">
        <f t="shared" si="89"/>
        <v>0</v>
      </c>
      <c r="N639" s="1476">
        <f t="shared" si="88"/>
        <v>0</v>
      </c>
    </row>
    <row r="640" spans="1:14" ht="15.5" outlineLevel="1">
      <c r="A640" s="1455">
        <f t="shared" si="91"/>
        <v>6.2</v>
      </c>
      <c r="B640" s="1455" t="str">
        <f t="shared" si="91"/>
        <v>Procurement of Dry type transformers of varoius ratings at 2x500MW.</v>
      </c>
      <c r="C640" s="1475">
        <f t="shared" si="91"/>
        <v>0</v>
      </c>
      <c r="D640" s="1473" t="str">
        <f t="shared" si="91"/>
        <v>-</v>
      </c>
      <c r="E640" s="1476">
        <f t="shared" si="91"/>
        <v>0</v>
      </c>
      <c r="F640" s="1444">
        <f t="shared" si="85"/>
        <v>0</v>
      </c>
      <c r="G640" s="1444">
        <f t="shared" si="86"/>
        <v>0</v>
      </c>
      <c r="H640" s="1476">
        <f t="shared" si="87"/>
        <v>0</v>
      </c>
      <c r="I640" s="1444">
        <v>0</v>
      </c>
      <c r="J640" s="1444">
        <v>0</v>
      </c>
      <c r="K640" s="1476"/>
      <c r="L640" s="1476"/>
      <c r="M640" s="1476">
        <f t="shared" si="89"/>
        <v>0</v>
      </c>
      <c r="N640" s="1476">
        <f t="shared" si="88"/>
        <v>0</v>
      </c>
    </row>
    <row r="641" spans="1:14" ht="15.5" outlineLevel="1">
      <c r="A641" s="1455">
        <f t="shared" si="91"/>
        <v>6.3</v>
      </c>
      <c r="B641" s="1455" t="str">
        <f t="shared" si="91"/>
        <v>Procurement of Inverter and converter trolleys of GEHO Pump at 2x500MW.</v>
      </c>
      <c r="C641" s="1475">
        <f t="shared" si="91"/>
        <v>0</v>
      </c>
      <c r="D641" s="1473" t="str">
        <f t="shared" si="91"/>
        <v>-</v>
      </c>
      <c r="E641" s="1476">
        <f t="shared" si="91"/>
        <v>0</v>
      </c>
      <c r="F641" s="1444">
        <f t="shared" si="85"/>
        <v>0</v>
      </c>
      <c r="G641" s="1444">
        <f t="shared" si="86"/>
        <v>0</v>
      </c>
      <c r="H641" s="1476">
        <f t="shared" si="87"/>
        <v>0</v>
      </c>
      <c r="I641" s="1444">
        <v>0</v>
      </c>
      <c r="J641" s="1444">
        <v>0</v>
      </c>
      <c r="K641" s="1476"/>
      <c r="L641" s="1476"/>
      <c r="M641" s="1476">
        <f t="shared" si="89"/>
        <v>0</v>
      </c>
      <c r="N641" s="1476">
        <f t="shared" si="88"/>
        <v>0</v>
      </c>
    </row>
    <row r="642" spans="1:14" ht="31" outlineLevel="1">
      <c r="A642" s="1455">
        <f t="shared" si="91"/>
        <v>6.4</v>
      </c>
      <c r="B642" s="1455" t="str">
        <f t="shared" si="91"/>
        <v>Procurement of Vacuum Contactors of various ratings for  HT Switchgears  at BTPS 2x500MW.</v>
      </c>
      <c r="C642" s="1475">
        <f t="shared" si="91"/>
        <v>0</v>
      </c>
      <c r="D642" s="1473" t="str">
        <f t="shared" si="91"/>
        <v>-</v>
      </c>
      <c r="E642" s="1476">
        <f t="shared" si="91"/>
        <v>0</v>
      </c>
      <c r="F642" s="1444">
        <f t="shared" si="85"/>
        <v>0</v>
      </c>
      <c r="G642" s="1444">
        <f t="shared" si="86"/>
        <v>0</v>
      </c>
      <c r="H642" s="1476">
        <f t="shared" si="87"/>
        <v>0</v>
      </c>
      <c r="I642" s="1444">
        <v>0</v>
      </c>
      <c r="J642" s="1444">
        <v>0</v>
      </c>
      <c r="K642" s="1476"/>
      <c r="L642" s="1476"/>
      <c r="M642" s="1476">
        <f t="shared" si="89"/>
        <v>0</v>
      </c>
      <c r="N642" s="1476">
        <f t="shared" si="88"/>
        <v>0</v>
      </c>
    </row>
    <row r="643" spans="1:14" ht="31" outlineLevel="1">
      <c r="A643" s="1455">
        <f t="shared" si="91"/>
        <v>6.5</v>
      </c>
      <c r="B643" s="1455" t="str">
        <f t="shared" si="91"/>
        <v>Supply, erection, commissioning &amp; site testing of 360V, 750 AH Station UPS Battery Sets  along with accessories for Unit No.4 at BTPS 2x500MW’.</v>
      </c>
      <c r="C643" s="1475">
        <f t="shared" si="91"/>
        <v>0</v>
      </c>
      <c r="D643" s="1473" t="str">
        <f t="shared" si="91"/>
        <v>-</v>
      </c>
      <c r="E643" s="1476">
        <f t="shared" si="91"/>
        <v>0</v>
      </c>
      <c r="F643" s="1444">
        <f t="shared" si="85"/>
        <v>0</v>
      </c>
      <c r="G643" s="1444">
        <f t="shared" si="86"/>
        <v>0</v>
      </c>
      <c r="H643" s="1476">
        <f t="shared" si="87"/>
        <v>0</v>
      </c>
      <c r="I643" s="1444">
        <v>0</v>
      </c>
      <c r="J643" s="1444">
        <v>0</v>
      </c>
      <c r="K643" s="1476"/>
      <c r="L643" s="1476"/>
      <c r="M643" s="1476">
        <f t="shared" si="89"/>
        <v>0</v>
      </c>
      <c r="N643" s="1476">
        <f t="shared" si="88"/>
        <v>0</v>
      </c>
    </row>
    <row r="644" spans="1:14" ht="15.5" outlineLevel="1">
      <c r="A644" s="1455">
        <f t="shared" si="91"/>
        <v>6.6</v>
      </c>
      <c r="B644" s="1455" t="str">
        <f t="shared" si="91"/>
        <v>Updragation of Sox-Nox analyzer,PM analyzer, ETP analyzer at BTPS 2X500MW.</v>
      </c>
      <c r="C644" s="1475">
        <f t="shared" si="91"/>
        <v>0</v>
      </c>
      <c r="D644" s="1473" t="str">
        <f t="shared" si="91"/>
        <v>-</v>
      </c>
      <c r="E644" s="1476">
        <f t="shared" si="91"/>
        <v>0</v>
      </c>
      <c r="F644" s="1444">
        <f t="shared" si="85"/>
        <v>0</v>
      </c>
      <c r="G644" s="1444">
        <f t="shared" si="86"/>
        <v>0</v>
      </c>
      <c r="H644" s="1476">
        <f t="shared" si="87"/>
        <v>0</v>
      </c>
      <c r="I644" s="1444">
        <v>0</v>
      </c>
      <c r="J644" s="1444">
        <v>0</v>
      </c>
      <c r="K644" s="1476"/>
      <c r="L644" s="1476"/>
      <c r="M644" s="1476">
        <f t="shared" si="89"/>
        <v>0</v>
      </c>
      <c r="N644" s="1476">
        <f t="shared" si="88"/>
        <v>0</v>
      </c>
    </row>
    <row r="645" spans="1:14" ht="15.5" outlineLevel="1">
      <c r="A645" s="1455">
        <f t="shared" si="91"/>
        <v>6.7</v>
      </c>
      <c r="B645" s="1455" t="str">
        <f t="shared" si="91"/>
        <v>Upgradation of O2 analyzer at BTPS 2X500MW</v>
      </c>
      <c r="C645" s="1475">
        <f t="shared" si="91"/>
        <v>0</v>
      </c>
      <c r="D645" s="1473" t="str">
        <f t="shared" si="91"/>
        <v>-</v>
      </c>
      <c r="E645" s="1476">
        <f t="shared" si="91"/>
        <v>0</v>
      </c>
      <c r="F645" s="1444">
        <f t="shared" si="85"/>
        <v>0</v>
      </c>
      <c r="G645" s="1444">
        <f t="shared" si="86"/>
        <v>0</v>
      </c>
      <c r="H645" s="1476">
        <f t="shared" si="87"/>
        <v>0</v>
      </c>
      <c r="I645" s="1444">
        <v>0</v>
      </c>
      <c r="J645" s="1444">
        <v>0</v>
      </c>
      <c r="K645" s="1476"/>
      <c r="L645" s="1476"/>
      <c r="M645" s="1476">
        <f t="shared" si="89"/>
        <v>0</v>
      </c>
      <c r="N645" s="1476">
        <f t="shared" si="88"/>
        <v>0</v>
      </c>
    </row>
    <row r="646" spans="1:14" ht="31" outlineLevel="1">
      <c r="A646" s="1455">
        <f t="shared" ref="A646:E661" si="92">A416</f>
        <v>6.8</v>
      </c>
      <c r="B646" s="1455" t="str">
        <f t="shared" si="92"/>
        <v>Revamping &amp; Upgradation Of Vibration Monitoring Rack From VM7 TO VM7B at BTPS 2X500MW</v>
      </c>
      <c r="C646" s="1475">
        <f t="shared" si="92"/>
        <v>0</v>
      </c>
      <c r="D646" s="1473" t="str">
        <f t="shared" si="92"/>
        <v>-</v>
      </c>
      <c r="E646" s="1476">
        <f t="shared" si="92"/>
        <v>0</v>
      </c>
      <c r="F646" s="1444">
        <f t="shared" si="85"/>
        <v>0</v>
      </c>
      <c r="G646" s="1444">
        <f t="shared" si="86"/>
        <v>0</v>
      </c>
      <c r="H646" s="1476">
        <f t="shared" si="87"/>
        <v>0</v>
      </c>
      <c r="I646" s="1444">
        <v>0</v>
      </c>
      <c r="J646" s="1444">
        <v>0</v>
      </c>
      <c r="K646" s="1476"/>
      <c r="L646" s="1476"/>
      <c r="M646" s="1476">
        <f t="shared" si="89"/>
        <v>0</v>
      </c>
      <c r="N646" s="1476">
        <f t="shared" si="88"/>
        <v>0</v>
      </c>
    </row>
    <row r="647" spans="1:14" ht="15.5" outlineLevel="1">
      <c r="A647" s="1455">
        <f t="shared" si="92"/>
        <v>6.9</v>
      </c>
      <c r="B647" s="1455" t="str">
        <f t="shared" si="92"/>
        <v>Procurement &amp; Installation of High Mast towers in various location in BTPS</v>
      </c>
      <c r="C647" s="1475">
        <f t="shared" si="92"/>
        <v>0</v>
      </c>
      <c r="D647" s="1473" t="str">
        <f t="shared" si="92"/>
        <v>-</v>
      </c>
      <c r="E647" s="1476">
        <f t="shared" si="92"/>
        <v>0</v>
      </c>
      <c r="F647" s="1444">
        <f t="shared" si="85"/>
        <v>0</v>
      </c>
      <c r="G647" s="1444">
        <f t="shared" si="86"/>
        <v>0</v>
      </c>
      <c r="H647" s="1476">
        <f t="shared" si="87"/>
        <v>0</v>
      </c>
      <c r="I647" s="1444">
        <v>0</v>
      </c>
      <c r="J647" s="1444">
        <v>0</v>
      </c>
      <c r="K647" s="1476"/>
      <c r="L647" s="1476"/>
      <c r="M647" s="1476">
        <f t="shared" si="89"/>
        <v>0</v>
      </c>
      <c r="N647" s="1476">
        <f t="shared" si="88"/>
        <v>0</v>
      </c>
    </row>
    <row r="648" spans="1:14" ht="31" outlineLevel="1">
      <c r="A648" s="1455">
        <f t="shared" si="92"/>
        <v>6.1</v>
      </c>
      <c r="B648" s="1455" t="str">
        <f t="shared" si="92"/>
        <v>Renovation and Modification of Colony Electric Supply System to improve availability and reliability of supply system at BTPS Colony, Deepnagar</v>
      </c>
      <c r="C648" s="1475">
        <f t="shared" si="92"/>
        <v>0</v>
      </c>
      <c r="D648" s="1473" t="str">
        <f t="shared" si="92"/>
        <v>-</v>
      </c>
      <c r="E648" s="1476">
        <f t="shared" si="92"/>
        <v>0</v>
      </c>
      <c r="F648" s="1444">
        <f t="shared" si="85"/>
        <v>0</v>
      </c>
      <c r="G648" s="1444">
        <f t="shared" si="86"/>
        <v>0</v>
      </c>
      <c r="H648" s="1476">
        <f t="shared" si="87"/>
        <v>0</v>
      </c>
      <c r="I648" s="1444">
        <v>0</v>
      </c>
      <c r="J648" s="1444">
        <v>0</v>
      </c>
      <c r="K648" s="1476"/>
      <c r="L648" s="1476"/>
      <c r="M648" s="1476">
        <f t="shared" si="89"/>
        <v>0</v>
      </c>
      <c r="N648" s="1476">
        <f t="shared" si="88"/>
        <v>0</v>
      </c>
    </row>
    <row r="649" spans="1:14" ht="31" outlineLevel="1">
      <c r="A649" s="1455">
        <f t="shared" si="92"/>
        <v>6.11</v>
      </c>
      <c r="B649" s="1455" t="str">
        <f t="shared" si="92"/>
        <v>Work of  Overhauling repairs of U-5 350KW BCWP motor of M/s Torishima make at BTPS 2x500MW.</v>
      </c>
      <c r="C649" s="1475">
        <f t="shared" si="92"/>
        <v>0</v>
      </c>
      <c r="D649" s="1473" t="str">
        <f t="shared" si="92"/>
        <v>-</v>
      </c>
      <c r="E649" s="1476">
        <f t="shared" si="92"/>
        <v>0</v>
      </c>
      <c r="F649" s="1444">
        <f t="shared" si="85"/>
        <v>0</v>
      </c>
      <c r="G649" s="1444">
        <f t="shared" si="86"/>
        <v>0</v>
      </c>
      <c r="H649" s="1476">
        <f t="shared" si="87"/>
        <v>0</v>
      </c>
      <c r="I649" s="1444">
        <v>0</v>
      </c>
      <c r="J649" s="1444">
        <v>0</v>
      </c>
      <c r="K649" s="1476"/>
      <c r="L649" s="1476"/>
      <c r="M649" s="1476">
        <f t="shared" si="89"/>
        <v>0</v>
      </c>
      <c r="N649" s="1476">
        <f t="shared" si="88"/>
        <v>0</v>
      </c>
    </row>
    <row r="650" spans="1:14" ht="15.5" outlineLevel="1">
      <c r="A650" s="1457">
        <f t="shared" si="92"/>
        <v>0</v>
      </c>
      <c r="B650" s="1457" t="str">
        <f t="shared" si="92"/>
        <v xml:space="preserve">FY 2028-29 </v>
      </c>
      <c r="C650" s="1475">
        <f t="shared" si="92"/>
        <v>0</v>
      </c>
      <c r="D650" s="1473" t="str">
        <f t="shared" si="92"/>
        <v>-</v>
      </c>
      <c r="E650" s="1476">
        <f t="shared" si="92"/>
        <v>0</v>
      </c>
      <c r="F650" s="1444">
        <f t="shared" si="85"/>
        <v>0</v>
      </c>
      <c r="G650" s="1444">
        <f t="shared" si="86"/>
        <v>0</v>
      </c>
      <c r="H650" s="1476">
        <f t="shared" si="87"/>
        <v>0</v>
      </c>
      <c r="I650" s="1444">
        <v>0</v>
      </c>
      <c r="J650" s="1444">
        <v>0</v>
      </c>
      <c r="K650" s="1476"/>
      <c r="L650" s="1476"/>
      <c r="M650" s="1476">
        <f t="shared" si="89"/>
        <v>0</v>
      </c>
      <c r="N650" s="1476">
        <f t="shared" si="88"/>
        <v>0</v>
      </c>
    </row>
    <row r="651" spans="1:14" ht="31" outlineLevel="1">
      <c r="A651" s="1458">
        <f t="shared" si="92"/>
        <v>1</v>
      </c>
      <c r="B651" s="1459" t="str">
        <f t="shared" si="92"/>
        <v>APH baskets with main drive Gear box and lub oil skids with motor at 2x500MW BTPS</v>
      </c>
      <c r="C651" s="1475">
        <f t="shared" si="92"/>
        <v>0</v>
      </c>
      <c r="D651" s="1473" t="str">
        <f t="shared" si="92"/>
        <v>-</v>
      </c>
      <c r="E651" s="1476">
        <f t="shared" si="92"/>
        <v>0</v>
      </c>
      <c r="F651" s="1444">
        <f t="shared" si="85"/>
        <v>0</v>
      </c>
      <c r="G651" s="1444">
        <f t="shared" si="86"/>
        <v>0</v>
      </c>
      <c r="H651" s="1476">
        <f t="shared" si="87"/>
        <v>0</v>
      </c>
      <c r="I651" s="1444">
        <v>0</v>
      </c>
      <c r="J651" s="1444">
        <v>0</v>
      </c>
      <c r="K651" s="1476"/>
      <c r="L651" s="1476"/>
      <c r="M651" s="1476">
        <f t="shared" si="89"/>
        <v>0</v>
      </c>
      <c r="N651" s="1476">
        <f t="shared" si="88"/>
        <v>0</v>
      </c>
    </row>
    <row r="652" spans="1:14" ht="31" outlineLevel="1">
      <c r="A652" s="1455">
        <f t="shared" si="92"/>
        <v>1.1000000000000001</v>
      </c>
      <c r="B652" s="1455" t="str">
        <f t="shared" si="92"/>
        <v>APH baskets with main drive Gear box and lub oil skids with motor at 2x500MW BTPS</v>
      </c>
      <c r="C652" s="1475">
        <f t="shared" si="92"/>
        <v>0</v>
      </c>
      <c r="D652" s="1473" t="str">
        <f t="shared" si="92"/>
        <v>-</v>
      </c>
      <c r="E652" s="1476">
        <f t="shared" si="92"/>
        <v>0</v>
      </c>
      <c r="F652" s="1444">
        <f t="shared" si="85"/>
        <v>0</v>
      </c>
      <c r="G652" s="1444">
        <f t="shared" si="86"/>
        <v>0</v>
      </c>
      <c r="H652" s="1476">
        <f t="shared" si="87"/>
        <v>0</v>
      </c>
      <c r="I652" s="1444">
        <v>0</v>
      </c>
      <c r="J652" s="1444">
        <v>0</v>
      </c>
      <c r="K652" s="1476"/>
      <c r="L652" s="1476"/>
      <c r="M652" s="1476">
        <f t="shared" si="89"/>
        <v>0</v>
      </c>
      <c r="N652" s="1476">
        <f t="shared" si="88"/>
        <v>0</v>
      </c>
    </row>
    <row r="653" spans="1:14" ht="31" outlineLevel="1">
      <c r="A653" s="1458">
        <f t="shared" si="92"/>
        <v>2</v>
      </c>
      <c r="B653" s="1459" t="str">
        <f t="shared" si="92"/>
        <v>Detail Project Report for  Design, Engineering, Supply, Installation and commissioning of 1500TPH Stacker cum re-claimer in Coal Handling Plant-BTPS.</v>
      </c>
      <c r="C653" s="1475">
        <f t="shared" si="92"/>
        <v>0</v>
      </c>
      <c r="D653" s="1473" t="str">
        <f t="shared" si="92"/>
        <v>-</v>
      </c>
      <c r="E653" s="1476">
        <f t="shared" si="92"/>
        <v>0</v>
      </c>
      <c r="F653" s="1444">
        <f t="shared" si="85"/>
        <v>0</v>
      </c>
      <c r="G653" s="1444">
        <f t="shared" si="86"/>
        <v>0</v>
      </c>
      <c r="H653" s="1476">
        <f t="shared" si="87"/>
        <v>0</v>
      </c>
      <c r="I653" s="1444">
        <v>0</v>
      </c>
      <c r="J653" s="1444">
        <v>0</v>
      </c>
      <c r="K653" s="1476"/>
      <c r="L653" s="1476"/>
      <c r="M653" s="1476">
        <f t="shared" si="89"/>
        <v>0</v>
      </c>
      <c r="N653" s="1476">
        <f t="shared" si="88"/>
        <v>0</v>
      </c>
    </row>
    <row r="654" spans="1:14" ht="31" outlineLevel="1">
      <c r="A654" s="1455">
        <f t="shared" si="92"/>
        <v>2.1</v>
      </c>
      <c r="B654" s="1455" t="str">
        <f t="shared" si="92"/>
        <v>Design, Engineering, Supply, Installation and commissioning of 1500TPH Stacker cum re-claimer in Coal Handling Plant-BTPS.</v>
      </c>
      <c r="C654" s="1475">
        <f t="shared" si="92"/>
        <v>0</v>
      </c>
      <c r="D654" s="1473" t="str">
        <f t="shared" si="92"/>
        <v>-</v>
      </c>
      <c r="E654" s="1476">
        <f t="shared" si="92"/>
        <v>0</v>
      </c>
      <c r="F654" s="1444">
        <f t="shared" si="85"/>
        <v>0</v>
      </c>
      <c r="G654" s="1444">
        <f t="shared" si="86"/>
        <v>0</v>
      </c>
      <c r="H654" s="1476">
        <f t="shared" si="87"/>
        <v>0</v>
      </c>
      <c r="I654" s="1444">
        <v>0</v>
      </c>
      <c r="J654" s="1444">
        <v>0</v>
      </c>
      <c r="K654" s="1476"/>
      <c r="L654" s="1476"/>
      <c r="M654" s="1476">
        <f t="shared" si="89"/>
        <v>0</v>
      </c>
      <c r="N654" s="1476">
        <f t="shared" si="88"/>
        <v>0</v>
      </c>
    </row>
    <row r="655" spans="1:14" ht="15.5" outlineLevel="1">
      <c r="A655" s="1458">
        <f t="shared" si="92"/>
        <v>3</v>
      </c>
      <c r="B655" s="1459" t="str">
        <f t="shared" si="92"/>
        <v>Enhancement of Unloading &amp; Stacking Capacity of CHP.</v>
      </c>
      <c r="C655" s="1475">
        <f t="shared" si="92"/>
        <v>0</v>
      </c>
      <c r="D655" s="1473" t="str">
        <f t="shared" si="92"/>
        <v>-</v>
      </c>
      <c r="E655" s="1476">
        <f t="shared" si="92"/>
        <v>0</v>
      </c>
      <c r="F655" s="1444">
        <f t="shared" si="85"/>
        <v>0</v>
      </c>
      <c r="G655" s="1444">
        <f t="shared" si="86"/>
        <v>0</v>
      </c>
      <c r="H655" s="1476">
        <f t="shared" si="87"/>
        <v>0</v>
      </c>
      <c r="I655" s="1444">
        <v>0</v>
      </c>
      <c r="J655" s="1444">
        <v>0</v>
      </c>
      <c r="K655" s="1476"/>
      <c r="L655" s="1476"/>
      <c r="M655" s="1476">
        <f t="shared" si="89"/>
        <v>0</v>
      </c>
      <c r="N655" s="1476">
        <f t="shared" si="88"/>
        <v>0</v>
      </c>
    </row>
    <row r="656" spans="1:14" ht="31" outlineLevel="1">
      <c r="A656" s="1455">
        <f t="shared" si="92"/>
        <v>3.1</v>
      </c>
      <c r="B656" s="1455" t="str">
        <f t="shared" si="92"/>
        <v>Design Supply errection &amp; Comissioning of Open Wagon Tippler along with stacking and reclaiming yard conveyors at CHP stack yard.</v>
      </c>
      <c r="C656" s="1475">
        <f t="shared" si="92"/>
        <v>0</v>
      </c>
      <c r="D656" s="1473" t="str">
        <f t="shared" si="92"/>
        <v>-</v>
      </c>
      <c r="E656" s="1476">
        <f t="shared" si="92"/>
        <v>0</v>
      </c>
      <c r="F656" s="1444">
        <f t="shared" si="85"/>
        <v>0</v>
      </c>
      <c r="G656" s="1444">
        <f t="shared" si="86"/>
        <v>0</v>
      </c>
      <c r="H656" s="1476">
        <f t="shared" si="87"/>
        <v>0</v>
      </c>
      <c r="I656" s="1444">
        <v>0</v>
      </c>
      <c r="J656" s="1444">
        <v>0</v>
      </c>
      <c r="K656" s="1476"/>
      <c r="L656" s="1476"/>
      <c r="M656" s="1476">
        <f t="shared" si="89"/>
        <v>0</v>
      </c>
      <c r="N656" s="1476">
        <f t="shared" si="88"/>
        <v>0</v>
      </c>
    </row>
    <row r="657" spans="1:14" ht="15.5" outlineLevel="1">
      <c r="A657" s="1457">
        <f t="shared" si="92"/>
        <v>0</v>
      </c>
      <c r="B657" s="1457" t="str">
        <f t="shared" si="92"/>
        <v>FY 2029-30</v>
      </c>
      <c r="C657" s="1475">
        <f t="shared" si="92"/>
        <v>0</v>
      </c>
      <c r="D657" s="1473" t="str">
        <f t="shared" si="92"/>
        <v>-</v>
      </c>
      <c r="E657" s="1476">
        <f t="shared" si="92"/>
        <v>0</v>
      </c>
      <c r="F657" s="1444">
        <f t="shared" si="85"/>
        <v>0</v>
      </c>
      <c r="G657" s="1444">
        <f t="shared" si="86"/>
        <v>0</v>
      </c>
      <c r="H657" s="1476">
        <f t="shared" si="87"/>
        <v>0</v>
      </c>
      <c r="I657" s="1444">
        <v>0</v>
      </c>
      <c r="J657" s="1444">
        <v>0</v>
      </c>
      <c r="K657" s="1476"/>
      <c r="L657" s="1476"/>
      <c r="M657" s="1476">
        <f t="shared" si="89"/>
        <v>0</v>
      </c>
      <c r="N657" s="1476">
        <f t="shared" si="88"/>
        <v>0</v>
      </c>
    </row>
    <row r="658" spans="1:14" ht="31" outlineLevel="1">
      <c r="A658" s="1458">
        <f t="shared" si="92"/>
        <v>1</v>
      </c>
      <c r="B658" s="1459" t="str">
        <f t="shared" si="92"/>
        <v>Coal Mill Performance Improvement and Life Enhancement of BHEL Make XRP-1043 Coal Mills in 2x500 MW BTPS.</v>
      </c>
      <c r="C658" s="1475">
        <f t="shared" si="92"/>
        <v>0</v>
      </c>
      <c r="D658" s="1473" t="str">
        <f t="shared" si="92"/>
        <v>-</v>
      </c>
      <c r="E658" s="1476">
        <f t="shared" si="92"/>
        <v>0</v>
      </c>
      <c r="F658" s="1444">
        <f t="shared" si="85"/>
        <v>0</v>
      </c>
      <c r="G658" s="1444">
        <f t="shared" si="86"/>
        <v>0</v>
      </c>
      <c r="H658" s="1476">
        <f t="shared" si="87"/>
        <v>0</v>
      </c>
      <c r="I658" s="1444">
        <v>0</v>
      </c>
      <c r="J658" s="1444">
        <v>0</v>
      </c>
      <c r="K658" s="1476"/>
      <c r="L658" s="1476"/>
      <c r="M658" s="1476">
        <f t="shared" si="89"/>
        <v>0</v>
      </c>
      <c r="N658" s="1476">
        <f t="shared" si="88"/>
        <v>0</v>
      </c>
    </row>
    <row r="659" spans="1:14" ht="31" outlineLevel="1">
      <c r="A659" s="1455">
        <f t="shared" si="92"/>
        <v>1.1000000000000001</v>
      </c>
      <c r="B659" s="1455" t="str">
        <f t="shared" si="92"/>
        <v>Coal Mill Performance Improvement and Life Enhancement of BHEL Make XRP-1043 Coal Mills in 2x500 MW BTPS.</v>
      </c>
      <c r="C659" s="1475">
        <f t="shared" si="92"/>
        <v>0</v>
      </c>
      <c r="D659" s="1473" t="str">
        <f t="shared" si="92"/>
        <v>-</v>
      </c>
      <c r="E659" s="1476">
        <f t="shared" si="92"/>
        <v>0</v>
      </c>
      <c r="F659" s="1444">
        <f t="shared" si="85"/>
        <v>0</v>
      </c>
      <c r="G659" s="1444">
        <f t="shared" si="86"/>
        <v>0</v>
      </c>
      <c r="H659" s="1476">
        <f t="shared" si="87"/>
        <v>0</v>
      </c>
      <c r="I659" s="1444">
        <v>0</v>
      </c>
      <c r="J659" s="1444">
        <v>0</v>
      </c>
      <c r="K659" s="1476"/>
      <c r="L659" s="1476"/>
      <c r="M659" s="1476">
        <f t="shared" si="89"/>
        <v>0</v>
      </c>
      <c r="N659" s="1476">
        <f t="shared" si="88"/>
        <v>0</v>
      </c>
    </row>
    <row r="660" spans="1:14" ht="15.5" outlineLevel="1">
      <c r="A660" s="1458">
        <f t="shared" si="92"/>
        <v>2</v>
      </c>
      <c r="B660" s="1459" t="str">
        <f t="shared" si="92"/>
        <v>Upgradation rail  track in CHP -BTPS</v>
      </c>
      <c r="C660" s="1475">
        <f t="shared" si="92"/>
        <v>0</v>
      </c>
      <c r="D660" s="1473" t="str">
        <f t="shared" si="92"/>
        <v>-</v>
      </c>
      <c r="E660" s="1476">
        <f t="shared" si="92"/>
        <v>0</v>
      </c>
      <c r="F660" s="1444">
        <f t="shared" si="85"/>
        <v>0</v>
      </c>
      <c r="G660" s="1444">
        <f t="shared" si="86"/>
        <v>0</v>
      </c>
      <c r="H660" s="1476">
        <f t="shared" si="87"/>
        <v>0</v>
      </c>
      <c r="I660" s="1444">
        <v>0</v>
      </c>
      <c r="J660" s="1444">
        <v>0</v>
      </c>
      <c r="K660" s="1476"/>
      <c r="L660" s="1476"/>
      <c r="M660" s="1476">
        <f t="shared" si="89"/>
        <v>0</v>
      </c>
      <c r="N660" s="1476">
        <f t="shared" si="88"/>
        <v>0</v>
      </c>
    </row>
    <row r="661" spans="1:14" ht="15.5" outlineLevel="1">
      <c r="A661" s="1455">
        <f t="shared" si="92"/>
        <v>2.1</v>
      </c>
      <c r="B661" s="1455" t="str">
        <f t="shared" si="92"/>
        <v>Revamping and Upgradation of rail track from 52KG to 60KG in CHP-BTPS.</v>
      </c>
      <c r="C661" s="1475">
        <f t="shared" si="92"/>
        <v>0</v>
      </c>
      <c r="D661" s="1473" t="str">
        <f t="shared" si="92"/>
        <v>-</v>
      </c>
      <c r="E661" s="1476">
        <f t="shared" si="92"/>
        <v>0</v>
      </c>
      <c r="F661" s="1444">
        <f t="shared" si="85"/>
        <v>0</v>
      </c>
      <c r="G661" s="1444">
        <f t="shared" si="86"/>
        <v>0</v>
      </c>
      <c r="H661" s="1476">
        <f t="shared" si="87"/>
        <v>0</v>
      </c>
      <c r="I661" s="1444">
        <v>0</v>
      </c>
      <c r="J661" s="1444">
        <v>0</v>
      </c>
      <c r="K661" s="1476"/>
      <c r="L661" s="1476"/>
      <c r="M661" s="1476">
        <f t="shared" si="89"/>
        <v>0</v>
      </c>
      <c r="N661" s="1476">
        <f t="shared" si="88"/>
        <v>0</v>
      </c>
    </row>
    <row r="662" spans="1:14" ht="15.5" outlineLevel="1">
      <c r="A662" s="1455">
        <f t="shared" ref="A662:E677" si="93">A432</f>
        <v>0</v>
      </c>
      <c r="B662" s="1455">
        <f t="shared" si="93"/>
        <v>0</v>
      </c>
      <c r="C662" s="1475">
        <f t="shared" si="93"/>
        <v>0</v>
      </c>
      <c r="D662" s="1473" t="str">
        <f t="shared" si="93"/>
        <v>-</v>
      </c>
      <c r="E662" s="1476">
        <f t="shared" si="93"/>
        <v>0</v>
      </c>
      <c r="F662" s="1444">
        <f t="shared" ref="F662:F694" si="94">F432+I432</f>
        <v>0</v>
      </c>
      <c r="G662" s="1444">
        <f t="shared" ref="G662:G694" si="95">G432+M432</f>
        <v>0</v>
      </c>
      <c r="H662" s="1476">
        <f t="shared" si="87"/>
        <v>0</v>
      </c>
      <c r="I662" s="1444">
        <v>0</v>
      </c>
      <c r="J662" s="1444">
        <v>0</v>
      </c>
      <c r="K662" s="1476"/>
      <c r="L662" s="1476"/>
      <c r="M662" s="1476">
        <f t="shared" si="89"/>
        <v>0</v>
      </c>
      <c r="N662" s="1476">
        <f t="shared" si="88"/>
        <v>0</v>
      </c>
    </row>
    <row r="663" spans="1:14" ht="15.5" outlineLevel="1">
      <c r="A663" s="1456">
        <f t="shared" si="93"/>
        <v>0</v>
      </c>
      <c r="B663" s="1456" t="str">
        <f t="shared" si="93"/>
        <v>B) Non-DPR Schemes</v>
      </c>
      <c r="C663" s="1475">
        <f t="shared" si="93"/>
        <v>0</v>
      </c>
      <c r="D663" s="1473" t="str">
        <f t="shared" si="93"/>
        <v>-</v>
      </c>
      <c r="E663" s="1476">
        <f t="shared" si="93"/>
        <v>0</v>
      </c>
      <c r="F663" s="1444">
        <f t="shared" si="94"/>
        <v>0</v>
      </c>
      <c r="G663" s="1444">
        <f t="shared" si="95"/>
        <v>0</v>
      </c>
      <c r="H663" s="1476">
        <f t="shared" si="87"/>
        <v>0</v>
      </c>
      <c r="I663" s="1444">
        <v>0</v>
      </c>
      <c r="J663" s="1444">
        <v>0</v>
      </c>
      <c r="K663" s="1476"/>
      <c r="L663" s="1476"/>
      <c r="M663" s="1476">
        <f t="shared" si="89"/>
        <v>0</v>
      </c>
      <c r="N663" s="1476">
        <f t="shared" si="88"/>
        <v>0</v>
      </c>
    </row>
    <row r="664" spans="1:14" ht="15.5" outlineLevel="1">
      <c r="A664" s="1454">
        <f t="shared" si="93"/>
        <v>1</v>
      </c>
      <c r="B664" s="1454" t="str">
        <f t="shared" si="93"/>
        <v>Contract for modification of Wobbler feeder in CHP-2X500MW</v>
      </c>
      <c r="C664" s="1475">
        <f t="shared" si="93"/>
        <v>0</v>
      </c>
      <c r="D664" s="1473" t="str">
        <f t="shared" si="93"/>
        <v>-</v>
      </c>
      <c r="E664" s="1476">
        <f t="shared" si="93"/>
        <v>0</v>
      </c>
      <c r="F664" s="1444">
        <f t="shared" si="94"/>
        <v>1.473342572</v>
      </c>
      <c r="G664" s="1444">
        <f t="shared" si="95"/>
        <v>1.473342572</v>
      </c>
      <c r="H664" s="1476">
        <f t="shared" si="87"/>
        <v>0</v>
      </c>
      <c r="I664" s="1444">
        <v>0</v>
      </c>
      <c r="J664" s="1444">
        <v>0</v>
      </c>
      <c r="K664" s="1476"/>
      <c r="L664" s="1476"/>
      <c r="M664" s="1476">
        <f t="shared" si="89"/>
        <v>0</v>
      </c>
      <c r="N664" s="1476">
        <f t="shared" si="88"/>
        <v>0</v>
      </c>
    </row>
    <row r="665" spans="1:14" ht="15.5" outlineLevel="1">
      <c r="A665" s="1454">
        <f t="shared" si="93"/>
        <v>2</v>
      </c>
      <c r="B665" s="1454" t="str">
        <f t="shared" si="93"/>
        <v>Contract for Revamping of Apron Feeder in CHP-2X500MW</v>
      </c>
      <c r="C665" s="1475">
        <f t="shared" si="93"/>
        <v>0</v>
      </c>
      <c r="D665" s="1473" t="str">
        <f t="shared" si="93"/>
        <v>-</v>
      </c>
      <c r="E665" s="1476">
        <f t="shared" si="93"/>
        <v>0</v>
      </c>
      <c r="F665" s="1444">
        <f t="shared" si="94"/>
        <v>2.3246000000000002</v>
      </c>
      <c r="G665" s="1444">
        <f t="shared" si="95"/>
        <v>2.3246000000000002</v>
      </c>
      <c r="H665" s="1476">
        <f t="shared" si="87"/>
        <v>0</v>
      </c>
      <c r="I665" s="1444">
        <v>0</v>
      </c>
      <c r="J665" s="1444">
        <v>0</v>
      </c>
      <c r="K665" s="1476"/>
      <c r="L665" s="1476"/>
      <c r="M665" s="1476">
        <f t="shared" si="89"/>
        <v>0</v>
      </c>
      <c r="N665" s="1476">
        <f t="shared" si="88"/>
        <v>0</v>
      </c>
    </row>
    <row r="666" spans="1:14" ht="31" outlineLevel="1">
      <c r="A666" s="1454">
        <f t="shared" si="93"/>
        <v>3</v>
      </c>
      <c r="B666" s="1454" t="str">
        <f t="shared" si="93"/>
        <v> Procurement of double lip skirt sealing &amp; tracking idler in CHP at 2x500MW, BTPS</v>
      </c>
      <c r="C666" s="1475">
        <f t="shared" si="93"/>
        <v>0</v>
      </c>
      <c r="D666" s="1473" t="str">
        <f t="shared" si="93"/>
        <v>-</v>
      </c>
      <c r="E666" s="1476">
        <f t="shared" si="93"/>
        <v>0</v>
      </c>
      <c r="F666" s="1444">
        <f t="shared" si="94"/>
        <v>0.57024680000000005</v>
      </c>
      <c r="G666" s="1444">
        <f t="shared" si="95"/>
        <v>0.57024680000000005</v>
      </c>
      <c r="H666" s="1476">
        <f t="shared" si="87"/>
        <v>0</v>
      </c>
      <c r="I666" s="1444">
        <v>0</v>
      </c>
      <c r="J666" s="1444">
        <v>0</v>
      </c>
      <c r="K666" s="1476"/>
      <c r="L666" s="1476"/>
      <c r="M666" s="1476">
        <f t="shared" si="89"/>
        <v>0</v>
      </c>
      <c r="N666" s="1476">
        <f t="shared" si="88"/>
        <v>0</v>
      </c>
    </row>
    <row r="667" spans="1:14" ht="15.5" outlineLevel="1">
      <c r="A667" s="1454">
        <f t="shared" si="93"/>
        <v>4</v>
      </c>
      <c r="B667" s="1454" t="str">
        <f t="shared" si="93"/>
        <v>Supply, erection &amp; commissioning of vibrating feeder in CHP at 2x500MW, BTPS</v>
      </c>
      <c r="C667" s="1475">
        <f t="shared" si="93"/>
        <v>0</v>
      </c>
      <c r="D667" s="1473" t="str">
        <f t="shared" si="93"/>
        <v>-</v>
      </c>
      <c r="E667" s="1476">
        <f t="shared" si="93"/>
        <v>0</v>
      </c>
      <c r="F667" s="1444">
        <f t="shared" si="94"/>
        <v>0.57796400000000003</v>
      </c>
      <c r="G667" s="1444">
        <f t="shared" si="95"/>
        <v>0.57796400000000003</v>
      </c>
      <c r="H667" s="1476">
        <f t="shared" si="87"/>
        <v>0</v>
      </c>
      <c r="I667" s="1444">
        <v>0</v>
      </c>
      <c r="J667" s="1444">
        <v>0</v>
      </c>
      <c r="K667" s="1476"/>
      <c r="L667" s="1476"/>
      <c r="M667" s="1476">
        <f t="shared" si="89"/>
        <v>0</v>
      </c>
      <c r="N667" s="1476">
        <f t="shared" si="88"/>
        <v>0</v>
      </c>
    </row>
    <row r="668" spans="1:14" ht="15.5" outlineLevel="1">
      <c r="A668" s="1454">
        <f t="shared" si="93"/>
        <v>5</v>
      </c>
      <c r="B668" s="1454" t="str">
        <f t="shared" si="93"/>
        <v xml:space="preserve"> Coal chutes with extra life wear resistance plates in CHP at 2X500MW</v>
      </c>
      <c r="C668" s="1475">
        <f t="shared" si="93"/>
        <v>0</v>
      </c>
      <c r="D668" s="1473" t="str">
        <f t="shared" si="93"/>
        <v>-</v>
      </c>
      <c r="E668" s="1476">
        <f t="shared" si="93"/>
        <v>0</v>
      </c>
      <c r="F668" s="1444">
        <f t="shared" si="94"/>
        <v>2.0319305000000001</v>
      </c>
      <c r="G668" s="1444">
        <f t="shared" si="95"/>
        <v>2.0319305000000001</v>
      </c>
      <c r="H668" s="1476">
        <f t="shared" si="87"/>
        <v>0</v>
      </c>
      <c r="I668" s="1444">
        <v>0</v>
      </c>
      <c r="J668" s="1444">
        <v>0</v>
      </c>
      <c r="K668" s="1476"/>
      <c r="L668" s="1476"/>
      <c r="M668" s="1476">
        <f t="shared" si="89"/>
        <v>0</v>
      </c>
      <c r="N668" s="1476">
        <f t="shared" si="88"/>
        <v>0</v>
      </c>
    </row>
    <row r="669" spans="1:14" ht="31" outlineLevel="1">
      <c r="A669" s="1454">
        <f t="shared" si="93"/>
        <v>6</v>
      </c>
      <c r="B669" s="1454" t="str">
        <f t="shared" si="93"/>
        <v xml:space="preserve">Epoxy Painting upto all height to structural steel work in main plant boiler side area and CHP area </v>
      </c>
      <c r="C669" s="1475">
        <f t="shared" si="93"/>
        <v>0</v>
      </c>
      <c r="D669" s="1473" t="str">
        <f t="shared" si="93"/>
        <v>-</v>
      </c>
      <c r="E669" s="1476">
        <f t="shared" si="93"/>
        <v>0</v>
      </c>
      <c r="F669" s="1444">
        <f t="shared" si="94"/>
        <v>5.8625346629999999</v>
      </c>
      <c r="G669" s="1444">
        <f t="shared" si="95"/>
        <v>5.8625346629999999</v>
      </c>
      <c r="H669" s="1476">
        <f t="shared" si="87"/>
        <v>0</v>
      </c>
      <c r="I669" s="1444">
        <v>0</v>
      </c>
      <c r="J669" s="1444">
        <v>0</v>
      </c>
      <c r="K669" s="1476"/>
      <c r="L669" s="1476"/>
      <c r="M669" s="1476">
        <f t="shared" si="89"/>
        <v>0</v>
      </c>
      <c r="N669" s="1476">
        <f t="shared" si="88"/>
        <v>0</v>
      </c>
    </row>
    <row r="670" spans="1:14" ht="15.5" outlineLevel="1">
      <c r="A670" s="1454">
        <f t="shared" si="93"/>
        <v>7</v>
      </c>
      <c r="B670" s="1454" t="str">
        <f t="shared" si="93"/>
        <v xml:space="preserve"> Rectification of Belt feeder &amp; Gravity Take-up  in CHP-2X500MW.</v>
      </c>
      <c r="C670" s="1475">
        <f t="shared" si="93"/>
        <v>0</v>
      </c>
      <c r="D670" s="1473" t="str">
        <f t="shared" si="93"/>
        <v>-</v>
      </c>
      <c r="E670" s="1476">
        <f t="shared" si="93"/>
        <v>0</v>
      </c>
      <c r="F670" s="1444">
        <f t="shared" si="94"/>
        <v>1.6478699999999999</v>
      </c>
      <c r="G670" s="1444">
        <f t="shared" si="95"/>
        <v>1.6478699999999999</v>
      </c>
      <c r="H670" s="1476">
        <f t="shared" si="87"/>
        <v>0</v>
      </c>
      <c r="I670" s="1444">
        <v>0</v>
      </c>
      <c r="J670" s="1444">
        <v>0</v>
      </c>
      <c r="K670" s="1476"/>
      <c r="L670" s="1476"/>
      <c r="M670" s="1476">
        <f t="shared" si="89"/>
        <v>0</v>
      </c>
      <c r="N670" s="1476">
        <f t="shared" si="88"/>
        <v>0</v>
      </c>
    </row>
    <row r="671" spans="1:14" ht="15.5" outlineLevel="1">
      <c r="A671" s="1454">
        <f t="shared" si="93"/>
        <v>8</v>
      </c>
      <c r="B671" s="1454" t="str">
        <f t="shared" si="93"/>
        <v>Coal diverting chutes in CHP at 2X500MW.</v>
      </c>
      <c r="C671" s="1475">
        <f t="shared" si="93"/>
        <v>0</v>
      </c>
      <c r="D671" s="1473" t="str">
        <f t="shared" si="93"/>
        <v>-</v>
      </c>
      <c r="E671" s="1476">
        <f t="shared" si="93"/>
        <v>0</v>
      </c>
      <c r="F671" s="1444">
        <f t="shared" si="94"/>
        <v>2.218399056</v>
      </c>
      <c r="G671" s="1444">
        <f t="shared" si="95"/>
        <v>2.218399056</v>
      </c>
      <c r="H671" s="1476">
        <f t="shared" si="87"/>
        <v>0</v>
      </c>
      <c r="I671" s="1444">
        <v>0</v>
      </c>
      <c r="J671" s="1444">
        <v>0</v>
      </c>
      <c r="K671" s="1476"/>
      <c r="L671" s="1476"/>
      <c r="M671" s="1476">
        <f t="shared" si="89"/>
        <v>0</v>
      </c>
      <c r="N671" s="1476">
        <f t="shared" si="88"/>
        <v>0</v>
      </c>
    </row>
    <row r="672" spans="1:14" ht="31" outlineLevel="1">
      <c r="A672" s="1454">
        <f t="shared" si="93"/>
        <v>9</v>
      </c>
      <c r="B672" s="1454" t="str">
        <f t="shared" si="93"/>
        <v>Supply of Conveyor Pulleys with Ceramic lagging at CHP-2X500MW, BTPS, Bhusawal</v>
      </c>
      <c r="C672" s="1475">
        <f t="shared" si="93"/>
        <v>0</v>
      </c>
      <c r="D672" s="1473" t="str">
        <f t="shared" si="93"/>
        <v>-</v>
      </c>
      <c r="E672" s="1476">
        <f t="shared" si="93"/>
        <v>0</v>
      </c>
      <c r="F672" s="1444">
        <f t="shared" si="94"/>
        <v>0.58051280000000005</v>
      </c>
      <c r="G672" s="1444">
        <f t="shared" si="95"/>
        <v>0.58051280000000005</v>
      </c>
      <c r="H672" s="1476">
        <f t="shared" si="87"/>
        <v>0</v>
      </c>
      <c r="I672" s="1444">
        <v>0</v>
      </c>
      <c r="J672" s="1444">
        <v>0</v>
      </c>
      <c r="K672" s="1476"/>
      <c r="L672" s="1476"/>
      <c r="M672" s="1476">
        <f t="shared" si="89"/>
        <v>0</v>
      </c>
      <c r="N672" s="1476">
        <f t="shared" si="88"/>
        <v>0</v>
      </c>
    </row>
    <row r="673" spans="1:14" ht="31" outlineLevel="1">
      <c r="A673" s="1454">
        <f t="shared" si="93"/>
        <v>10</v>
      </c>
      <c r="B673" s="1454" t="str">
        <f t="shared" si="93"/>
        <v xml:space="preserve">Non-DPR Project Report for  Design, Supply,Erection &amp; Commissioning of High Performance Energy Chain System for Side Arm Charger at 2x500 at CHP </v>
      </c>
      <c r="C673" s="1475">
        <f t="shared" si="93"/>
        <v>0</v>
      </c>
      <c r="D673" s="1473" t="str">
        <f t="shared" si="93"/>
        <v>-</v>
      </c>
      <c r="E673" s="1476">
        <f t="shared" si="93"/>
        <v>0</v>
      </c>
      <c r="F673" s="1444">
        <f t="shared" si="94"/>
        <v>1.50150162</v>
      </c>
      <c r="G673" s="1444">
        <f t="shared" si="95"/>
        <v>1.50150162</v>
      </c>
      <c r="H673" s="1476">
        <f t="shared" si="87"/>
        <v>0</v>
      </c>
      <c r="I673" s="1444">
        <v>0</v>
      </c>
      <c r="J673" s="1444">
        <v>0</v>
      </c>
      <c r="K673" s="1476"/>
      <c r="L673" s="1476"/>
      <c r="M673" s="1476">
        <f t="shared" ref="M673:M694" si="96">SUM(J673:L673)</f>
        <v>0</v>
      </c>
      <c r="N673" s="1476">
        <f t="shared" si="88"/>
        <v>0</v>
      </c>
    </row>
    <row r="674" spans="1:14" ht="31" outlineLevel="1">
      <c r="A674" s="1454">
        <f t="shared" si="93"/>
        <v>11</v>
      </c>
      <c r="B674" s="1454" t="str">
        <f t="shared" si="93"/>
        <v>Implementation of Energy Conservation Demonstration Project in buildings of BTPS 2x500MW</v>
      </c>
      <c r="C674" s="1475">
        <f t="shared" si="93"/>
        <v>0</v>
      </c>
      <c r="D674" s="1473" t="str">
        <f t="shared" si="93"/>
        <v>-</v>
      </c>
      <c r="E674" s="1476">
        <f t="shared" si="93"/>
        <v>0</v>
      </c>
      <c r="F674" s="1444">
        <f t="shared" si="94"/>
        <v>0</v>
      </c>
      <c r="G674" s="1444">
        <f t="shared" si="95"/>
        <v>0</v>
      </c>
      <c r="H674" s="1476">
        <f t="shared" si="87"/>
        <v>0</v>
      </c>
      <c r="I674" s="1444">
        <v>0</v>
      </c>
      <c r="J674" s="1444">
        <v>0</v>
      </c>
      <c r="K674" s="1476"/>
      <c r="L674" s="1476"/>
      <c r="M674" s="1476">
        <f t="shared" si="96"/>
        <v>0</v>
      </c>
      <c r="N674" s="1476">
        <f t="shared" si="88"/>
        <v>0</v>
      </c>
    </row>
    <row r="675" spans="1:14" ht="15.5" outlineLevel="1">
      <c r="A675" s="1454">
        <f t="shared" si="93"/>
        <v>12</v>
      </c>
      <c r="B675" s="1454" t="str">
        <f t="shared" si="93"/>
        <v>Installation of Fire &amp; Explosion Prevention system at Bhusawal 500MW Unit-4.</v>
      </c>
      <c r="C675" s="1475">
        <f t="shared" si="93"/>
        <v>0</v>
      </c>
      <c r="D675" s="1473" t="str">
        <f t="shared" si="93"/>
        <v>-</v>
      </c>
      <c r="E675" s="1476">
        <f t="shared" si="93"/>
        <v>0</v>
      </c>
      <c r="F675" s="1444">
        <f t="shared" si="94"/>
        <v>2.4539</v>
      </c>
      <c r="G675" s="1444">
        <f t="shared" si="95"/>
        <v>2.4539</v>
      </c>
      <c r="H675" s="1476">
        <f t="shared" si="87"/>
        <v>0</v>
      </c>
      <c r="I675" s="1444">
        <v>0</v>
      </c>
      <c r="J675" s="1444">
        <v>0</v>
      </c>
      <c r="K675" s="1476"/>
      <c r="L675" s="1476"/>
      <c r="M675" s="1476">
        <f t="shared" si="96"/>
        <v>0</v>
      </c>
      <c r="N675" s="1476">
        <f t="shared" si="88"/>
        <v>0</v>
      </c>
    </row>
    <row r="676" spans="1:14" ht="15.5" outlineLevel="1">
      <c r="A676" s="1454">
        <f t="shared" si="93"/>
        <v>13</v>
      </c>
      <c r="B676" s="1454" t="str">
        <f t="shared" si="93"/>
        <v>Fixtures &amp; Fitting (10801)</v>
      </c>
      <c r="C676" s="1475">
        <f t="shared" si="93"/>
        <v>0</v>
      </c>
      <c r="D676" s="1473" t="str">
        <f t="shared" si="93"/>
        <v>-</v>
      </c>
      <c r="E676" s="1476">
        <f t="shared" si="93"/>
        <v>0</v>
      </c>
      <c r="F676" s="1444">
        <f t="shared" si="94"/>
        <v>0.21333523199999999</v>
      </c>
      <c r="G676" s="1444">
        <f t="shared" si="95"/>
        <v>0.21333523199999999</v>
      </c>
      <c r="H676" s="1476">
        <f t="shared" si="87"/>
        <v>0</v>
      </c>
      <c r="I676" s="1444">
        <v>0</v>
      </c>
      <c r="J676" s="1444">
        <v>0</v>
      </c>
      <c r="K676" s="1476"/>
      <c r="L676" s="1476"/>
      <c r="M676" s="1476">
        <f t="shared" si="96"/>
        <v>0</v>
      </c>
      <c r="N676" s="1476">
        <f t="shared" si="88"/>
        <v>0</v>
      </c>
    </row>
    <row r="677" spans="1:14" ht="15.5" outlineLevel="1">
      <c r="A677" s="1454">
        <f t="shared" si="93"/>
        <v>14</v>
      </c>
      <c r="B677" s="1454" t="str">
        <f t="shared" si="93"/>
        <v>Office equpment (10901)</v>
      </c>
      <c r="C677" s="1475">
        <f t="shared" si="93"/>
        <v>0</v>
      </c>
      <c r="D677" s="1473" t="str">
        <f t="shared" si="93"/>
        <v>-</v>
      </c>
      <c r="E677" s="1476">
        <f t="shared" si="93"/>
        <v>0</v>
      </c>
      <c r="F677" s="1444">
        <f t="shared" si="94"/>
        <v>0.22996406</v>
      </c>
      <c r="G677" s="1444">
        <f t="shared" si="95"/>
        <v>0.22996406</v>
      </c>
      <c r="H677" s="1476">
        <f t="shared" si="87"/>
        <v>0</v>
      </c>
      <c r="I677" s="1444">
        <v>0</v>
      </c>
      <c r="J677" s="1444">
        <v>0</v>
      </c>
      <c r="K677" s="1476"/>
      <c r="L677" s="1476"/>
      <c r="M677" s="1476">
        <f t="shared" si="96"/>
        <v>0</v>
      </c>
      <c r="N677" s="1476">
        <f t="shared" si="88"/>
        <v>0</v>
      </c>
    </row>
    <row r="678" spans="1:14" ht="15.5" outlineLevel="1">
      <c r="A678" s="1454">
        <f t="shared" ref="A678:E693" si="97">A448</f>
        <v>15</v>
      </c>
      <c r="B678" s="1454" t="str">
        <f t="shared" si="97"/>
        <v>150 W &amp; 40 W LED FIXTURES AT TG HOUSE BUILDING 2X500MW</v>
      </c>
      <c r="C678" s="1475">
        <f t="shared" si="97"/>
        <v>0</v>
      </c>
      <c r="D678" s="1473" t="str">
        <f t="shared" si="97"/>
        <v>-</v>
      </c>
      <c r="E678" s="1476">
        <f t="shared" si="97"/>
        <v>0</v>
      </c>
      <c r="F678" s="1444">
        <f t="shared" si="94"/>
        <v>0.5280705</v>
      </c>
      <c r="G678" s="1444">
        <f t="shared" si="95"/>
        <v>0.2780705</v>
      </c>
      <c r="H678" s="1476">
        <f t="shared" si="87"/>
        <v>0.25</v>
      </c>
      <c r="I678" s="1444">
        <v>0</v>
      </c>
      <c r="J678" s="1444">
        <v>0</v>
      </c>
      <c r="K678" s="1476"/>
      <c r="L678" s="1476"/>
      <c r="M678" s="1476">
        <f t="shared" si="96"/>
        <v>0</v>
      </c>
      <c r="N678" s="1476">
        <f t="shared" si="88"/>
        <v>0.25</v>
      </c>
    </row>
    <row r="679" spans="1:14" ht="15.5" outlineLevel="1">
      <c r="A679" s="1454">
        <f t="shared" si="97"/>
        <v>16</v>
      </c>
      <c r="B679" s="1454" t="str">
        <f t="shared" si="97"/>
        <v>JUMBO DEESERT AIR COOLERS FOR POWER TRANSFORERS</v>
      </c>
      <c r="C679" s="1475">
        <f t="shared" si="97"/>
        <v>0</v>
      </c>
      <c r="D679" s="1473" t="str">
        <f t="shared" si="97"/>
        <v>-</v>
      </c>
      <c r="E679" s="1476">
        <f t="shared" si="97"/>
        <v>0</v>
      </c>
      <c r="F679" s="1444">
        <f t="shared" si="94"/>
        <v>0.1014328</v>
      </c>
      <c r="G679" s="1444">
        <f t="shared" si="95"/>
        <v>0.1014328</v>
      </c>
      <c r="H679" s="1476">
        <f t="shared" si="87"/>
        <v>0</v>
      </c>
      <c r="I679" s="1444">
        <v>0</v>
      </c>
      <c r="J679" s="1444">
        <v>0</v>
      </c>
      <c r="K679" s="1476"/>
      <c r="L679" s="1476"/>
      <c r="M679" s="1476">
        <f t="shared" si="96"/>
        <v>0</v>
      </c>
      <c r="N679" s="1476">
        <f t="shared" si="88"/>
        <v>0</v>
      </c>
    </row>
    <row r="680" spans="1:14" ht="15.5" outlineLevel="1">
      <c r="A680" s="1454">
        <f t="shared" si="97"/>
        <v>17</v>
      </c>
      <c r="B680" s="1454" t="str">
        <f t="shared" si="97"/>
        <v>GEN ASSET (ALMIRAH,TABLE &amp; CHAIR) (10801)</v>
      </c>
      <c r="C680" s="1475">
        <f t="shared" si="97"/>
        <v>0</v>
      </c>
      <c r="D680" s="1473" t="str">
        <f t="shared" si="97"/>
        <v>-</v>
      </c>
      <c r="E680" s="1476">
        <f t="shared" si="97"/>
        <v>0</v>
      </c>
      <c r="F680" s="1444">
        <f t="shared" si="94"/>
        <v>0.23453750000000001</v>
      </c>
      <c r="G680" s="1444">
        <f t="shared" si="95"/>
        <v>0.23453750000000001</v>
      </c>
      <c r="H680" s="1476">
        <f t="shared" si="87"/>
        <v>0</v>
      </c>
      <c r="I680" s="1444">
        <v>0</v>
      </c>
      <c r="J680" s="1444">
        <v>0</v>
      </c>
      <c r="K680" s="1476"/>
      <c r="L680" s="1476"/>
      <c r="M680" s="1476">
        <f t="shared" si="96"/>
        <v>0</v>
      </c>
      <c r="N680" s="1476">
        <f t="shared" si="88"/>
        <v>0</v>
      </c>
    </row>
    <row r="681" spans="1:14" ht="15.5" outlineLevel="1">
      <c r="A681" s="1454">
        <f t="shared" si="97"/>
        <v>18</v>
      </c>
      <c r="B681" s="1454" t="str">
        <f t="shared" si="97"/>
        <v>LAPTOP, 50 INCH TV,PRINTER,PROJECTOR,DESKTOP,UPS &amp; ETS. (10901)</v>
      </c>
      <c r="C681" s="1475">
        <f t="shared" si="97"/>
        <v>0</v>
      </c>
      <c r="D681" s="1473" t="str">
        <f t="shared" si="97"/>
        <v>-</v>
      </c>
      <c r="E681" s="1476">
        <f t="shared" si="97"/>
        <v>0</v>
      </c>
      <c r="F681" s="1444">
        <f t="shared" si="94"/>
        <v>0.55035469999999997</v>
      </c>
      <c r="G681" s="1444">
        <f t="shared" si="95"/>
        <v>0.55035469999999997</v>
      </c>
      <c r="H681" s="1476">
        <f t="shared" si="87"/>
        <v>0</v>
      </c>
      <c r="I681" s="1444">
        <v>0</v>
      </c>
      <c r="J681" s="1444">
        <v>0</v>
      </c>
      <c r="K681" s="1476"/>
      <c r="L681" s="1476"/>
      <c r="M681" s="1476">
        <f t="shared" si="96"/>
        <v>0</v>
      </c>
      <c r="N681" s="1476">
        <f t="shared" si="88"/>
        <v>0</v>
      </c>
    </row>
    <row r="682" spans="1:14" ht="15.5" outlineLevel="1">
      <c r="A682" s="1454">
        <f t="shared" si="97"/>
        <v>19</v>
      </c>
      <c r="B682" s="1454" t="str">
        <f t="shared" si="97"/>
        <v>RESTAURANT EQUIP COMPOSTING MACHINE</v>
      </c>
      <c r="C682" s="1475">
        <f t="shared" si="97"/>
        <v>0</v>
      </c>
      <c r="D682" s="1473" t="str">
        <f t="shared" si="97"/>
        <v>-</v>
      </c>
      <c r="E682" s="1476">
        <f t="shared" si="97"/>
        <v>0</v>
      </c>
      <c r="F682" s="1444">
        <f t="shared" si="94"/>
        <v>5.0490047999999996E-2</v>
      </c>
      <c r="G682" s="1444">
        <f t="shared" si="95"/>
        <v>5.0490047999999996E-2</v>
      </c>
      <c r="H682" s="1476">
        <f t="shared" ref="H682:H694" si="98">F682-G682</f>
        <v>0</v>
      </c>
      <c r="I682" s="1444">
        <v>0</v>
      </c>
      <c r="J682" s="1444">
        <v>0</v>
      </c>
      <c r="K682" s="1476"/>
      <c r="L682" s="1476"/>
      <c r="M682" s="1476">
        <f t="shared" si="96"/>
        <v>0</v>
      </c>
      <c r="N682" s="1476"/>
    </row>
    <row r="683" spans="1:14" ht="15.5" outlineLevel="1">
      <c r="A683" s="1454">
        <f t="shared" si="97"/>
        <v>20</v>
      </c>
      <c r="B683" s="1454" t="str">
        <f t="shared" si="97"/>
        <v>OFFICE TABLE,STORGE RACK,FAN</v>
      </c>
      <c r="C683" s="1475">
        <f t="shared" si="97"/>
        <v>0</v>
      </c>
      <c r="D683" s="1473" t="str">
        <f t="shared" si="97"/>
        <v>-</v>
      </c>
      <c r="E683" s="1476">
        <f t="shared" si="97"/>
        <v>0</v>
      </c>
      <c r="F683" s="1444">
        <f t="shared" si="94"/>
        <v>0.57868969999999997</v>
      </c>
      <c r="G683" s="1444">
        <f t="shared" si="95"/>
        <v>0.57868969999999997</v>
      </c>
      <c r="H683" s="1476">
        <f t="shared" si="98"/>
        <v>0</v>
      </c>
      <c r="I683" s="1444">
        <v>0</v>
      </c>
      <c r="J683" s="1444">
        <v>0</v>
      </c>
      <c r="K683" s="1476"/>
      <c r="L683" s="1476"/>
      <c r="M683" s="1476">
        <f t="shared" si="96"/>
        <v>0</v>
      </c>
      <c r="N683" s="1476"/>
    </row>
    <row r="684" spans="1:14" ht="15.5" outlineLevel="1">
      <c r="A684" s="1454">
        <f t="shared" si="97"/>
        <v>21</v>
      </c>
      <c r="B684" s="1454" t="str">
        <f t="shared" si="97"/>
        <v>CAMERAS</v>
      </c>
      <c r="C684" s="1475">
        <f t="shared" si="97"/>
        <v>0</v>
      </c>
      <c r="D684" s="1473" t="str">
        <f t="shared" si="97"/>
        <v>-</v>
      </c>
      <c r="E684" s="1476">
        <f t="shared" si="97"/>
        <v>0</v>
      </c>
      <c r="F684" s="1444">
        <f t="shared" si="94"/>
        <v>3.8467899999999999E-2</v>
      </c>
      <c r="G684" s="1444">
        <f t="shared" si="95"/>
        <v>3.8467899999999999E-2</v>
      </c>
      <c r="H684" s="1476">
        <f t="shared" si="98"/>
        <v>0</v>
      </c>
      <c r="I684" s="1444">
        <v>0</v>
      </c>
      <c r="J684" s="1444">
        <v>0</v>
      </c>
      <c r="K684" s="1476"/>
      <c r="L684" s="1476"/>
      <c r="M684" s="1476">
        <f t="shared" si="96"/>
        <v>0</v>
      </c>
      <c r="N684" s="1476"/>
    </row>
    <row r="685" spans="1:14" ht="15.5" outlineLevel="1">
      <c r="A685" s="1454">
        <f t="shared" si="97"/>
        <v>22</v>
      </c>
      <c r="B685" s="1454" t="str">
        <f t="shared" si="97"/>
        <v>VELHALA ASH BUND RD WORK</v>
      </c>
      <c r="C685" s="1475">
        <f t="shared" si="97"/>
        <v>0</v>
      </c>
      <c r="D685" s="1473" t="str">
        <f t="shared" si="97"/>
        <v>-</v>
      </c>
      <c r="E685" s="1476">
        <f t="shared" si="97"/>
        <v>0</v>
      </c>
      <c r="F685" s="1444">
        <f t="shared" si="94"/>
        <v>2.4644665859999999</v>
      </c>
      <c r="G685" s="1444">
        <f t="shared" si="95"/>
        <v>2.4644665859999999</v>
      </c>
      <c r="H685" s="1476">
        <f t="shared" si="98"/>
        <v>0</v>
      </c>
      <c r="I685" s="1444">
        <v>0</v>
      </c>
      <c r="J685" s="1444">
        <v>0</v>
      </c>
      <c r="K685" s="1476"/>
      <c r="L685" s="1476"/>
      <c r="M685" s="1476">
        <f t="shared" si="96"/>
        <v>0</v>
      </c>
      <c r="N685" s="1476"/>
    </row>
    <row r="686" spans="1:14" ht="15.5" outlineLevel="1">
      <c r="A686" s="1454">
        <f t="shared" si="97"/>
        <v>23</v>
      </c>
      <c r="B686" s="1454" t="str">
        <f t="shared" si="97"/>
        <v>CONCERETE ROAD FROM DIESEL PUMP TO 500MW FACTORY G</v>
      </c>
      <c r="C686" s="1475">
        <f t="shared" si="97"/>
        <v>0</v>
      </c>
      <c r="D686" s="1473" t="str">
        <f t="shared" si="97"/>
        <v>-</v>
      </c>
      <c r="E686" s="1476">
        <f t="shared" si="97"/>
        <v>0</v>
      </c>
      <c r="F686" s="1444">
        <f t="shared" si="94"/>
        <v>0.98448907899999993</v>
      </c>
      <c r="G686" s="1444">
        <f t="shared" si="95"/>
        <v>0.98448907899999993</v>
      </c>
      <c r="H686" s="1476">
        <f t="shared" si="98"/>
        <v>0</v>
      </c>
      <c r="I686" s="1444">
        <v>0</v>
      </c>
      <c r="J686" s="1444">
        <v>0</v>
      </c>
      <c r="K686" s="1476"/>
      <c r="L686" s="1476"/>
      <c r="M686" s="1476">
        <f t="shared" si="96"/>
        <v>0</v>
      </c>
      <c r="N686" s="1476"/>
    </row>
    <row r="687" spans="1:14" ht="15.5" outlineLevel="1">
      <c r="A687" s="1454">
        <f t="shared" si="97"/>
        <v>24</v>
      </c>
      <c r="B687" s="1454" t="str">
        <f t="shared" si="97"/>
        <v>Admin Building</v>
      </c>
      <c r="C687" s="1475">
        <f t="shared" si="97"/>
        <v>0</v>
      </c>
      <c r="D687" s="1473" t="str">
        <f t="shared" si="97"/>
        <v>-</v>
      </c>
      <c r="E687" s="1476">
        <f t="shared" si="97"/>
        <v>0</v>
      </c>
      <c r="F687" s="1444">
        <f t="shared" si="94"/>
        <v>5.1749999999999997E-2</v>
      </c>
      <c r="G687" s="1444">
        <f t="shared" si="95"/>
        <v>0</v>
      </c>
      <c r="H687" s="1476">
        <f t="shared" si="98"/>
        <v>5.1749999999999997E-2</v>
      </c>
      <c r="I687" s="1444">
        <v>0</v>
      </c>
      <c r="J687" s="1444">
        <v>0</v>
      </c>
      <c r="K687" s="1476"/>
      <c r="L687" s="1476"/>
      <c r="M687" s="1476">
        <f t="shared" si="96"/>
        <v>0</v>
      </c>
      <c r="N687" s="1476"/>
    </row>
    <row r="688" spans="1:14" ht="15.5" outlineLevel="1">
      <c r="A688" s="1455">
        <f t="shared" si="97"/>
        <v>25</v>
      </c>
      <c r="B688" s="1455" t="str">
        <f t="shared" si="97"/>
        <v>Furniture &amp; Fixture</v>
      </c>
      <c r="C688" s="1475">
        <f t="shared" si="97"/>
        <v>0</v>
      </c>
      <c r="D688" s="1473" t="str">
        <f t="shared" si="97"/>
        <v>-</v>
      </c>
      <c r="E688" s="1476">
        <f t="shared" si="97"/>
        <v>0</v>
      </c>
      <c r="F688" s="1444">
        <f t="shared" si="94"/>
        <v>0.13712089999999999</v>
      </c>
      <c r="G688" s="1444">
        <f t="shared" si="95"/>
        <v>0.13712089999999999</v>
      </c>
      <c r="H688" s="1476">
        <f t="shared" si="98"/>
        <v>0</v>
      </c>
      <c r="I688" s="1444">
        <v>0</v>
      </c>
      <c r="J688" s="1444">
        <v>0</v>
      </c>
      <c r="K688" s="1476"/>
      <c r="L688" s="1476"/>
      <c r="M688" s="1476">
        <f t="shared" si="96"/>
        <v>0</v>
      </c>
      <c r="N688" s="1476"/>
    </row>
    <row r="689" spans="1:16" ht="15.5" outlineLevel="1">
      <c r="A689" s="1455">
        <f t="shared" si="97"/>
        <v>26</v>
      </c>
      <c r="B689" s="1455" t="str">
        <f t="shared" si="97"/>
        <v>Office Equipment</v>
      </c>
      <c r="C689" s="1475">
        <f t="shared" si="97"/>
        <v>0</v>
      </c>
      <c r="D689" s="1473" t="str">
        <f t="shared" si="97"/>
        <v>-</v>
      </c>
      <c r="E689" s="1476">
        <f t="shared" si="97"/>
        <v>0</v>
      </c>
      <c r="F689" s="1444">
        <f t="shared" si="94"/>
        <v>0.14423554</v>
      </c>
      <c r="G689" s="1444">
        <f t="shared" si="95"/>
        <v>0.14423554</v>
      </c>
      <c r="H689" s="1476">
        <f t="shared" si="98"/>
        <v>0</v>
      </c>
      <c r="I689" s="1444">
        <v>0</v>
      </c>
      <c r="J689" s="1444">
        <v>0</v>
      </c>
      <c r="K689" s="1476"/>
      <c r="L689" s="1476"/>
      <c r="M689" s="1476">
        <f t="shared" si="96"/>
        <v>0</v>
      </c>
      <c r="N689" s="1476"/>
    </row>
    <row r="690" spans="1:16" ht="15.5" outlineLevel="1">
      <c r="A690" s="1455">
        <f t="shared" si="97"/>
        <v>27</v>
      </c>
      <c r="B690" s="1455" t="str">
        <f t="shared" si="97"/>
        <v>Furniture &amp; Fixture</v>
      </c>
      <c r="C690" s="1475">
        <f t="shared" si="97"/>
        <v>0</v>
      </c>
      <c r="D690" s="1473" t="str">
        <f t="shared" si="97"/>
        <v>-</v>
      </c>
      <c r="E690" s="1476">
        <f t="shared" si="97"/>
        <v>0</v>
      </c>
      <c r="F690" s="1444">
        <f t="shared" si="94"/>
        <v>7.3968300000000001E-2</v>
      </c>
      <c r="G690" s="1444">
        <f t="shared" si="95"/>
        <v>7.3968300000000001E-2</v>
      </c>
      <c r="H690" s="1476">
        <f t="shared" si="98"/>
        <v>0</v>
      </c>
      <c r="I690" s="1444">
        <v>0</v>
      </c>
      <c r="J690" s="1444">
        <v>0</v>
      </c>
      <c r="K690" s="1476"/>
      <c r="L690" s="1476"/>
      <c r="M690" s="1476">
        <f t="shared" si="96"/>
        <v>0</v>
      </c>
      <c r="N690" s="1476"/>
    </row>
    <row r="691" spans="1:16" ht="15.5" outlineLevel="1">
      <c r="A691" s="1455">
        <f t="shared" si="97"/>
        <v>28</v>
      </c>
      <c r="B691" s="1455" t="str">
        <f t="shared" si="97"/>
        <v>Office Equipment</v>
      </c>
      <c r="C691" s="1475">
        <f t="shared" si="97"/>
        <v>0</v>
      </c>
      <c r="D691" s="1473" t="str">
        <f t="shared" si="97"/>
        <v>-</v>
      </c>
      <c r="E691" s="1476">
        <f t="shared" si="97"/>
        <v>0</v>
      </c>
      <c r="F691" s="1444">
        <f t="shared" si="94"/>
        <v>0.15890559299999998</v>
      </c>
      <c r="G691" s="1444">
        <f t="shared" si="95"/>
        <v>0.15890559299999998</v>
      </c>
      <c r="H691" s="1476">
        <f t="shared" si="98"/>
        <v>0</v>
      </c>
      <c r="I691" s="1444">
        <v>0</v>
      </c>
      <c r="J691" s="1444">
        <v>0</v>
      </c>
      <c r="K691" s="1476"/>
      <c r="L691" s="1476"/>
      <c r="M691" s="1476">
        <f t="shared" si="96"/>
        <v>0</v>
      </c>
      <c r="N691" s="1476"/>
    </row>
    <row r="692" spans="1:16" ht="31" outlineLevel="1">
      <c r="A692" s="1455">
        <f t="shared" si="97"/>
        <v>29</v>
      </c>
      <c r="B692" s="1455" t="str">
        <f t="shared" si="97"/>
        <v>Work of repairs of 350 KW BCWP-4B &amp; BCWP-5B motor of M/s. Torishima make at BTPS 2x500 MW</v>
      </c>
      <c r="C692" s="1475">
        <f t="shared" si="97"/>
        <v>0</v>
      </c>
      <c r="D692" s="1473" t="str">
        <f t="shared" si="97"/>
        <v>-</v>
      </c>
      <c r="E692" s="1476">
        <f t="shared" si="97"/>
        <v>0</v>
      </c>
      <c r="F692" s="1444">
        <f t="shared" si="94"/>
        <v>4.8465386759999998</v>
      </c>
      <c r="G692" s="1444">
        <f t="shared" si="95"/>
        <v>4.8465386759999998</v>
      </c>
      <c r="H692" s="1476">
        <f t="shared" si="98"/>
        <v>0</v>
      </c>
      <c r="I692" s="1444">
        <v>0</v>
      </c>
      <c r="J692" s="1444">
        <v>0</v>
      </c>
      <c r="K692" s="1476"/>
      <c r="L692" s="1476"/>
      <c r="M692" s="1476">
        <f t="shared" si="96"/>
        <v>0</v>
      </c>
      <c r="N692" s="1476"/>
    </row>
    <row r="693" spans="1:16" ht="15.5" outlineLevel="1">
      <c r="A693" s="1455">
        <f t="shared" si="97"/>
        <v>30</v>
      </c>
      <c r="B693" s="1455" t="str">
        <f t="shared" si="97"/>
        <v>ABC Powder Type and Foam Type Composite Fire Extinguisher</v>
      </c>
      <c r="C693" s="1475">
        <f t="shared" si="97"/>
        <v>0</v>
      </c>
      <c r="D693" s="1473" t="str">
        <f t="shared" si="97"/>
        <v>-</v>
      </c>
      <c r="E693" s="1476">
        <f t="shared" si="97"/>
        <v>0</v>
      </c>
      <c r="F693" s="1444">
        <f t="shared" si="94"/>
        <v>0.58547995599999991</v>
      </c>
      <c r="G693" s="1444">
        <f t="shared" si="95"/>
        <v>0.58547995599999991</v>
      </c>
      <c r="H693" s="1476">
        <f t="shared" si="98"/>
        <v>0</v>
      </c>
      <c r="I693" s="1444">
        <v>0</v>
      </c>
      <c r="J693" s="1444">
        <v>0</v>
      </c>
      <c r="K693" s="1476"/>
      <c r="L693" s="1476"/>
      <c r="M693" s="1476">
        <f t="shared" si="96"/>
        <v>0</v>
      </c>
      <c r="N693" s="1476"/>
    </row>
    <row r="694" spans="1:16" ht="16" outlineLevel="1" thickBot="1">
      <c r="A694" s="1455">
        <f t="shared" ref="A694:E694" si="99">A464</f>
        <v>31</v>
      </c>
      <c r="B694" s="1455" t="str">
        <f t="shared" si="99"/>
        <v>Withdrawal of capex from Project (LD - Passenger Lifts)</v>
      </c>
      <c r="C694" s="1475">
        <f t="shared" si="99"/>
        <v>0</v>
      </c>
      <c r="D694" s="1473" t="str">
        <f t="shared" si="99"/>
        <v>-</v>
      </c>
      <c r="E694" s="1476">
        <f t="shared" si="99"/>
        <v>0</v>
      </c>
      <c r="F694" s="1444">
        <f t="shared" si="94"/>
        <v>0</v>
      </c>
      <c r="G694" s="1444">
        <f t="shared" si="95"/>
        <v>-0.138988</v>
      </c>
      <c r="H694" s="1476">
        <f t="shared" si="98"/>
        <v>0.138988</v>
      </c>
      <c r="I694" s="1444">
        <v>0</v>
      </c>
      <c r="J694" s="1444">
        <v>0</v>
      </c>
      <c r="K694" s="1476"/>
      <c r="L694" s="1476"/>
      <c r="M694" s="1476">
        <f t="shared" si="96"/>
        <v>0</v>
      </c>
      <c r="N694" s="1476"/>
    </row>
    <row r="695" spans="1:16" ht="15.5" thickBot="1">
      <c r="A695" s="1379"/>
      <c r="B695" s="1484" t="str">
        <f>B465</f>
        <v>Total</v>
      </c>
      <c r="C695" s="1380"/>
      <c r="D695" s="1381"/>
      <c r="E695" s="1485"/>
      <c r="F695" s="1485">
        <f>SUM(F470:F694)</f>
        <v>209.98195688765952</v>
      </c>
      <c r="G695" s="1485">
        <f t="shared" ref="G695:N695" si="100">SUM(G470:G694)</f>
        <v>214.58654807065949</v>
      </c>
      <c r="H695" s="1485">
        <f t="shared" si="100"/>
        <v>-4.6045911829999975</v>
      </c>
      <c r="I695" s="1485">
        <f t="shared" si="100"/>
        <v>164.51849636200001</v>
      </c>
      <c r="J695" s="1485">
        <f t="shared" si="100"/>
        <v>24.413145507999999</v>
      </c>
      <c r="K695" s="1485">
        <f t="shared" si="100"/>
        <v>0</v>
      </c>
      <c r="L695" s="1485">
        <f t="shared" si="100"/>
        <v>0</v>
      </c>
      <c r="M695" s="1485">
        <f t="shared" si="100"/>
        <v>24.413145507999999</v>
      </c>
      <c r="N695" s="1485">
        <f t="shared" si="100"/>
        <v>135.31002167099999</v>
      </c>
    </row>
    <row r="697" spans="1:16">
      <c r="A697" s="1434"/>
      <c r="B697" s="574" t="s">
        <v>1680</v>
      </c>
      <c r="C697" s="1435"/>
      <c r="D697" s="1436"/>
      <c r="E697" s="318"/>
      <c r="F697" s="318"/>
      <c r="G697" s="318"/>
      <c r="H697" s="318"/>
      <c r="I697" s="318"/>
      <c r="J697" s="318"/>
      <c r="K697" s="318"/>
      <c r="L697" s="318"/>
      <c r="M697" s="318"/>
      <c r="N697" s="318"/>
    </row>
    <row r="698" spans="1:16" outlineLevel="1">
      <c r="A698" s="131"/>
      <c r="B698" s="1288" t="str">
        <f t="shared" ref="B698:E713" si="101">B468</f>
        <v>a) DPR Schemes</v>
      </c>
      <c r="C698" s="1435"/>
      <c r="D698" s="1436"/>
      <c r="E698" s="318"/>
      <c r="F698" s="318"/>
      <c r="G698" s="318"/>
      <c r="H698" s="318"/>
      <c r="I698" s="318"/>
      <c r="J698" s="318"/>
      <c r="K698" s="318"/>
      <c r="L698" s="318"/>
      <c r="M698" s="318"/>
      <c r="N698" s="318"/>
    </row>
    <row r="699" spans="1:16" outlineLevel="1">
      <c r="A699" s="131"/>
      <c r="B699" s="1437" t="str">
        <f t="shared" si="101"/>
        <v>(i) Submitted to MERC</v>
      </c>
      <c r="C699" s="1438"/>
      <c r="D699" s="1439"/>
      <c r="E699" s="318"/>
      <c r="F699" s="318"/>
      <c r="G699" s="318"/>
      <c r="H699" s="318"/>
      <c r="I699" s="318"/>
      <c r="J699" s="318"/>
      <c r="K699" s="318"/>
      <c r="L699" s="318"/>
      <c r="M699" s="318"/>
      <c r="N699" s="318"/>
    </row>
    <row r="700" spans="1:16" ht="31" outlineLevel="1">
      <c r="A700" s="1440">
        <f t="shared" ref="A700:E715" si="102">A470</f>
        <v>7</v>
      </c>
      <c r="B700" s="1441" t="str">
        <f t="shared" si="101"/>
        <v>Interconnection of 210 MW CHP to 500 MW CHP through Conveyors BC-02 &amp; BC-03 having capacity of 500 TPH</v>
      </c>
      <c r="C700" s="1442" t="str">
        <f t="shared" si="101"/>
        <v>MERC/CAPEX/20162017/00227</v>
      </c>
      <c r="D700" s="1443">
        <f t="shared" si="101"/>
        <v>42514</v>
      </c>
      <c r="E700" s="1444">
        <f t="shared" si="101"/>
        <v>24</v>
      </c>
      <c r="F700" s="1444">
        <f t="shared" ref="F700:F763" si="103">F470+I470</f>
        <v>0</v>
      </c>
      <c r="G700" s="1444">
        <f t="shared" ref="G700:G763" si="104">G470+M470</f>
        <v>0</v>
      </c>
      <c r="H700" s="1444">
        <f t="shared" ref="H700:H763" si="105">F700-G700</f>
        <v>0</v>
      </c>
      <c r="I700" s="1444">
        <v>0</v>
      </c>
      <c r="J700" s="1444">
        <v>0</v>
      </c>
      <c r="K700" s="1444"/>
      <c r="L700" s="1444"/>
      <c r="M700" s="1444">
        <f t="shared" ref="M700" si="106">SUM(J700:L700)</f>
        <v>0</v>
      </c>
      <c r="N700" s="1444">
        <f t="shared" ref="N700:N763" si="107">H700+I700-M700</f>
        <v>0</v>
      </c>
      <c r="O700" s="1445">
        <f t="shared" ref="O700:O763" si="108">MAX(0,IF(M700=0,0,IF(G700+M700&lt;E700,M700,E700-G700)))</f>
        <v>0</v>
      </c>
      <c r="P700" s="1377">
        <f t="shared" ref="P700:P763" si="109">M700-O700</f>
        <v>0</v>
      </c>
    </row>
    <row r="701" spans="1:16" ht="31" outlineLevel="1">
      <c r="A701" s="1446">
        <f t="shared" si="102"/>
        <v>7.1</v>
      </c>
      <c r="B701" s="1447" t="str">
        <f t="shared" si="101"/>
        <v>Interconnection of 210 MW CHP to 500 MW CHP through Conveyors BC-02 &amp; BC-03 having capacity of 500 TPH</v>
      </c>
      <c r="C701" s="1472" t="str">
        <f t="shared" si="101"/>
        <v>MERC/CAPEX/20162017/00227</v>
      </c>
      <c r="D701" s="1473">
        <f t="shared" si="101"/>
        <v>42514</v>
      </c>
      <c r="E701" s="1474">
        <f t="shared" si="101"/>
        <v>22.73</v>
      </c>
      <c r="F701" s="1444">
        <f t="shared" si="103"/>
        <v>19.106691754</v>
      </c>
      <c r="G701" s="1444">
        <f t="shared" si="104"/>
        <v>19.106691754</v>
      </c>
      <c r="H701" s="1474">
        <f t="shared" si="105"/>
        <v>0</v>
      </c>
      <c r="I701" s="1444">
        <v>0</v>
      </c>
      <c r="J701" s="1444">
        <v>0</v>
      </c>
      <c r="K701" s="1474"/>
      <c r="L701" s="1474"/>
      <c r="M701" s="1474">
        <f t="shared" ref="M701:M764" si="110">SUM(J701:L701)</f>
        <v>0</v>
      </c>
      <c r="N701" s="1474">
        <f t="shared" si="107"/>
        <v>0</v>
      </c>
      <c r="O701" s="1445">
        <f t="shared" si="108"/>
        <v>0</v>
      </c>
      <c r="P701" s="1377">
        <f t="shared" si="109"/>
        <v>0</v>
      </c>
    </row>
    <row r="702" spans="1:16" ht="15.5" outlineLevel="1">
      <c r="A702" s="1446">
        <f t="shared" si="102"/>
        <v>0</v>
      </c>
      <c r="B702" s="1447" t="str">
        <f t="shared" si="101"/>
        <v>IDC</v>
      </c>
      <c r="C702" s="1472" t="str">
        <f t="shared" si="101"/>
        <v>MERC/CAPEX/20162017/00227</v>
      </c>
      <c r="D702" s="1473">
        <f t="shared" si="101"/>
        <v>42514</v>
      </c>
      <c r="E702" s="1474">
        <f t="shared" si="101"/>
        <v>1.27</v>
      </c>
      <c r="F702" s="1444">
        <f t="shared" si="103"/>
        <v>0</v>
      </c>
      <c r="G702" s="1444">
        <f t="shared" si="104"/>
        <v>0</v>
      </c>
      <c r="H702" s="1474">
        <f t="shared" si="105"/>
        <v>0</v>
      </c>
      <c r="I702" s="1444">
        <v>0</v>
      </c>
      <c r="J702" s="1444">
        <v>0</v>
      </c>
      <c r="K702" s="1474"/>
      <c r="L702" s="1474"/>
      <c r="M702" s="1474">
        <f t="shared" si="110"/>
        <v>0</v>
      </c>
      <c r="N702" s="1474">
        <f t="shared" si="107"/>
        <v>0</v>
      </c>
      <c r="O702" s="1445">
        <f t="shared" si="108"/>
        <v>0</v>
      </c>
      <c r="P702" s="1377">
        <f t="shared" si="109"/>
        <v>0</v>
      </c>
    </row>
    <row r="703" spans="1:16" ht="31" outlineLevel="1">
      <c r="A703" s="1440">
        <f t="shared" si="102"/>
        <v>8</v>
      </c>
      <c r="B703" s="1441" t="str">
        <f t="shared" si="101"/>
        <v>Stack management by procurement of Bulldozer &amp; LOCO and CHP area schemes for performance &amp; unloading improvement</v>
      </c>
      <c r="C703" s="1442" t="str">
        <f t="shared" si="101"/>
        <v>MERC/CAPEX/20162017/01426</v>
      </c>
      <c r="D703" s="1443">
        <f t="shared" si="101"/>
        <v>42768</v>
      </c>
      <c r="E703" s="1444">
        <f t="shared" si="101"/>
        <v>9.9669421487603316</v>
      </c>
      <c r="F703" s="1444">
        <f t="shared" si="103"/>
        <v>0</v>
      </c>
      <c r="G703" s="1444">
        <f t="shared" si="104"/>
        <v>0</v>
      </c>
      <c r="H703" s="1444">
        <f t="shared" si="105"/>
        <v>0</v>
      </c>
      <c r="I703" s="1444">
        <v>0</v>
      </c>
      <c r="J703" s="1444">
        <v>0</v>
      </c>
      <c r="K703" s="1444"/>
      <c r="L703" s="1444"/>
      <c r="M703" s="1444">
        <f t="shared" si="110"/>
        <v>0</v>
      </c>
      <c r="N703" s="1444">
        <f t="shared" si="107"/>
        <v>0</v>
      </c>
      <c r="O703" s="1445">
        <f t="shared" si="108"/>
        <v>0</v>
      </c>
      <c r="P703" s="1377">
        <f t="shared" si="109"/>
        <v>0</v>
      </c>
    </row>
    <row r="704" spans="1:16" ht="15.5" outlineLevel="1">
      <c r="A704" s="1446">
        <f t="shared" si="102"/>
        <v>8.1</v>
      </c>
      <c r="B704" s="1447" t="str">
        <f t="shared" si="101"/>
        <v>Procurement of Locomotive 800 HP (2 No.’s)</v>
      </c>
      <c r="C704" s="1472" t="str">
        <f t="shared" si="101"/>
        <v>MERC/CAPEX/20162017/01426</v>
      </c>
      <c r="D704" s="1473">
        <f t="shared" si="101"/>
        <v>42768</v>
      </c>
      <c r="E704" s="1474">
        <f t="shared" si="101"/>
        <v>4.9504132231404956</v>
      </c>
      <c r="F704" s="1444">
        <f t="shared" si="103"/>
        <v>4.8260800000000001</v>
      </c>
      <c r="G704" s="1444">
        <f t="shared" si="104"/>
        <v>4.8260800000000001</v>
      </c>
      <c r="H704" s="1474">
        <f t="shared" si="105"/>
        <v>0</v>
      </c>
      <c r="I704" s="1444">
        <v>0</v>
      </c>
      <c r="J704" s="1444">
        <v>0</v>
      </c>
      <c r="K704" s="1474"/>
      <c r="L704" s="1474"/>
      <c r="M704" s="1474">
        <f t="shared" si="110"/>
        <v>0</v>
      </c>
      <c r="N704" s="1474">
        <f t="shared" si="107"/>
        <v>0</v>
      </c>
      <c r="O704" s="1445">
        <f t="shared" si="108"/>
        <v>0</v>
      </c>
      <c r="P704" s="1377">
        <f t="shared" si="109"/>
        <v>0</v>
      </c>
    </row>
    <row r="705" spans="1:16" ht="15.5" outlineLevel="1">
      <c r="A705" s="1446">
        <f t="shared" si="102"/>
        <v>8.1999999999999993</v>
      </c>
      <c r="B705" s="1447" t="str">
        <f t="shared" si="101"/>
        <v>Procurement of 2 No’s of Bulldozer Model D-155(2 No.’s)</v>
      </c>
      <c r="C705" s="1472" t="str">
        <f t="shared" si="101"/>
        <v>MERC/CAPEX/20162017/01426</v>
      </c>
      <c r="D705" s="1473">
        <f t="shared" si="101"/>
        <v>42768</v>
      </c>
      <c r="E705" s="1474">
        <f t="shared" si="101"/>
        <v>2.5619834710743801</v>
      </c>
      <c r="F705" s="1444">
        <f t="shared" si="103"/>
        <v>3.4747105785123966</v>
      </c>
      <c r="G705" s="1444">
        <f t="shared" si="104"/>
        <v>3.4747105785123966</v>
      </c>
      <c r="H705" s="1474">
        <f t="shared" si="105"/>
        <v>0</v>
      </c>
      <c r="I705" s="1444">
        <v>0</v>
      </c>
      <c r="J705" s="1444">
        <v>0</v>
      </c>
      <c r="K705" s="1474"/>
      <c r="L705" s="1474"/>
      <c r="M705" s="1474">
        <f t="shared" si="110"/>
        <v>0</v>
      </c>
      <c r="N705" s="1474">
        <f t="shared" si="107"/>
        <v>0</v>
      </c>
      <c r="O705" s="1445">
        <f t="shared" si="108"/>
        <v>0</v>
      </c>
      <c r="P705" s="1377">
        <f t="shared" si="109"/>
        <v>0</v>
      </c>
    </row>
    <row r="706" spans="1:16" ht="15.5" outlineLevel="1">
      <c r="A706" s="1446">
        <f t="shared" si="102"/>
        <v>8.3000000000000007</v>
      </c>
      <c r="B706" s="1447" t="str">
        <f t="shared" si="101"/>
        <v>Modification below primary crusher chutes 15A/B &amp; Conv.02</v>
      </c>
      <c r="C706" s="1472" t="str">
        <f t="shared" si="101"/>
        <v>MERC/CAPEX/20162017/01426</v>
      </c>
      <c r="D706" s="1473">
        <f t="shared" si="101"/>
        <v>42768</v>
      </c>
      <c r="E706" s="1474">
        <f t="shared" si="101"/>
        <v>0.42975206611570249</v>
      </c>
      <c r="F706" s="1444">
        <f t="shared" si="103"/>
        <v>0.38033057851239671</v>
      </c>
      <c r="G706" s="1444">
        <f t="shared" si="104"/>
        <v>0.38033057851239671</v>
      </c>
      <c r="H706" s="1474">
        <f t="shared" si="105"/>
        <v>0</v>
      </c>
      <c r="I706" s="1444">
        <v>0</v>
      </c>
      <c r="J706" s="1444">
        <v>0</v>
      </c>
      <c r="K706" s="1474"/>
      <c r="L706" s="1474"/>
      <c r="M706" s="1474">
        <f t="shared" si="110"/>
        <v>0</v>
      </c>
      <c r="N706" s="1474">
        <f t="shared" si="107"/>
        <v>0</v>
      </c>
      <c r="O706" s="1445">
        <f t="shared" si="108"/>
        <v>0</v>
      </c>
      <c r="P706" s="1377">
        <f t="shared" si="109"/>
        <v>0</v>
      </c>
    </row>
    <row r="707" spans="1:16" ht="15.5" outlineLevel="1">
      <c r="A707" s="1446">
        <f t="shared" si="102"/>
        <v>8.4</v>
      </c>
      <c r="B707" s="1447" t="str">
        <f t="shared" si="101"/>
        <v>New helical gear box for various conveyors</v>
      </c>
      <c r="C707" s="1472" t="str">
        <f t="shared" si="101"/>
        <v>MERC/CAPEX/20162017/01426</v>
      </c>
      <c r="D707" s="1473">
        <f t="shared" si="101"/>
        <v>42768</v>
      </c>
      <c r="E707" s="1474">
        <f t="shared" si="101"/>
        <v>0.79338842975206614</v>
      </c>
      <c r="F707" s="1444">
        <f t="shared" si="103"/>
        <v>0</v>
      </c>
      <c r="G707" s="1444">
        <f t="shared" si="104"/>
        <v>0</v>
      </c>
      <c r="H707" s="1474">
        <f t="shared" si="105"/>
        <v>0</v>
      </c>
      <c r="I707" s="1444">
        <v>0</v>
      </c>
      <c r="J707" s="1444">
        <v>0</v>
      </c>
      <c r="K707" s="1474"/>
      <c r="L707" s="1474"/>
      <c r="M707" s="1474">
        <f t="shared" si="110"/>
        <v>0</v>
      </c>
      <c r="N707" s="1474">
        <f t="shared" si="107"/>
        <v>0</v>
      </c>
      <c r="O707" s="1445">
        <f t="shared" si="108"/>
        <v>0</v>
      </c>
      <c r="P707" s="1377">
        <f t="shared" si="109"/>
        <v>0</v>
      </c>
    </row>
    <row r="708" spans="1:16" ht="15.5" outlineLevel="1">
      <c r="A708" s="1446">
        <f t="shared" si="102"/>
        <v>8.5</v>
      </c>
      <c r="B708" s="1447" t="str">
        <f t="shared" si="101"/>
        <v xml:space="preserve">Procurement of Elecon Make Ring Granulator Type TK-09-38B </v>
      </c>
      <c r="C708" s="1472" t="str">
        <f t="shared" si="101"/>
        <v>MERC/CAPEX/20162017/01426</v>
      </c>
      <c r="D708" s="1473">
        <f t="shared" si="101"/>
        <v>42768</v>
      </c>
      <c r="E708" s="1474">
        <f t="shared" si="101"/>
        <v>0.53719008264462809</v>
      </c>
      <c r="F708" s="1444">
        <f t="shared" si="103"/>
        <v>0</v>
      </c>
      <c r="G708" s="1444">
        <f t="shared" si="104"/>
        <v>0</v>
      </c>
      <c r="H708" s="1474">
        <f t="shared" si="105"/>
        <v>0</v>
      </c>
      <c r="I708" s="1444">
        <v>0</v>
      </c>
      <c r="J708" s="1444">
        <v>0</v>
      </c>
      <c r="K708" s="1474"/>
      <c r="L708" s="1474"/>
      <c r="M708" s="1474">
        <f t="shared" si="110"/>
        <v>0</v>
      </c>
      <c r="N708" s="1474">
        <f t="shared" si="107"/>
        <v>0</v>
      </c>
      <c r="O708" s="1445">
        <f t="shared" si="108"/>
        <v>0</v>
      </c>
      <c r="P708" s="1377">
        <f t="shared" si="109"/>
        <v>0</v>
      </c>
    </row>
    <row r="709" spans="1:16" ht="15.5" outlineLevel="1">
      <c r="A709" s="1446">
        <f t="shared" si="102"/>
        <v>8.6</v>
      </c>
      <c r="B709" s="1447" t="str">
        <f t="shared" si="101"/>
        <v>Procurement of Elecon Make Ring Granulator Type TK6 32B Ring Granulator</v>
      </c>
      <c r="C709" s="1472" t="str">
        <f t="shared" si="101"/>
        <v>MERC/CAPEX/20162017/01426</v>
      </c>
      <c r="D709" s="1473">
        <f t="shared" si="101"/>
        <v>42768</v>
      </c>
      <c r="E709" s="1474">
        <f t="shared" si="101"/>
        <v>0.33884297520661155</v>
      </c>
      <c r="F709" s="1444">
        <f t="shared" si="103"/>
        <v>0</v>
      </c>
      <c r="G709" s="1444">
        <f t="shared" si="104"/>
        <v>0</v>
      </c>
      <c r="H709" s="1474">
        <f t="shared" si="105"/>
        <v>0</v>
      </c>
      <c r="I709" s="1444">
        <v>0</v>
      </c>
      <c r="J709" s="1444">
        <v>0</v>
      </c>
      <c r="K709" s="1474"/>
      <c r="L709" s="1474"/>
      <c r="M709" s="1474">
        <f t="shared" si="110"/>
        <v>0</v>
      </c>
      <c r="N709" s="1474">
        <f t="shared" si="107"/>
        <v>0</v>
      </c>
      <c r="O709" s="1445">
        <f t="shared" si="108"/>
        <v>0</v>
      </c>
      <c r="P709" s="1377">
        <f t="shared" si="109"/>
        <v>0</v>
      </c>
    </row>
    <row r="710" spans="1:16" ht="15.5" outlineLevel="1">
      <c r="A710" s="1446">
        <f t="shared" si="102"/>
        <v>0</v>
      </c>
      <c r="B710" s="1447" t="str">
        <f t="shared" si="101"/>
        <v>IDC</v>
      </c>
      <c r="C710" s="1472" t="str">
        <f t="shared" si="101"/>
        <v>MERC/CAPEX/20162017/01426</v>
      </c>
      <c r="D710" s="1473">
        <f t="shared" si="101"/>
        <v>42768</v>
      </c>
      <c r="E710" s="1474">
        <f t="shared" si="101"/>
        <v>0.35537190082644626</v>
      </c>
      <c r="F710" s="1444">
        <f t="shared" si="103"/>
        <v>0</v>
      </c>
      <c r="G710" s="1444">
        <f t="shared" si="104"/>
        <v>0</v>
      </c>
      <c r="H710" s="1474">
        <f t="shared" si="105"/>
        <v>0</v>
      </c>
      <c r="I710" s="1444">
        <v>0</v>
      </c>
      <c r="J710" s="1444">
        <v>0</v>
      </c>
      <c r="K710" s="1474"/>
      <c r="L710" s="1474"/>
      <c r="M710" s="1474">
        <f t="shared" si="110"/>
        <v>0</v>
      </c>
      <c r="N710" s="1474">
        <f t="shared" si="107"/>
        <v>0</v>
      </c>
      <c r="O710" s="1445">
        <f t="shared" si="108"/>
        <v>0</v>
      </c>
      <c r="P710" s="1377">
        <f t="shared" si="109"/>
        <v>0</v>
      </c>
    </row>
    <row r="711" spans="1:16" ht="15.5" outlineLevel="1">
      <c r="A711" s="1440">
        <f t="shared" si="102"/>
        <v>9</v>
      </c>
      <c r="B711" s="1441" t="str">
        <f t="shared" si="101"/>
        <v>Construction of 1st raising of Ash bund from T.B.L. 258M to 264M at Bhusawal TPS</v>
      </c>
      <c r="C711" s="1442" t="str">
        <f t="shared" si="101"/>
        <v>MERC/CAPEX/20172018/4267</v>
      </c>
      <c r="D711" s="1443">
        <f t="shared" si="101"/>
        <v>43006</v>
      </c>
      <c r="E711" s="1444">
        <f t="shared" si="101"/>
        <v>64.22</v>
      </c>
      <c r="F711" s="1444">
        <f t="shared" si="103"/>
        <v>0</v>
      </c>
      <c r="G711" s="1444">
        <f t="shared" si="104"/>
        <v>0</v>
      </c>
      <c r="H711" s="1444">
        <f t="shared" si="105"/>
        <v>0</v>
      </c>
      <c r="I711" s="1444">
        <v>0</v>
      </c>
      <c r="J711" s="1444">
        <v>0</v>
      </c>
      <c r="K711" s="1444"/>
      <c r="L711" s="1444"/>
      <c r="M711" s="1444">
        <f t="shared" si="110"/>
        <v>0</v>
      </c>
      <c r="N711" s="1444">
        <f t="shared" si="107"/>
        <v>0</v>
      </c>
      <c r="O711" s="1445">
        <f t="shared" si="108"/>
        <v>0</v>
      </c>
      <c r="P711" s="1377">
        <f t="shared" si="109"/>
        <v>0</v>
      </c>
    </row>
    <row r="712" spans="1:16" ht="31" outlineLevel="1">
      <c r="A712" s="1446">
        <f t="shared" si="102"/>
        <v>9.1</v>
      </c>
      <c r="B712" s="1447" t="str">
        <f t="shared" si="101"/>
        <v>Construction of 1st raising of Ash bund from T.B.L. 258M to 264M at Bhusawal TPS</v>
      </c>
      <c r="C712" s="1472" t="str">
        <f t="shared" si="101"/>
        <v>MERC/CAPEX/20172018/4267</v>
      </c>
      <c r="D712" s="1473">
        <f t="shared" si="101"/>
        <v>43006</v>
      </c>
      <c r="E712" s="1474">
        <f t="shared" si="101"/>
        <v>64.22</v>
      </c>
      <c r="F712" s="1444">
        <f t="shared" si="103"/>
        <v>64.498238246301369</v>
      </c>
      <c r="G712" s="1444">
        <f t="shared" si="104"/>
        <v>64.498238246301369</v>
      </c>
      <c r="H712" s="1474">
        <f t="shared" si="105"/>
        <v>0</v>
      </c>
      <c r="I712" s="1444">
        <v>0</v>
      </c>
      <c r="J712" s="1444">
        <v>0</v>
      </c>
      <c r="K712" s="1474"/>
      <c r="L712" s="1474"/>
      <c r="M712" s="1474">
        <f t="shared" si="110"/>
        <v>0</v>
      </c>
      <c r="N712" s="1474">
        <f t="shared" si="107"/>
        <v>0</v>
      </c>
      <c r="O712" s="1445">
        <f t="shared" si="108"/>
        <v>0</v>
      </c>
      <c r="P712" s="1377">
        <f t="shared" si="109"/>
        <v>0</v>
      </c>
    </row>
    <row r="713" spans="1:16" ht="31" outlineLevel="1">
      <c r="A713" s="1440">
        <f t="shared" si="102"/>
        <v>10</v>
      </c>
      <c r="B713" s="1441" t="str">
        <f t="shared" si="101"/>
        <v>Augmentation of Ash Evacuation System &amp; Procurement of BCW Pump Motors at Bhusawal &amp; Khaperkheda TPS 500 MW Units</v>
      </c>
      <c r="C713" s="1442" t="str">
        <f t="shared" si="101"/>
        <v>MERC/CAPEX/20172018/4782</v>
      </c>
      <c r="D713" s="1443">
        <f t="shared" si="101"/>
        <v>43067</v>
      </c>
      <c r="E713" s="1444">
        <f t="shared" si="101"/>
        <v>17.439999999999998</v>
      </c>
      <c r="F713" s="1444">
        <f t="shared" si="103"/>
        <v>0</v>
      </c>
      <c r="G713" s="1444">
        <f t="shared" si="104"/>
        <v>0</v>
      </c>
      <c r="H713" s="1444">
        <f t="shared" si="105"/>
        <v>0</v>
      </c>
      <c r="I713" s="1444">
        <v>0</v>
      </c>
      <c r="J713" s="1444">
        <v>0</v>
      </c>
      <c r="K713" s="1444"/>
      <c r="L713" s="1444"/>
      <c r="M713" s="1444">
        <f t="shared" si="110"/>
        <v>0</v>
      </c>
      <c r="N713" s="1444">
        <f t="shared" si="107"/>
        <v>0</v>
      </c>
      <c r="O713" s="1445">
        <f t="shared" si="108"/>
        <v>0</v>
      </c>
      <c r="P713" s="1377">
        <f t="shared" si="109"/>
        <v>0</v>
      </c>
    </row>
    <row r="714" spans="1:16" ht="15.5" outlineLevel="1">
      <c r="A714" s="1446">
        <f t="shared" si="102"/>
        <v>10.1</v>
      </c>
      <c r="B714" s="1447" t="str">
        <f t="shared" si="102"/>
        <v>Installation of standby Buffer Hopper parallel to existing pair of buffer hoppers</v>
      </c>
      <c r="C714" s="1472" t="str">
        <f t="shared" si="102"/>
        <v>MERC/CAPEX/20172018/4782</v>
      </c>
      <c r="D714" s="1473">
        <f t="shared" si="102"/>
        <v>43067</v>
      </c>
      <c r="E714" s="1474">
        <f t="shared" si="102"/>
        <v>11.5</v>
      </c>
      <c r="F714" s="1444">
        <f t="shared" si="103"/>
        <v>0</v>
      </c>
      <c r="G714" s="1444">
        <f t="shared" si="104"/>
        <v>0</v>
      </c>
      <c r="H714" s="1474">
        <f t="shared" si="105"/>
        <v>0</v>
      </c>
      <c r="I714" s="1444">
        <v>0</v>
      </c>
      <c r="J714" s="1444">
        <v>0</v>
      </c>
      <c r="K714" s="1474"/>
      <c r="L714" s="1474"/>
      <c r="M714" s="1474">
        <f t="shared" si="110"/>
        <v>0</v>
      </c>
      <c r="N714" s="1474">
        <f t="shared" si="107"/>
        <v>0</v>
      </c>
      <c r="O714" s="1445">
        <f t="shared" si="108"/>
        <v>0</v>
      </c>
      <c r="P714" s="1377">
        <f t="shared" si="109"/>
        <v>0</v>
      </c>
    </row>
    <row r="715" spans="1:16" ht="31" outlineLevel="1">
      <c r="A715" s="1446">
        <f t="shared" si="102"/>
        <v>10.199999999999999</v>
      </c>
      <c r="B715" s="1447" t="str">
        <f t="shared" si="102"/>
        <v>Installation of additional vacuum pump for every two passes, near to intermediate hopper.</v>
      </c>
      <c r="C715" s="1472" t="str">
        <f t="shared" si="102"/>
        <v>MERC/CAPEX/20172018/4782</v>
      </c>
      <c r="D715" s="1473">
        <f t="shared" si="102"/>
        <v>43067</v>
      </c>
      <c r="E715" s="1474">
        <f t="shared" si="102"/>
        <v>0.6</v>
      </c>
      <c r="F715" s="1444">
        <f t="shared" si="103"/>
        <v>0</v>
      </c>
      <c r="G715" s="1444">
        <f t="shared" si="104"/>
        <v>0</v>
      </c>
      <c r="H715" s="1474">
        <f t="shared" si="105"/>
        <v>0</v>
      </c>
      <c r="I715" s="1444">
        <v>0</v>
      </c>
      <c r="J715" s="1444">
        <v>0</v>
      </c>
      <c r="K715" s="1474"/>
      <c r="L715" s="1474"/>
      <c r="M715" s="1474">
        <f t="shared" si="110"/>
        <v>0</v>
      </c>
      <c r="N715" s="1474">
        <f t="shared" si="107"/>
        <v>0</v>
      </c>
      <c r="O715" s="1445">
        <f t="shared" si="108"/>
        <v>0</v>
      </c>
      <c r="P715" s="1377">
        <f t="shared" si="109"/>
        <v>0</v>
      </c>
    </row>
    <row r="716" spans="1:16" ht="62" outlineLevel="1">
      <c r="A716" s="1446">
        <f t="shared" ref="A716:E731" si="111">A486</f>
        <v>10.3</v>
      </c>
      <c r="B716" s="1447" t="str">
        <f t="shared" si="111"/>
        <v>Procurement of 02 Nos of M/s Torishima, Japan make, 350 KW, 6.6KV, Boiler Circulating Water (BCW) Pump Motors (without pump casing) with 02 lots of recommended Electrical &amp; C&amp;I spares for Bhusawal and Khaparkheda TPS 500MW.</v>
      </c>
      <c r="C716" s="1472" t="str">
        <f t="shared" si="111"/>
        <v>MERC/CAPEX/20172018/4782</v>
      </c>
      <c r="D716" s="1473">
        <f t="shared" si="111"/>
        <v>43067</v>
      </c>
      <c r="E716" s="1474">
        <f t="shared" si="111"/>
        <v>4.24</v>
      </c>
      <c r="F716" s="1444">
        <f t="shared" si="103"/>
        <v>4.6696428000000001</v>
      </c>
      <c r="G716" s="1444">
        <f t="shared" si="104"/>
        <v>4.6696428000000001</v>
      </c>
      <c r="H716" s="1474">
        <f t="shared" si="105"/>
        <v>0</v>
      </c>
      <c r="I716" s="1444">
        <v>0</v>
      </c>
      <c r="J716" s="1444">
        <v>0</v>
      </c>
      <c r="K716" s="1474"/>
      <c r="L716" s="1474"/>
      <c r="M716" s="1474">
        <f t="shared" si="110"/>
        <v>0</v>
      </c>
      <c r="N716" s="1474">
        <f t="shared" si="107"/>
        <v>0</v>
      </c>
      <c r="O716" s="1445">
        <f t="shared" si="108"/>
        <v>0</v>
      </c>
      <c r="P716" s="1377">
        <f t="shared" si="109"/>
        <v>0</v>
      </c>
    </row>
    <row r="717" spans="1:16" ht="31" outlineLevel="1">
      <c r="A717" s="1446">
        <f t="shared" si="111"/>
        <v>10.4</v>
      </c>
      <c r="B717" s="1447" t="str">
        <f t="shared" si="111"/>
        <v>Procurement of complete ACVF drive module comprising of 2 Nos. of Supply and 3 Nos. of  Inverter modules for GEHO pumps</v>
      </c>
      <c r="C717" s="1472" t="str">
        <f t="shared" si="111"/>
        <v>MERC/CAPEX/20172018/4782</v>
      </c>
      <c r="D717" s="1473">
        <f t="shared" si="111"/>
        <v>43067</v>
      </c>
      <c r="E717" s="1474">
        <f t="shared" si="111"/>
        <v>0.95</v>
      </c>
      <c r="F717" s="1444">
        <f t="shared" si="103"/>
        <v>0.92864275500000004</v>
      </c>
      <c r="G717" s="1444">
        <f t="shared" si="104"/>
        <v>0.92864275500000004</v>
      </c>
      <c r="H717" s="1474">
        <f t="shared" si="105"/>
        <v>0</v>
      </c>
      <c r="I717" s="1444">
        <v>0</v>
      </c>
      <c r="J717" s="1444">
        <v>0</v>
      </c>
      <c r="K717" s="1474"/>
      <c r="L717" s="1474"/>
      <c r="M717" s="1474">
        <f t="shared" si="110"/>
        <v>0</v>
      </c>
      <c r="N717" s="1474">
        <f t="shared" si="107"/>
        <v>0</v>
      </c>
      <c r="O717" s="1445">
        <f t="shared" si="108"/>
        <v>0</v>
      </c>
      <c r="P717" s="1377">
        <f t="shared" si="109"/>
        <v>0</v>
      </c>
    </row>
    <row r="718" spans="1:16" ht="31" outlineLevel="1">
      <c r="A718" s="1446">
        <f t="shared" si="111"/>
        <v>10.5</v>
      </c>
      <c r="B718" s="1447" t="str">
        <f t="shared" si="111"/>
        <v>Supply, erection and commissioning of 24VDC, 100A Float &amp; Float cum Boost Battery Charger with 325Ah Battery Bank for CWPH at BTPS 2x500 MW.</v>
      </c>
      <c r="C718" s="1472" t="str">
        <f t="shared" si="111"/>
        <v>MERC/CAPEX/20172018/4782</v>
      </c>
      <c r="D718" s="1473">
        <f t="shared" si="111"/>
        <v>43067</v>
      </c>
      <c r="E718" s="1474">
        <f t="shared" si="111"/>
        <v>0.15</v>
      </c>
      <c r="F718" s="1444">
        <f t="shared" si="103"/>
        <v>0.157884</v>
      </c>
      <c r="G718" s="1444">
        <f t="shared" si="104"/>
        <v>0.157884</v>
      </c>
      <c r="H718" s="1474">
        <f t="shared" si="105"/>
        <v>0</v>
      </c>
      <c r="I718" s="1444">
        <v>0</v>
      </c>
      <c r="J718" s="1444">
        <v>0</v>
      </c>
      <c r="K718" s="1474"/>
      <c r="L718" s="1474"/>
      <c r="M718" s="1474">
        <f t="shared" si="110"/>
        <v>0</v>
      </c>
      <c r="N718" s="1474">
        <f t="shared" si="107"/>
        <v>0</v>
      </c>
      <c r="O718" s="1445">
        <f t="shared" si="108"/>
        <v>0</v>
      </c>
      <c r="P718" s="1377">
        <f t="shared" si="109"/>
        <v>0</v>
      </c>
    </row>
    <row r="719" spans="1:16" ht="15.5" outlineLevel="1">
      <c r="A719" s="1446">
        <f t="shared" si="111"/>
        <v>0</v>
      </c>
      <c r="B719" s="1447" t="str">
        <f t="shared" si="111"/>
        <v xml:space="preserve">IDC </v>
      </c>
      <c r="C719" s="1472" t="str">
        <f t="shared" si="111"/>
        <v>MERC/CAPEX/20172018/4782</v>
      </c>
      <c r="D719" s="1473">
        <f t="shared" si="111"/>
        <v>43067</v>
      </c>
      <c r="E719" s="1474">
        <f t="shared" si="111"/>
        <v>0</v>
      </c>
      <c r="F719" s="1444">
        <f t="shared" si="103"/>
        <v>0</v>
      </c>
      <c r="G719" s="1444">
        <f t="shared" si="104"/>
        <v>0</v>
      </c>
      <c r="H719" s="1474">
        <f t="shared" si="105"/>
        <v>0</v>
      </c>
      <c r="I719" s="1444">
        <v>0</v>
      </c>
      <c r="J719" s="1444">
        <v>0</v>
      </c>
      <c r="K719" s="1474"/>
      <c r="L719" s="1474"/>
      <c r="M719" s="1474">
        <f t="shared" si="110"/>
        <v>0</v>
      </c>
      <c r="N719" s="1474">
        <f t="shared" si="107"/>
        <v>0</v>
      </c>
      <c r="O719" s="1445">
        <f t="shared" si="108"/>
        <v>0</v>
      </c>
      <c r="P719" s="1377">
        <f t="shared" si="109"/>
        <v>0</v>
      </c>
    </row>
    <row r="720" spans="1:16" ht="15.5" outlineLevel="1">
      <c r="A720" s="1440">
        <f t="shared" si="111"/>
        <v>11</v>
      </c>
      <c r="B720" s="1441" t="str">
        <f t="shared" si="111"/>
        <v>Various schemes for renovation of colony at Bhusawal TPS</v>
      </c>
      <c r="C720" s="1442" t="str">
        <f t="shared" si="111"/>
        <v>MERC/CAPEX/20172018/0221</v>
      </c>
      <c r="D720" s="1443">
        <f t="shared" si="111"/>
        <v>43143</v>
      </c>
      <c r="E720" s="1444">
        <f t="shared" si="111"/>
        <v>19.334125999999998</v>
      </c>
      <c r="F720" s="1444">
        <f t="shared" si="103"/>
        <v>0</v>
      </c>
      <c r="G720" s="1444">
        <f t="shared" si="104"/>
        <v>0</v>
      </c>
      <c r="H720" s="1444">
        <f t="shared" si="105"/>
        <v>0</v>
      </c>
      <c r="I720" s="1444">
        <v>0</v>
      </c>
      <c r="J720" s="1444">
        <v>0</v>
      </c>
      <c r="K720" s="1444"/>
      <c r="L720" s="1444"/>
      <c r="M720" s="1444">
        <f t="shared" si="110"/>
        <v>0</v>
      </c>
      <c r="N720" s="1444">
        <f t="shared" si="107"/>
        <v>0</v>
      </c>
      <c r="O720" s="1445">
        <f t="shared" si="108"/>
        <v>0</v>
      </c>
      <c r="P720" s="1377">
        <f t="shared" si="109"/>
        <v>0</v>
      </c>
    </row>
    <row r="721" spans="1:16" ht="15.5" outlineLevel="1">
      <c r="A721" s="1446">
        <f t="shared" si="111"/>
        <v>11.1</v>
      </c>
      <c r="B721" s="1447" t="str">
        <f t="shared" si="111"/>
        <v>Renovation of staff quarters &amp; related work at BTPS Deepnagar</v>
      </c>
      <c r="C721" s="1472" t="str">
        <f t="shared" si="111"/>
        <v>MERC/CAPEX/20172018/0221</v>
      </c>
      <c r="D721" s="1473">
        <f t="shared" si="111"/>
        <v>43143</v>
      </c>
      <c r="E721" s="1474">
        <f t="shared" si="111"/>
        <v>7.0209999999999999</v>
      </c>
      <c r="F721" s="1444">
        <f t="shared" si="103"/>
        <v>5.45837182</v>
      </c>
      <c r="G721" s="1444">
        <f t="shared" si="104"/>
        <v>5.45837182</v>
      </c>
      <c r="H721" s="1474">
        <f t="shared" si="105"/>
        <v>0</v>
      </c>
      <c r="I721" s="1444">
        <v>0</v>
      </c>
      <c r="J721" s="1444">
        <v>0</v>
      </c>
      <c r="K721" s="1474"/>
      <c r="L721" s="1474"/>
      <c r="M721" s="1474">
        <f t="shared" si="110"/>
        <v>0</v>
      </c>
      <c r="N721" s="1474">
        <f t="shared" si="107"/>
        <v>0</v>
      </c>
      <c r="O721" s="1445">
        <f t="shared" si="108"/>
        <v>0</v>
      </c>
      <c r="P721" s="1377">
        <f t="shared" si="109"/>
        <v>0</v>
      </c>
    </row>
    <row r="722" spans="1:16" ht="15.5" outlineLevel="1">
      <c r="A722" s="1446">
        <f t="shared" si="111"/>
        <v>11.2</v>
      </c>
      <c r="B722" s="1447" t="str">
        <f t="shared" si="111"/>
        <v>Colony Internal Roads at BTPS, Deepnagar</v>
      </c>
      <c r="C722" s="1472" t="str">
        <f t="shared" si="111"/>
        <v>MERC/CAPEX/20172018/0221</v>
      </c>
      <c r="D722" s="1473">
        <f t="shared" si="111"/>
        <v>43143</v>
      </c>
      <c r="E722" s="1474">
        <f t="shared" si="111"/>
        <v>3.85</v>
      </c>
      <c r="F722" s="1444">
        <f t="shared" si="103"/>
        <v>3.2500731940000001</v>
      </c>
      <c r="G722" s="1444">
        <f t="shared" si="104"/>
        <v>3.2514022229999999</v>
      </c>
      <c r="H722" s="1474">
        <f t="shared" si="105"/>
        <v>-1.3290289999998706E-3</v>
      </c>
      <c r="I722" s="1444">
        <v>0</v>
      </c>
      <c r="J722" s="1444">
        <v>0</v>
      </c>
      <c r="K722" s="1474"/>
      <c r="L722" s="1474"/>
      <c r="M722" s="1474">
        <f t="shared" si="110"/>
        <v>0</v>
      </c>
      <c r="N722" s="1474">
        <f t="shared" si="107"/>
        <v>-1.3290289999998706E-3</v>
      </c>
      <c r="O722" s="1445">
        <f t="shared" si="108"/>
        <v>0</v>
      </c>
      <c r="P722" s="1377">
        <f t="shared" si="109"/>
        <v>0</v>
      </c>
    </row>
    <row r="723" spans="1:16" ht="15.5" outlineLevel="1">
      <c r="A723" s="1446">
        <f t="shared" si="111"/>
        <v>11.3</v>
      </c>
      <c r="B723" s="1447" t="str">
        <f t="shared" si="111"/>
        <v>Water supply , sanitary &amp; drainage works at BTPS, Deepnagar</v>
      </c>
      <c r="C723" s="1472" t="str">
        <f t="shared" si="111"/>
        <v>MERC/CAPEX/20172018/0221</v>
      </c>
      <c r="D723" s="1473">
        <f t="shared" si="111"/>
        <v>43143</v>
      </c>
      <c r="E723" s="1474">
        <f t="shared" si="111"/>
        <v>7.3</v>
      </c>
      <c r="F723" s="1444">
        <f t="shared" si="103"/>
        <v>5.8360794</v>
      </c>
      <c r="G723" s="1444">
        <f t="shared" si="104"/>
        <v>5.8108501159999992</v>
      </c>
      <c r="H723" s="1474">
        <f t="shared" si="105"/>
        <v>2.5229284000000796E-2</v>
      </c>
      <c r="I723" s="1444">
        <v>0</v>
      </c>
      <c r="J723" s="1444">
        <v>0</v>
      </c>
      <c r="K723" s="1474"/>
      <c r="L723" s="1474"/>
      <c r="M723" s="1474">
        <f t="shared" si="110"/>
        <v>0</v>
      </c>
      <c r="N723" s="1474">
        <f t="shared" si="107"/>
        <v>2.5229284000000796E-2</v>
      </c>
      <c r="O723" s="1445">
        <f t="shared" si="108"/>
        <v>0</v>
      </c>
      <c r="P723" s="1377">
        <f t="shared" si="109"/>
        <v>0</v>
      </c>
    </row>
    <row r="724" spans="1:16" ht="15.5" outlineLevel="1">
      <c r="A724" s="1446">
        <f t="shared" si="111"/>
        <v>11.4</v>
      </c>
      <c r="B724" s="1447" t="str">
        <f t="shared" si="111"/>
        <v>Plinth protection to existing buildings at BTPS, Deepnagar</v>
      </c>
      <c r="C724" s="1472" t="str">
        <f t="shared" si="111"/>
        <v>MERC/CAPEX/20172018/0221</v>
      </c>
      <c r="D724" s="1473">
        <f t="shared" si="111"/>
        <v>43143</v>
      </c>
      <c r="E724" s="1474">
        <f t="shared" si="111"/>
        <v>1.1631259999999999</v>
      </c>
      <c r="F724" s="1444">
        <f t="shared" si="103"/>
        <v>0.91823160000000004</v>
      </c>
      <c r="G724" s="1444">
        <f t="shared" si="104"/>
        <v>0.91823162200000008</v>
      </c>
      <c r="H724" s="1474">
        <f t="shared" si="105"/>
        <v>-2.2000000043931323E-8</v>
      </c>
      <c r="I724" s="1444">
        <v>0</v>
      </c>
      <c r="J724" s="1444">
        <v>0</v>
      </c>
      <c r="K724" s="1474"/>
      <c r="L724" s="1474"/>
      <c r="M724" s="1474">
        <f t="shared" si="110"/>
        <v>0</v>
      </c>
      <c r="N724" s="1474">
        <f t="shared" si="107"/>
        <v>-2.2000000043931323E-8</v>
      </c>
      <c r="O724" s="1445">
        <f t="shared" si="108"/>
        <v>0</v>
      </c>
      <c r="P724" s="1377">
        <f t="shared" si="109"/>
        <v>0</v>
      </c>
    </row>
    <row r="725" spans="1:16" ht="31" outlineLevel="1">
      <c r="A725" s="1440">
        <f t="shared" si="111"/>
        <v>12</v>
      </c>
      <c r="B725" s="1441" t="str">
        <f t="shared" si="111"/>
        <v>Pipeline from River Water Pump House (RWPH) to aquaduct over Bhogawati River and Other allied power house road works under DPR scheme at BTPS, Bhusawal</v>
      </c>
      <c r="C725" s="1442" t="str">
        <f t="shared" si="111"/>
        <v>MERC/CAPEX/2018-2019/0104</v>
      </c>
      <c r="D725" s="1443">
        <f t="shared" si="111"/>
        <v>43559</v>
      </c>
      <c r="E725" s="1444">
        <f t="shared" si="111"/>
        <v>13.1172</v>
      </c>
      <c r="F725" s="1444">
        <f t="shared" si="103"/>
        <v>0</v>
      </c>
      <c r="G725" s="1444">
        <f t="shared" si="104"/>
        <v>0</v>
      </c>
      <c r="H725" s="1444">
        <f t="shared" si="105"/>
        <v>0</v>
      </c>
      <c r="I725" s="1444">
        <v>0</v>
      </c>
      <c r="J725" s="1444">
        <v>0</v>
      </c>
      <c r="K725" s="1444"/>
      <c r="L725" s="1444"/>
      <c r="M725" s="1444">
        <f t="shared" si="110"/>
        <v>0</v>
      </c>
      <c r="N725" s="1444">
        <f t="shared" si="107"/>
        <v>0</v>
      </c>
      <c r="O725" s="1445">
        <f t="shared" si="108"/>
        <v>0</v>
      </c>
      <c r="P725" s="1377">
        <f t="shared" si="109"/>
        <v>0</v>
      </c>
    </row>
    <row r="726" spans="1:16" ht="46.5" outlineLevel="1">
      <c r="A726" s="1448">
        <f t="shared" si="111"/>
        <v>12.1</v>
      </c>
      <c r="B726" s="1449" t="str">
        <f t="shared" si="111"/>
        <v>Providing supplying laying, jointing, testing and commissioning of 1650 mm Ø ID 8 mm thick M.S. pipeline for raw water supply from RWPH to aquaduct over Bhogawati river at, BTPS, Bhusawal.</v>
      </c>
      <c r="C726" s="1472" t="str">
        <f t="shared" si="111"/>
        <v>MERC/CAPEX/2018-2019/0104</v>
      </c>
      <c r="D726" s="1473">
        <f t="shared" si="111"/>
        <v>43559</v>
      </c>
      <c r="E726" s="1474">
        <f t="shared" si="111"/>
        <v>7.2569999999999997</v>
      </c>
      <c r="F726" s="1444">
        <f t="shared" si="103"/>
        <v>0</v>
      </c>
      <c r="G726" s="1444">
        <f t="shared" si="104"/>
        <v>0</v>
      </c>
      <c r="H726" s="1474">
        <f t="shared" si="105"/>
        <v>0</v>
      </c>
      <c r="I726" s="1444">
        <v>0</v>
      </c>
      <c r="J726" s="1444">
        <v>0</v>
      </c>
      <c r="K726" s="1474"/>
      <c r="L726" s="1474"/>
      <c r="M726" s="1474">
        <f t="shared" si="110"/>
        <v>0</v>
      </c>
      <c r="N726" s="1474">
        <f t="shared" si="107"/>
        <v>0</v>
      </c>
      <c r="O726" s="1445">
        <f t="shared" si="108"/>
        <v>0</v>
      </c>
      <c r="P726" s="1377">
        <f t="shared" si="109"/>
        <v>0</v>
      </c>
    </row>
    <row r="727" spans="1:16" ht="31" outlineLevel="1">
      <c r="A727" s="1448">
        <f t="shared" si="111"/>
        <v>12.2</v>
      </c>
      <c r="B727" s="1449" t="str">
        <f t="shared" si="111"/>
        <v>Construction of WBM and Bituminous road along inlet &amp; outlet canals and concreate road along periphery of Major store at BTPS, Bhusawal.</v>
      </c>
      <c r="C727" s="1472" t="str">
        <f t="shared" si="111"/>
        <v>MERC/CAPEX/2018-2019/0104</v>
      </c>
      <c r="D727" s="1473">
        <f t="shared" si="111"/>
        <v>43559</v>
      </c>
      <c r="E727" s="1474">
        <f t="shared" si="111"/>
        <v>4.22</v>
      </c>
      <c r="F727" s="1444">
        <f t="shared" si="103"/>
        <v>3.8304708600000001</v>
      </c>
      <c r="G727" s="1444">
        <f t="shared" si="104"/>
        <v>3.8304708869999997</v>
      </c>
      <c r="H727" s="1474">
        <f t="shared" si="105"/>
        <v>-2.6999999569454758E-8</v>
      </c>
      <c r="I727" s="1444">
        <v>0</v>
      </c>
      <c r="J727" s="1444">
        <v>0</v>
      </c>
      <c r="K727" s="1474"/>
      <c r="L727" s="1474"/>
      <c r="M727" s="1474">
        <f t="shared" si="110"/>
        <v>0</v>
      </c>
      <c r="N727" s="1474">
        <f t="shared" si="107"/>
        <v>-2.6999999569454758E-8</v>
      </c>
      <c r="O727" s="1445">
        <f t="shared" si="108"/>
        <v>0</v>
      </c>
      <c r="P727" s="1377">
        <f t="shared" si="109"/>
        <v>0</v>
      </c>
    </row>
    <row r="728" spans="1:16" ht="31" outlineLevel="1">
      <c r="A728" s="1446">
        <f t="shared" si="111"/>
        <v>12.3</v>
      </c>
      <c r="B728" s="1447" t="str">
        <f t="shared" si="111"/>
        <v>Work of construction of self-supporting steel roofing system for a major store godown shed of span 25M at BTPS, Deepnagar.</v>
      </c>
      <c r="C728" s="1472" t="str">
        <f t="shared" si="111"/>
        <v>MERC/CAPEX/2018-2019/0104</v>
      </c>
      <c r="D728" s="1473">
        <f t="shared" si="111"/>
        <v>43559</v>
      </c>
      <c r="E728" s="1474">
        <f t="shared" si="111"/>
        <v>1.6401999999999999</v>
      </c>
      <c r="F728" s="1444">
        <f t="shared" si="103"/>
        <v>0.27</v>
      </c>
      <c r="G728" s="1444">
        <f t="shared" si="104"/>
        <v>1.6376399460000002</v>
      </c>
      <c r="H728" s="1474">
        <f t="shared" si="105"/>
        <v>-1.3676399460000002</v>
      </c>
      <c r="I728" s="1444">
        <v>0</v>
      </c>
      <c r="J728" s="1444">
        <v>0</v>
      </c>
      <c r="K728" s="1474"/>
      <c r="L728" s="1474"/>
      <c r="M728" s="1474">
        <f t="shared" si="110"/>
        <v>0</v>
      </c>
      <c r="N728" s="1474">
        <f t="shared" si="107"/>
        <v>-1.3676399460000002</v>
      </c>
      <c r="O728" s="1445">
        <f t="shared" si="108"/>
        <v>0</v>
      </c>
      <c r="P728" s="1377">
        <f t="shared" si="109"/>
        <v>0</v>
      </c>
    </row>
    <row r="729" spans="1:16" ht="15.5" outlineLevel="1">
      <c r="A729" s="1448">
        <f t="shared" si="111"/>
        <v>0</v>
      </c>
      <c r="B729" s="1449" t="str">
        <f t="shared" si="111"/>
        <v>IDC</v>
      </c>
      <c r="C729" s="1472" t="str">
        <f t="shared" si="111"/>
        <v>MERC/CAPEX/2018-2019/0104</v>
      </c>
      <c r="D729" s="1473">
        <f t="shared" si="111"/>
        <v>43559</v>
      </c>
      <c r="E729" s="1474">
        <f t="shared" si="111"/>
        <v>0</v>
      </c>
      <c r="F729" s="1444">
        <f t="shared" si="103"/>
        <v>0.14917520000000001</v>
      </c>
      <c r="G729" s="1444">
        <f t="shared" si="104"/>
        <v>0.14917520000000001</v>
      </c>
      <c r="H729" s="1474">
        <f t="shared" si="105"/>
        <v>0</v>
      </c>
      <c r="I729" s="1444">
        <v>0</v>
      </c>
      <c r="J729" s="1444">
        <v>0</v>
      </c>
      <c r="K729" s="1474"/>
      <c r="L729" s="1474"/>
      <c r="M729" s="1474">
        <f t="shared" si="110"/>
        <v>0</v>
      </c>
      <c r="N729" s="1474">
        <f t="shared" si="107"/>
        <v>0</v>
      </c>
      <c r="O729" s="1445">
        <f t="shared" si="108"/>
        <v>0</v>
      </c>
      <c r="P729" s="1377">
        <f t="shared" si="109"/>
        <v>0</v>
      </c>
    </row>
    <row r="730" spans="1:16" ht="46.5" outlineLevel="1">
      <c r="A730" s="1440">
        <f t="shared" si="111"/>
        <v>13</v>
      </c>
      <c r="B730" s="1441" t="str">
        <f t="shared" si="111"/>
        <v>Supply, erection, commissioning &amp; site testing of 220 V, 2035 AH, Station Battery Sets (4 Nos.) and 24 V, 2250 AH, SG/TG &amp; BOP Battery Sets (8 Nos.) for U# 4 &amp; 5 along with accessories at 2 x 500 MW BTPS, Bhusawal</v>
      </c>
      <c r="C730" s="1442" t="str">
        <f t="shared" si="111"/>
        <v>MERC/CAPEX/2017-2018/1226</v>
      </c>
      <c r="D730" s="1443">
        <f t="shared" si="111"/>
        <v>43322</v>
      </c>
      <c r="E730" s="1444">
        <f t="shared" si="111"/>
        <v>11.59</v>
      </c>
      <c r="F730" s="1444">
        <f t="shared" si="103"/>
        <v>0</v>
      </c>
      <c r="G730" s="1444">
        <f t="shared" si="104"/>
        <v>0</v>
      </c>
      <c r="H730" s="1444">
        <f t="shared" si="105"/>
        <v>0</v>
      </c>
      <c r="I730" s="1444">
        <v>0</v>
      </c>
      <c r="J730" s="1444">
        <v>0</v>
      </c>
      <c r="K730" s="1444"/>
      <c r="L730" s="1444"/>
      <c r="M730" s="1444">
        <f t="shared" si="110"/>
        <v>0</v>
      </c>
      <c r="N730" s="1444">
        <f t="shared" si="107"/>
        <v>0</v>
      </c>
      <c r="O730" s="1445">
        <f t="shared" si="108"/>
        <v>0</v>
      </c>
      <c r="P730" s="1377">
        <f t="shared" si="109"/>
        <v>0</v>
      </c>
    </row>
    <row r="731" spans="1:16" ht="46.5" outlineLevel="1">
      <c r="A731" s="1446">
        <f t="shared" si="111"/>
        <v>13.1</v>
      </c>
      <c r="B731" s="1447" t="str">
        <f t="shared" si="111"/>
        <v>Supply, erection, commissioning &amp; site testing of 220V, 2035 AH Station Battery Sets (02 Nos.) and 24V, 2250AH, SG/TG &amp; BOP Battery Set (04 Nos.) along with accessories for Unit No.5 at BTPS 2x500MW.</v>
      </c>
      <c r="C731" s="1472" t="str">
        <f t="shared" si="111"/>
        <v>MERC/CAPEX/2017-2018/1226</v>
      </c>
      <c r="D731" s="1473">
        <f t="shared" si="111"/>
        <v>43322</v>
      </c>
      <c r="E731" s="1474">
        <f t="shared" si="111"/>
        <v>5.7949999999999999</v>
      </c>
      <c r="F731" s="1444">
        <f t="shared" si="103"/>
        <v>6.3739579500000003</v>
      </c>
      <c r="G731" s="1444">
        <f t="shared" si="104"/>
        <v>6.3739579500000003</v>
      </c>
      <c r="H731" s="1474">
        <f t="shared" si="105"/>
        <v>0</v>
      </c>
      <c r="I731" s="1444">
        <v>0</v>
      </c>
      <c r="J731" s="1444">
        <v>0</v>
      </c>
      <c r="K731" s="1474"/>
      <c r="L731" s="1474"/>
      <c r="M731" s="1474">
        <f t="shared" si="110"/>
        <v>0</v>
      </c>
      <c r="N731" s="1474">
        <f t="shared" si="107"/>
        <v>0</v>
      </c>
      <c r="O731" s="1445">
        <f t="shared" si="108"/>
        <v>0</v>
      </c>
      <c r="P731" s="1377">
        <f t="shared" si="109"/>
        <v>0</v>
      </c>
    </row>
    <row r="732" spans="1:16" ht="46.5" outlineLevel="1">
      <c r="A732" s="1446">
        <f t="shared" ref="A732:E747" si="112">A502</f>
        <v>13.2</v>
      </c>
      <c r="B732" s="1447" t="str">
        <f t="shared" si="112"/>
        <v>Supply, erection, commissioning &amp; site testing of 220V, 2035 AH Station Battery Sets (02 Nos.) and 24V, 2250AH, SG/TG &amp; BOP Battery Set (04 Nos.) along with accessories for Unit No.4 at BTPS 2x500MW.</v>
      </c>
      <c r="C732" s="1472" t="str">
        <f t="shared" si="112"/>
        <v>MERC/CAPEX/2017-2018/1226</v>
      </c>
      <c r="D732" s="1473">
        <f t="shared" si="112"/>
        <v>43322</v>
      </c>
      <c r="E732" s="1474">
        <f t="shared" si="112"/>
        <v>5.7949999999999999</v>
      </c>
      <c r="F732" s="1444">
        <f t="shared" si="103"/>
        <v>6.3227326000000001</v>
      </c>
      <c r="G732" s="1444">
        <f t="shared" si="104"/>
        <v>6.3227326000000001</v>
      </c>
      <c r="H732" s="1474">
        <f t="shared" si="105"/>
        <v>0</v>
      </c>
      <c r="I732" s="1444">
        <v>0</v>
      </c>
      <c r="J732" s="1444">
        <v>0</v>
      </c>
      <c r="K732" s="1474"/>
      <c r="L732" s="1474"/>
      <c r="M732" s="1474">
        <f t="shared" si="110"/>
        <v>0</v>
      </c>
      <c r="N732" s="1474">
        <f t="shared" si="107"/>
        <v>0</v>
      </c>
      <c r="O732" s="1445">
        <f t="shared" si="108"/>
        <v>0</v>
      </c>
      <c r="P732" s="1377">
        <f t="shared" si="109"/>
        <v>0</v>
      </c>
    </row>
    <row r="733" spans="1:16" ht="31" outlineLevel="1">
      <c r="A733" s="1440">
        <f t="shared" si="112"/>
        <v>15</v>
      </c>
      <c r="B733" s="1441" t="str">
        <f t="shared" si="112"/>
        <v>Flue Gas Desulphurization (FGD) System for 500 MW Units (Total 8 Nos) of MSPGCL</v>
      </c>
      <c r="C733" s="1442" t="str">
        <f t="shared" si="112"/>
        <v>MERC/CAPEX/2020-2021/WFH/SBR/45</v>
      </c>
      <c r="D733" s="1443">
        <f t="shared" si="112"/>
        <v>44232</v>
      </c>
      <c r="E733" s="1444">
        <f t="shared" si="112"/>
        <v>869.5</v>
      </c>
      <c r="F733" s="1444">
        <f t="shared" si="103"/>
        <v>0</v>
      </c>
      <c r="G733" s="1444">
        <f t="shared" si="104"/>
        <v>0</v>
      </c>
      <c r="H733" s="1444">
        <f t="shared" si="105"/>
        <v>0</v>
      </c>
      <c r="I733" s="1444">
        <v>0</v>
      </c>
      <c r="J733" s="1444">
        <v>0</v>
      </c>
      <c r="K733" s="1444"/>
      <c r="L733" s="1444"/>
      <c r="M733" s="1444">
        <f t="shared" si="110"/>
        <v>0</v>
      </c>
      <c r="N733" s="1444">
        <f t="shared" si="107"/>
        <v>0</v>
      </c>
      <c r="O733" s="1445">
        <f t="shared" si="108"/>
        <v>0</v>
      </c>
      <c r="P733" s="1377">
        <f t="shared" si="109"/>
        <v>0</v>
      </c>
    </row>
    <row r="734" spans="1:16" ht="15.5" outlineLevel="1">
      <c r="A734" s="1450">
        <f t="shared" si="112"/>
        <v>15.1</v>
      </c>
      <c r="B734" s="1451" t="str">
        <f t="shared" si="112"/>
        <v>Flue Gas Desulphurization (FGD) System for Bhusawal Unit 4-5</v>
      </c>
      <c r="C734" s="1475" t="str">
        <f t="shared" si="112"/>
        <v>MERC/CAPEX/2020-2021/WFH/SBR/45</v>
      </c>
      <c r="D734" s="1473">
        <f t="shared" si="112"/>
        <v>44232</v>
      </c>
      <c r="E734" s="1476">
        <f t="shared" si="112"/>
        <v>830.4</v>
      </c>
      <c r="F734" s="1444">
        <f t="shared" si="103"/>
        <v>127.37</v>
      </c>
      <c r="G734" s="1444">
        <f t="shared" si="104"/>
        <v>0</v>
      </c>
      <c r="H734" s="1476">
        <f t="shared" si="105"/>
        <v>127.37</v>
      </c>
      <c r="I734" s="1444">
        <v>467.04</v>
      </c>
      <c r="J734" s="1444">
        <v>424.58</v>
      </c>
      <c r="K734" s="1476"/>
      <c r="L734" s="1476"/>
      <c r="M734" s="1476">
        <f t="shared" si="110"/>
        <v>424.58</v>
      </c>
      <c r="N734" s="1476">
        <f t="shared" si="107"/>
        <v>169.8300000000001</v>
      </c>
      <c r="O734" s="1445">
        <f t="shared" si="108"/>
        <v>424.58</v>
      </c>
      <c r="P734" s="1377">
        <f t="shared" si="109"/>
        <v>0</v>
      </c>
    </row>
    <row r="735" spans="1:16" ht="15.5" outlineLevel="1">
      <c r="A735" s="1450">
        <f t="shared" si="112"/>
        <v>0</v>
      </c>
      <c r="B735" s="1452" t="str">
        <f t="shared" si="112"/>
        <v>IDC</v>
      </c>
      <c r="C735" s="1475" t="str">
        <f t="shared" si="112"/>
        <v>MERC/CAPEX/2020-2021/WFH/SBR/45</v>
      </c>
      <c r="D735" s="1473">
        <f t="shared" si="112"/>
        <v>44232</v>
      </c>
      <c r="E735" s="1476">
        <f t="shared" si="112"/>
        <v>39.1</v>
      </c>
      <c r="F735" s="1444">
        <f t="shared" si="103"/>
        <v>0</v>
      </c>
      <c r="G735" s="1444">
        <f t="shared" si="104"/>
        <v>0</v>
      </c>
      <c r="H735" s="1476">
        <f t="shared" si="105"/>
        <v>0</v>
      </c>
      <c r="I735" s="1444">
        <v>0</v>
      </c>
      <c r="J735" s="1444">
        <v>0</v>
      </c>
      <c r="K735" s="1476"/>
      <c r="L735" s="1476"/>
      <c r="M735" s="1476">
        <f t="shared" si="110"/>
        <v>0</v>
      </c>
      <c r="N735" s="1476">
        <f t="shared" si="107"/>
        <v>0</v>
      </c>
      <c r="O735" s="1445">
        <f t="shared" si="108"/>
        <v>0</v>
      </c>
      <c r="P735" s="1377">
        <f t="shared" si="109"/>
        <v>0</v>
      </c>
    </row>
    <row r="736" spans="1:16" ht="31" outlineLevel="1">
      <c r="A736" s="1440">
        <f t="shared" si="112"/>
        <v>16</v>
      </c>
      <c r="B736" s="1441" t="str">
        <f t="shared" si="112"/>
        <v>Procurement of two BFP Cartridges &amp; one rotor of Turbine driven BFP &amp; at 500MW BTPS, Bhusawal</v>
      </c>
      <c r="C736" s="1442" t="str">
        <f t="shared" si="112"/>
        <v>MERC/CAPEX/2020-2021/WFO/SBR/49</v>
      </c>
      <c r="D736" s="1443">
        <f t="shared" si="112"/>
        <v>44263</v>
      </c>
      <c r="E736" s="1444">
        <f t="shared" si="112"/>
        <v>10.520000000000001</v>
      </c>
      <c r="F736" s="1444">
        <f t="shared" si="103"/>
        <v>0</v>
      </c>
      <c r="G736" s="1444">
        <f t="shared" si="104"/>
        <v>0</v>
      </c>
      <c r="H736" s="1444">
        <f t="shared" si="105"/>
        <v>0</v>
      </c>
      <c r="I736" s="1444">
        <v>0</v>
      </c>
      <c r="J736" s="1444">
        <v>0</v>
      </c>
      <c r="K736" s="1444"/>
      <c r="L736" s="1444"/>
      <c r="M736" s="1444">
        <f t="shared" si="110"/>
        <v>0</v>
      </c>
      <c r="N736" s="1444">
        <f t="shared" si="107"/>
        <v>0</v>
      </c>
      <c r="O736" s="1445">
        <f t="shared" si="108"/>
        <v>0</v>
      </c>
      <c r="P736" s="1377">
        <f t="shared" si="109"/>
        <v>0</v>
      </c>
    </row>
    <row r="737" spans="1:16" ht="15.5" outlineLevel="1">
      <c r="A737" s="1450">
        <f t="shared" si="112"/>
        <v>16.100000000000001</v>
      </c>
      <c r="B737" s="1452" t="str">
        <f t="shared" si="112"/>
        <v>Procurement of two BFP Cartridges at 500MW BTPS, Bhusawal</v>
      </c>
      <c r="C737" s="1475" t="str">
        <f t="shared" si="112"/>
        <v>MERC/CAPEX/2020-2021/WFO/SBR/49</v>
      </c>
      <c r="D737" s="1473">
        <f t="shared" si="112"/>
        <v>44263</v>
      </c>
      <c r="E737" s="1476">
        <f t="shared" si="112"/>
        <v>3.84</v>
      </c>
      <c r="F737" s="1444">
        <f t="shared" si="103"/>
        <v>2.2399997760000003</v>
      </c>
      <c r="G737" s="1444">
        <f t="shared" si="104"/>
        <v>2.2399997760000003</v>
      </c>
      <c r="H737" s="1476">
        <f t="shared" si="105"/>
        <v>0</v>
      </c>
      <c r="I737" s="1444">
        <v>0</v>
      </c>
      <c r="J737" s="1444">
        <v>0</v>
      </c>
      <c r="K737" s="1476"/>
      <c r="L737" s="1476"/>
      <c r="M737" s="1476">
        <f t="shared" si="110"/>
        <v>0</v>
      </c>
      <c r="N737" s="1476">
        <f t="shared" si="107"/>
        <v>0</v>
      </c>
      <c r="O737" s="1445">
        <f t="shared" si="108"/>
        <v>0</v>
      </c>
      <c r="P737" s="1377">
        <f t="shared" si="109"/>
        <v>0</v>
      </c>
    </row>
    <row r="738" spans="1:16" ht="15.5" outlineLevel="1">
      <c r="A738" s="1450">
        <f t="shared" si="112"/>
        <v>16.2</v>
      </c>
      <c r="B738" s="1452" t="str">
        <f t="shared" si="112"/>
        <v>Procurement of one rotor of Turbine driven BFP at 500MW BTPS, Bhusawal</v>
      </c>
      <c r="C738" s="1475" t="str">
        <f t="shared" si="112"/>
        <v>MERC/CAPEX/2020-2021/WFO/SBR/49</v>
      </c>
      <c r="D738" s="1473">
        <f t="shared" si="112"/>
        <v>44263</v>
      </c>
      <c r="E738" s="1476">
        <f t="shared" si="112"/>
        <v>6.46</v>
      </c>
      <c r="F738" s="1444">
        <f t="shared" si="103"/>
        <v>7.6135872999999998</v>
      </c>
      <c r="G738" s="1444">
        <f t="shared" si="104"/>
        <v>7.6135872999999998</v>
      </c>
      <c r="H738" s="1476">
        <f t="shared" si="105"/>
        <v>0</v>
      </c>
      <c r="I738" s="1444">
        <v>0</v>
      </c>
      <c r="J738" s="1444">
        <v>0</v>
      </c>
      <c r="K738" s="1476"/>
      <c r="L738" s="1476"/>
      <c r="M738" s="1476">
        <f t="shared" si="110"/>
        <v>0</v>
      </c>
      <c r="N738" s="1476">
        <f t="shared" si="107"/>
        <v>0</v>
      </c>
      <c r="O738" s="1445">
        <f t="shared" si="108"/>
        <v>0</v>
      </c>
      <c r="P738" s="1377">
        <f t="shared" si="109"/>
        <v>0</v>
      </c>
    </row>
    <row r="739" spans="1:16" ht="15.5" outlineLevel="1">
      <c r="A739" s="1450">
        <f t="shared" si="112"/>
        <v>0</v>
      </c>
      <c r="B739" s="1452" t="str">
        <f t="shared" si="112"/>
        <v>IDC</v>
      </c>
      <c r="C739" s="1475" t="str">
        <f t="shared" si="112"/>
        <v>MERC/CAPEX/2020-2021/WFO/SBR/49</v>
      </c>
      <c r="D739" s="1473">
        <f t="shared" si="112"/>
        <v>44263</v>
      </c>
      <c r="E739" s="1476">
        <f t="shared" si="112"/>
        <v>0.22</v>
      </c>
      <c r="F739" s="1444">
        <f t="shared" si="103"/>
        <v>0</v>
      </c>
      <c r="G739" s="1444">
        <f t="shared" si="104"/>
        <v>0</v>
      </c>
      <c r="H739" s="1476">
        <f t="shared" si="105"/>
        <v>0</v>
      </c>
      <c r="I739" s="1444">
        <v>0</v>
      </c>
      <c r="J739" s="1444">
        <v>0</v>
      </c>
      <c r="K739" s="1476"/>
      <c r="L739" s="1476"/>
      <c r="M739" s="1476">
        <f t="shared" si="110"/>
        <v>0</v>
      </c>
      <c r="N739" s="1476">
        <f t="shared" si="107"/>
        <v>0</v>
      </c>
      <c r="O739" s="1445">
        <f t="shared" si="108"/>
        <v>0</v>
      </c>
      <c r="P739" s="1377">
        <f t="shared" si="109"/>
        <v>0</v>
      </c>
    </row>
    <row r="740" spans="1:16" ht="31" outlineLevel="1">
      <c r="A740" s="1440">
        <f t="shared" si="112"/>
        <v>17</v>
      </c>
      <c r="B740" s="1441" t="str">
        <f t="shared" si="112"/>
        <v>CHP Improvement Schemes at 2X500MW, BTPS, Bhusawal</v>
      </c>
      <c r="C740" s="1442" t="str">
        <f t="shared" si="112"/>
        <v>MERC/CAPEX/2020-2021/WFH/SBR/09</v>
      </c>
      <c r="D740" s="1443">
        <f t="shared" si="112"/>
        <v>44357</v>
      </c>
      <c r="E740" s="1444">
        <f t="shared" si="112"/>
        <v>21.22</v>
      </c>
      <c r="F740" s="1444">
        <f t="shared" si="103"/>
        <v>0</v>
      </c>
      <c r="G740" s="1444">
        <f t="shared" si="104"/>
        <v>0</v>
      </c>
      <c r="H740" s="1444">
        <f t="shared" si="105"/>
        <v>0</v>
      </c>
      <c r="I740" s="1444">
        <v>0</v>
      </c>
      <c r="J740" s="1444">
        <v>0</v>
      </c>
      <c r="K740" s="1444"/>
      <c r="L740" s="1444"/>
      <c r="M740" s="1444">
        <f t="shared" si="110"/>
        <v>0</v>
      </c>
      <c r="N740" s="1444">
        <f t="shared" si="107"/>
        <v>0</v>
      </c>
      <c r="O740" s="1445">
        <f t="shared" si="108"/>
        <v>0</v>
      </c>
      <c r="P740" s="1377">
        <f t="shared" si="109"/>
        <v>0</v>
      </c>
    </row>
    <row r="741" spans="1:16" ht="15.5" outlineLevel="1">
      <c r="A741" s="1450">
        <f t="shared" si="112"/>
        <v>17.100000000000001</v>
      </c>
      <c r="B741" s="1452" t="str">
        <f t="shared" si="112"/>
        <v>Revamping of Apron Feeder in CHP at 2X500MW, BTPS</v>
      </c>
      <c r="C741" s="1475" t="str">
        <f t="shared" si="112"/>
        <v>MERC/CAPEX/2020-2021/WFH/SBR/09</v>
      </c>
      <c r="D741" s="1473">
        <f t="shared" si="112"/>
        <v>44357</v>
      </c>
      <c r="E741" s="1476">
        <f t="shared" si="112"/>
        <v>4.67</v>
      </c>
      <c r="F741" s="1444">
        <f t="shared" si="103"/>
        <v>4.6492000000000004</v>
      </c>
      <c r="G741" s="1444">
        <f t="shared" si="104"/>
        <v>4.6492000000000004</v>
      </c>
      <c r="H741" s="1476">
        <f t="shared" si="105"/>
        <v>0</v>
      </c>
      <c r="I741" s="1444">
        <v>0</v>
      </c>
      <c r="J741" s="1444">
        <v>0</v>
      </c>
      <c r="K741" s="1476"/>
      <c r="L741" s="1476"/>
      <c r="M741" s="1476">
        <f t="shared" si="110"/>
        <v>0</v>
      </c>
      <c r="N741" s="1476">
        <f t="shared" si="107"/>
        <v>0</v>
      </c>
      <c r="O741" s="1445">
        <f t="shared" si="108"/>
        <v>0</v>
      </c>
      <c r="P741" s="1377">
        <f t="shared" si="109"/>
        <v>0</v>
      </c>
    </row>
    <row r="742" spans="1:16" ht="31" outlineLevel="1">
      <c r="A742" s="1450">
        <f t="shared" si="112"/>
        <v>17.2</v>
      </c>
      <c r="B742" s="1452" t="str">
        <f t="shared" si="112"/>
        <v>Design, engineering, manufacturing, supply, Erection and commissioning of short conveyor from stack yard to belt feeder 112 in CHP 2x500MW BTPS.</v>
      </c>
      <c r="C742" s="1475" t="str">
        <f t="shared" si="112"/>
        <v>MERC/CAPEX/2020-2021/WFH/SBR/09</v>
      </c>
      <c r="D742" s="1473">
        <f t="shared" si="112"/>
        <v>44357</v>
      </c>
      <c r="E742" s="1476">
        <f t="shared" si="112"/>
        <v>3.53</v>
      </c>
      <c r="F742" s="1444">
        <f t="shared" si="103"/>
        <v>3.9647536259999998</v>
      </c>
      <c r="G742" s="1444">
        <f t="shared" si="104"/>
        <v>3.9647536259999998</v>
      </c>
      <c r="H742" s="1476">
        <f t="shared" si="105"/>
        <v>0</v>
      </c>
      <c r="I742" s="1444">
        <v>0</v>
      </c>
      <c r="J742" s="1444">
        <v>0</v>
      </c>
      <c r="K742" s="1476"/>
      <c r="L742" s="1476"/>
      <c r="M742" s="1476">
        <f t="shared" si="110"/>
        <v>0</v>
      </c>
      <c r="N742" s="1476">
        <f t="shared" si="107"/>
        <v>0</v>
      </c>
      <c r="O742" s="1445">
        <f t="shared" si="108"/>
        <v>0</v>
      </c>
      <c r="P742" s="1377">
        <f t="shared" si="109"/>
        <v>0</v>
      </c>
    </row>
    <row r="743" spans="1:16" ht="31" outlineLevel="1">
      <c r="A743" s="1450">
        <f t="shared" si="112"/>
        <v>17.3</v>
      </c>
      <c r="B743" s="1452" t="str">
        <f t="shared" si="112"/>
        <v>Design, engineering, manufacturing, supply, Erection and commissioning of stone grappler at Wagon Tippler No.3 in CHP 2x500MW BTPS.</v>
      </c>
      <c r="C743" s="1475" t="str">
        <f t="shared" si="112"/>
        <v>MERC/CAPEX/2020-2021/WFH/SBR/09</v>
      </c>
      <c r="D743" s="1473">
        <f t="shared" si="112"/>
        <v>44357</v>
      </c>
      <c r="E743" s="1476">
        <f t="shared" si="112"/>
        <v>0.84</v>
      </c>
      <c r="F743" s="1444">
        <f t="shared" si="103"/>
        <v>0.84</v>
      </c>
      <c r="G743" s="1444">
        <f t="shared" si="104"/>
        <v>0.84</v>
      </c>
      <c r="H743" s="1476">
        <f t="shared" si="105"/>
        <v>0</v>
      </c>
      <c r="I743" s="1444">
        <v>0</v>
      </c>
      <c r="J743" s="1444">
        <v>0</v>
      </c>
      <c r="K743" s="1476"/>
      <c r="L743" s="1476"/>
      <c r="M743" s="1476">
        <f t="shared" si="110"/>
        <v>0</v>
      </c>
      <c r="N743" s="1476">
        <f t="shared" si="107"/>
        <v>0</v>
      </c>
      <c r="O743" s="1445">
        <f t="shared" si="108"/>
        <v>0</v>
      </c>
      <c r="P743" s="1377">
        <f t="shared" si="109"/>
        <v>0</v>
      </c>
    </row>
    <row r="744" spans="1:16" ht="15.5" outlineLevel="1">
      <c r="A744" s="1450">
        <f t="shared" si="112"/>
        <v>17.399999999999999</v>
      </c>
      <c r="B744" s="1452" t="str">
        <f t="shared" si="112"/>
        <v>Procurement of suspended magnets in CHP 2x500MW BTPS.</v>
      </c>
      <c r="C744" s="1475" t="str">
        <f t="shared" si="112"/>
        <v>MERC/CAPEX/2020-2021/WFH/SBR/09</v>
      </c>
      <c r="D744" s="1473">
        <f t="shared" si="112"/>
        <v>44357</v>
      </c>
      <c r="E744" s="1476">
        <f t="shared" si="112"/>
        <v>2.95</v>
      </c>
      <c r="F744" s="1444">
        <f t="shared" si="103"/>
        <v>2.9470499999999999</v>
      </c>
      <c r="G744" s="1444">
        <f t="shared" si="104"/>
        <v>2.9470499999999999</v>
      </c>
      <c r="H744" s="1476">
        <f t="shared" si="105"/>
        <v>0</v>
      </c>
      <c r="I744" s="1444">
        <v>0</v>
      </c>
      <c r="J744" s="1444">
        <v>0</v>
      </c>
      <c r="K744" s="1476"/>
      <c r="L744" s="1476"/>
      <c r="M744" s="1476">
        <f t="shared" si="110"/>
        <v>0</v>
      </c>
      <c r="N744" s="1476">
        <f t="shared" si="107"/>
        <v>0</v>
      </c>
      <c r="O744" s="1445">
        <f t="shared" si="108"/>
        <v>0</v>
      </c>
      <c r="P744" s="1377">
        <f t="shared" si="109"/>
        <v>0</v>
      </c>
    </row>
    <row r="745" spans="1:16" ht="31" outlineLevel="1">
      <c r="A745" s="1450">
        <f t="shared" si="112"/>
        <v>17.5</v>
      </c>
      <c r="B745" s="1452" t="str">
        <f t="shared" si="112"/>
        <v>Supply, Erection And Commissioning of Electro-Mechanical Drive to Apron Feeder at CHP 500MW</v>
      </c>
      <c r="C745" s="1475" t="str">
        <f t="shared" si="112"/>
        <v>MERC/CAPEX/2020-2021/WFH/SBR/09</v>
      </c>
      <c r="D745" s="1473">
        <f t="shared" si="112"/>
        <v>44357</v>
      </c>
      <c r="E745" s="1476">
        <f t="shared" si="112"/>
        <v>7.57</v>
      </c>
      <c r="F745" s="1444">
        <f t="shared" si="103"/>
        <v>7.57</v>
      </c>
      <c r="G745" s="1444">
        <f t="shared" si="104"/>
        <v>0</v>
      </c>
      <c r="H745" s="1476">
        <f t="shared" si="105"/>
        <v>7.57</v>
      </c>
      <c r="I745" s="1444">
        <v>0</v>
      </c>
      <c r="J745" s="1444">
        <v>0</v>
      </c>
      <c r="K745" s="1476"/>
      <c r="L745" s="1476"/>
      <c r="M745" s="1476">
        <f t="shared" si="110"/>
        <v>0</v>
      </c>
      <c r="N745" s="1476">
        <f t="shared" si="107"/>
        <v>7.57</v>
      </c>
      <c r="O745" s="1445">
        <f t="shared" si="108"/>
        <v>0</v>
      </c>
      <c r="P745" s="1377">
        <f t="shared" si="109"/>
        <v>0</v>
      </c>
    </row>
    <row r="746" spans="1:16" ht="15.5" outlineLevel="1">
      <c r="A746" s="1450">
        <f t="shared" si="112"/>
        <v>0</v>
      </c>
      <c r="B746" s="1453" t="str">
        <f t="shared" si="112"/>
        <v>IDC</v>
      </c>
      <c r="C746" s="1475" t="str">
        <f t="shared" si="112"/>
        <v>MERC/CAPEX/2020-2021/WFH/SBR/09</v>
      </c>
      <c r="D746" s="1473">
        <f t="shared" si="112"/>
        <v>44357</v>
      </c>
      <c r="E746" s="1476">
        <f t="shared" si="112"/>
        <v>1.66</v>
      </c>
      <c r="F746" s="1444">
        <f t="shared" si="103"/>
        <v>6.7524100000000004E-2</v>
      </c>
      <c r="G746" s="1444">
        <f t="shared" si="104"/>
        <v>6.7524100000000004E-2</v>
      </c>
      <c r="H746" s="1476">
        <f t="shared" si="105"/>
        <v>0</v>
      </c>
      <c r="I746" s="1444">
        <v>0</v>
      </c>
      <c r="J746" s="1444">
        <v>0</v>
      </c>
      <c r="K746" s="1476"/>
      <c r="L746" s="1476"/>
      <c r="M746" s="1476">
        <f t="shared" si="110"/>
        <v>0</v>
      </c>
      <c r="N746" s="1476">
        <f t="shared" si="107"/>
        <v>0</v>
      </c>
      <c r="O746" s="1445">
        <f t="shared" si="108"/>
        <v>0</v>
      </c>
      <c r="P746" s="1377">
        <f t="shared" si="109"/>
        <v>0</v>
      </c>
    </row>
    <row r="747" spans="1:16" ht="31" outlineLevel="1">
      <c r="A747" s="1440" t="str">
        <f t="shared" si="112"/>
        <v>HO
DPR 6</v>
      </c>
      <c r="B747" s="1441" t="str">
        <f t="shared" si="112"/>
        <v>Supply, Installation, Commissioning and Operation &amp; Maintenance Services of Continuous Ambient Air Quality Monitoring Stations (CAAQMS) at various TPS</v>
      </c>
      <c r="C747" s="1442" t="str">
        <f t="shared" si="112"/>
        <v>MERC/CAPEX/20162017/00423</v>
      </c>
      <c r="D747" s="1443">
        <f t="shared" si="112"/>
        <v>42585</v>
      </c>
      <c r="E747" s="1444">
        <f t="shared" si="112"/>
        <v>3.9772580142857143</v>
      </c>
      <c r="F747" s="1444">
        <f t="shared" si="103"/>
        <v>0</v>
      </c>
      <c r="G747" s="1444">
        <f t="shared" si="104"/>
        <v>0</v>
      </c>
      <c r="H747" s="1444">
        <f t="shared" si="105"/>
        <v>0</v>
      </c>
      <c r="I747" s="1444">
        <v>0</v>
      </c>
      <c r="J747" s="1444">
        <v>0</v>
      </c>
      <c r="K747" s="1444"/>
      <c r="L747" s="1444"/>
      <c r="M747" s="1444">
        <f t="shared" si="110"/>
        <v>0</v>
      </c>
      <c r="N747" s="1444">
        <f t="shared" si="107"/>
        <v>0</v>
      </c>
      <c r="O747" s="1445">
        <f t="shared" si="108"/>
        <v>0</v>
      </c>
      <c r="P747" s="1377">
        <f t="shared" si="109"/>
        <v>0</v>
      </c>
    </row>
    <row r="748" spans="1:16" ht="15.5" outlineLevel="1">
      <c r="A748" s="1450">
        <f t="shared" ref="A748:E763" si="113">A518</f>
        <v>1</v>
      </c>
      <c r="B748" s="1452" t="str">
        <f t="shared" si="113"/>
        <v>Bhusawal: Unit 4-5 (3 Nos.)</v>
      </c>
      <c r="C748" s="1475" t="str">
        <f t="shared" si="113"/>
        <v>MERC/CAPEX/20162017/00423</v>
      </c>
      <c r="D748" s="1473">
        <f t="shared" si="113"/>
        <v>42585</v>
      </c>
      <c r="E748" s="1476">
        <f t="shared" si="113"/>
        <v>3.9772580142857143</v>
      </c>
      <c r="F748" s="1444">
        <f t="shared" si="103"/>
        <v>1.9467999333333335</v>
      </c>
      <c r="G748" s="1444">
        <f t="shared" si="104"/>
        <v>1.9457999143333333</v>
      </c>
      <c r="H748" s="1476">
        <f t="shared" si="105"/>
        <v>1.0000190000001297E-3</v>
      </c>
      <c r="I748" s="1444">
        <v>0</v>
      </c>
      <c r="J748" s="1444">
        <v>0</v>
      </c>
      <c r="K748" s="1476"/>
      <c r="L748" s="1476"/>
      <c r="M748" s="1476">
        <f t="shared" si="110"/>
        <v>0</v>
      </c>
      <c r="N748" s="1476">
        <f t="shared" si="107"/>
        <v>1.0000190000001297E-3</v>
      </c>
      <c r="O748" s="1445">
        <f t="shared" si="108"/>
        <v>0</v>
      </c>
      <c r="P748" s="1377">
        <f t="shared" si="109"/>
        <v>0</v>
      </c>
    </row>
    <row r="749" spans="1:16" ht="31" outlineLevel="1">
      <c r="A749" s="1440" t="str">
        <f t="shared" si="113"/>
        <v>HO
DPR 7</v>
      </c>
      <c r="B749" s="1441" t="str">
        <f t="shared" si="113"/>
        <v>Installation of Real Time Online Coal-Ash Analyzer at various TPS</v>
      </c>
      <c r="C749" s="1442" t="str">
        <f t="shared" si="113"/>
        <v>MERC/CAPEX/20162017/00774</v>
      </c>
      <c r="D749" s="1443">
        <f t="shared" si="113"/>
        <v>42643</v>
      </c>
      <c r="E749" s="1444">
        <f t="shared" si="113"/>
        <v>4.0552000000000001</v>
      </c>
      <c r="F749" s="1444">
        <f t="shared" si="103"/>
        <v>0</v>
      </c>
      <c r="G749" s="1444">
        <f t="shared" si="104"/>
        <v>0</v>
      </c>
      <c r="H749" s="1444">
        <f t="shared" si="105"/>
        <v>0</v>
      </c>
      <c r="I749" s="1444">
        <v>0</v>
      </c>
      <c r="J749" s="1444">
        <v>0</v>
      </c>
      <c r="K749" s="1444"/>
      <c r="L749" s="1444"/>
      <c r="M749" s="1444">
        <f t="shared" si="110"/>
        <v>0</v>
      </c>
      <c r="N749" s="1444">
        <f t="shared" si="107"/>
        <v>0</v>
      </c>
      <c r="O749" s="1445">
        <f t="shared" si="108"/>
        <v>0</v>
      </c>
      <c r="P749" s="1377">
        <f t="shared" si="109"/>
        <v>0</v>
      </c>
    </row>
    <row r="750" spans="1:16" ht="15.5" outlineLevel="1">
      <c r="A750" s="1450">
        <f t="shared" si="113"/>
        <v>1</v>
      </c>
      <c r="B750" s="1452" t="str">
        <f t="shared" si="113"/>
        <v>Bhusawal: Unit 4-5</v>
      </c>
      <c r="C750" s="1475" t="str">
        <f t="shared" si="113"/>
        <v>MERC/CAPEX/20162017/00774</v>
      </c>
      <c r="D750" s="1473">
        <f t="shared" si="113"/>
        <v>42643</v>
      </c>
      <c r="E750" s="1476">
        <f t="shared" si="113"/>
        <v>4.0552000000000001</v>
      </c>
      <c r="F750" s="1444">
        <f t="shared" si="103"/>
        <v>0</v>
      </c>
      <c r="G750" s="1444">
        <f t="shared" si="104"/>
        <v>0</v>
      </c>
      <c r="H750" s="1476">
        <f t="shared" si="105"/>
        <v>0</v>
      </c>
      <c r="I750" s="1444">
        <v>0</v>
      </c>
      <c r="J750" s="1444">
        <v>0</v>
      </c>
      <c r="K750" s="1476"/>
      <c r="L750" s="1476"/>
      <c r="M750" s="1476">
        <f t="shared" si="110"/>
        <v>0</v>
      </c>
      <c r="N750" s="1476">
        <f t="shared" si="107"/>
        <v>0</v>
      </c>
      <c r="O750" s="1445">
        <f t="shared" si="108"/>
        <v>0</v>
      </c>
      <c r="P750" s="1377">
        <f t="shared" si="109"/>
        <v>0</v>
      </c>
    </row>
    <row r="751" spans="1:16" ht="31" outlineLevel="1">
      <c r="A751" s="1440" t="str">
        <f t="shared" si="113"/>
        <v>HO
DPR 8</v>
      </c>
      <c r="B751" s="1441" t="str">
        <f t="shared" si="113"/>
        <v>Replacement of Fire Tenders at Various Power Stations of Mahagenco</v>
      </c>
      <c r="C751" s="1442" t="str">
        <f t="shared" si="113"/>
        <v>MERC/CAPEX/20172018/4653</v>
      </c>
      <c r="D751" s="1443">
        <f t="shared" si="113"/>
        <v>43052</v>
      </c>
      <c r="E751" s="1444">
        <f t="shared" si="113"/>
        <v>3.95</v>
      </c>
      <c r="F751" s="1444">
        <f t="shared" si="103"/>
        <v>0</v>
      </c>
      <c r="G751" s="1444">
        <f t="shared" si="104"/>
        <v>0</v>
      </c>
      <c r="H751" s="1444">
        <f t="shared" si="105"/>
        <v>0</v>
      </c>
      <c r="I751" s="1444">
        <v>0</v>
      </c>
      <c r="J751" s="1444">
        <v>0</v>
      </c>
      <c r="K751" s="1444"/>
      <c r="L751" s="1444"/>
      <c r="M751" s="1444">
        <f t="shared" si="110"/>
        <v>0</v>
      </c>
      <c r="N751" s="1444">
        <f t="shared" si="107"/>
        <v>0</v>
      </c>
      <c r="O751" s="1445">
        <f t="shared" si="108"/>
        <v>0</v>
      </c>
      <c r="P751" s="1377">
        <f t="shared" si="109"/>
        <v>0</v>
      </c>
    </row>
    <row r="752" spans="1:16" ht="15.5" outlineLevel="1">
      <c r="A752" s="1450">
        <f t="shared" si="113"/>
        <v>1</v>
      </c>
      <c r="B752" s="1452" t="str">
        <f t="shared" si="113"/>
        <v>Advance Multipurpose Fire Tender for BTPS 4-5</v>
      </c>
      <c r="C752" s="1477" t="str">
        <f t="shared" si="113"/>
        <v>MERC/CAPEX/20172018/4653</v>
      </c>
      <c r="D752" s="1473">
        <f t="shared" si="113"/>
        <v>43052</v>
      </c>
      <c r="E752" s="1476">
        <f t="shared" si="113"/>
        <v>1.45</v>
      </c>
      <c r="F752" s="1444">
        <f t="shared" si="103"/>
        <v>1.7765</v>
      </c>
      <c r="G752" s="1444">
        <f t="shared" si="104"/>
        <v>1.7765</v>
      </c>
      <c r="H752" s="1476">
        <f t="shared" si="105"/>
        <v>0</v>
      </c>
      <c r="I752" s="1444">
        <v>0</v>
      </c>
      <c r="J752" s="1444">
        <v>0</v>
      </c>
      <c r="K752" s="1476"/>
      <c r="L752" s="1476"/>
      <c r="M752" s="1476">
        <f t="shared" si="110"/>
        <v>0</v>
      </c>
      <c r="N752" s="1476">
        <f t="shared" si="107"/>
        <v>0</v>
      </c>
      <c r="O752" s="1445">
        <f t="shared" si="108"/>
        <v>0</v>
      </c>
      <c r="P752" s="1377">
        <f t="shared" si="109"/>
        <v>0</v>
      </c>
    </row>
    <row r="753" spans="1:16" ht="15.5" outlineLevel="1">
      <c r="A753" s="1450">
        <f t="shared" si="113"/>
        <v>2</v>
      </c>
      <c r="B753" s="1452" t="str">
        <f t="shared" si="113"/>
        <v>Normal Multipurpose Fire Tender for BTPS 4-5</v>
      </c>
      <c r="C753" s="1477" t="str">
        <f t="shared" si="113"/>
        <v>MERC/CAPEX/20172018/4653</v>
      </c>
      <c r="D753" s="1473">
        <f t="shared" si="113"/>
        <v>43052</v>
      </c>
      <c r="E753" s="1476">
        <f t="shared" si="113"/>
        <v>2.5</v>
      </c>
      <c r="F753" s="1444">
        <f t="shared" si="103"/>
        <v>2.1846524010000001</v>
      </c>
      <c r="G753" s="1444">
        <f t="shared" si="104"/>
        <v>2.1846524010000001</v>
      </c>
      <c r="H753" s="1476">
        <f t="shared" si="105"/>
        <v>0</v>
      </c>
      <c r="I753" s="1444">
        <v>0</v>
      </c>
      <c r="J753" s="1444">
        <v>0</v>
      </c>
      <c r="K753" s="1476"/>
      <c r="L753" s="1476"/>
      <c r="M753" s="1476">
        <f t="shared" si="110"/>
        <v>0</v>
      </c>
      <c r="N753" s="1476">
        <f t="shared" si="107"/>
        <v>0</v>
      </c>
      <c r="O753" s="1445">
        <f t="shared" si="108"/>
        <v>0</v>
      </c>
      <c r="P753" s="1377">
        <f t="shared" si="109"/>
        <v>0</v>
      </c>
    </row>
    <row r="754" spans="1:16" ht="15.5" outlineLevel="1">
      <c r="A754" s="1450">
        <f t="shared" si="113"/>
        <v>0</v>
      </c>
      <c r="B754" s="1452" t="str">
        <f t="shared" si="113"/>
        <v>IDC</v>
      </c>
      <c r="C754" s="1477" t="str">
        <f t="shared" si="113"/>
        <v>MERC/CAPEX/20172018/4653</v>
      </c>
      <c r="D754" s="1473">
        <f t="shared" si="113"/>
        <v>43052</v>
      </c>
      <c r="E754" s="1476">
        <f t="shared" si="113"/>
        <v>0</v>
      </c>
      <c r="F754" s="1444">
        <f t="shared" si="103"/>
        <v>0</v>
      </c>
      <c r="G754" s="1444">
        <f t="shared" si="104"/>
        <v>0</v>
      </c>
      <c r="H754" s="1476">
        <f t="shared" si="105"/>
        <v>0</v>
      </c>
      <c r="I754" s="1444">
        <v>0</v>
      </c>
      <c r="J754" s="1444">
        <v>0</v>
      </c>
      <c r="K754" s="1476"/>
      <c r="L754" s="1476"/>
      <c r="M754" s="1476">
        <f t="shared" si="110"/>
        <v>0</v>
      </c>
      <c r="N754" s="1476">
        <f t="shared" si="107"/>
        <v>0</v>
      </c>
      <c r="O754" s="1445">
        <f t="shared" si="108"/>
        <v>0</v>
      </c>
      <c r="P754" s="1377">
        <f t="shared" si="109"/>
        <v>0</v>
      </c>
    </row>
    <row r="755" spans="1:16" ht="31" outlineLevel="1">
      <c r="A755" s="1440" t="str">
        <f t="shared" si="113"/>
        <v>HO
DPR 10</v>
      </c>
      <c r="B755" s="1441" t="str">
        <f t="shared" si="113"/>
        <v>Implementation of IB recommendations- Civil works at various TPS of Mahagenco</v>
      </c>
      <c r="C755" s="1442" t="str">
        <f t="shared" si="113"/>
        <v>MERC/CAPEX/20172018/0177</v>
      </c>
      <c r="D755" s="1443">
        <f t="shared" si="113"/>
        <v>43137</v>
      </c>
      <c r="E755" s="1444">
        <f t="shared" si="113"/>
        <v>10.065399999999999</v>
      </c>
      <c r="F755" s="1444">
        <f t="shared" si="103"/>
        <v>0</v>
      </c>
      <c r="G755" s="1444">
        <f t="shared" si="104"/>
        <v>0</v>
      </c>
      <c r="H755" s="1444">
        <f t="shared" si="105"/>
        <v>0</v>
      </c>
      <c r="I755" s="1444">
        <v>0</v>
      </c>
      <c r="J755" s="1444">
        <v>0</v>
      </c>
      <c r="K755" s="1444"/>
      <c r="L755" s="1444"/>
      <c r="M755" s="1444">
        <f t="shared" si="110"/>
        <v>0</v>
      </c>
      <c r="N755" s="1444">
        <f t="shared" si="107"/>
        <v>0</v>
      </c>
      <c r="O755" s="1445">
        <f t="shared" si="108"/>
        <v>0</v>
      </c>
      <c r="P755" s="1377">
        <f t="shared" si="109"/>
        <v>0</v>
      </c>
    </row>
    <row r="756" spans="1:16" ht="15.5" outlineLevel="1">
      <c r="A756" s="1450">
        <f t="shared" si="113"/>
        <v>1</v>
      </c>
      <c r="B756" s="1452" t="str">
        <f t="shared" si="113"/>
        <v>Bhusawal: Unit 4-5</v>
      </c>
      <c r="C756" s="1478" t="str">
        <f t="shared" si="113"/>
        <v>MERC/CAPEX/20172018/0177</v>
      </c>
      <c r="D756" s="1473">
        <f t="shared" si="113"/>
        <v>43137</v>
      </c>
      <c r="E756" s="1476">
        <f t="shared" si="113"/>
        <v>10.065399999999999</v>
      </c>
      <c r="F756" s="1444">
        <f t="shared" si="103"/>
        <v>9.1854371740000005</v>
      </c>
      <c r="G756" s="1444">
        <f t="shared" si="104"/>
        <v>9.1836757359999996</v>
      </c>
      <c r="H756" s="1476">
        <f t="shared" si="105"/>
        <v>1.7614380000008367E-3</v>
      </c>
      <c r="I756" s="1444">
        <v>0</v>
      </c>
      <c r="J756" s="1444">
        <v>0</v>
      </c>
      <c r="K756" s="1476"/>
      <c r="L756" s="1476"/>
      <c r="M756" s="1476">
        <f t="shared" si="110"/>
        <v>0</v>
      </c>
      <c r="N756" s="1476">
        <f t="shared" si="107"/>
        <v>1.7614380000008367E-3</v>
      </c>
      <c r="O756" s="1445">
        <f t="shared" si="108"/>
        <v>0</v>
      </c>
      <c r="P756" s="1377">
        <f t="shared" si="109"/>
        <v>0</v>
      </c>
    </row>
    <row r="757" spans="1:16" ht="46.5" outlineLevel="1">
      <c r="A757" s="1440">
        <f t="shared" si="113"/>
        <v>18</v>
      </c>
      <c r="B757" s="1441" t="str">
        <f t="shared" si="113"/>
        <v>Procurement of assembly of baskets for Air Pre-heater of type 31.5 VIM 2000 (72° PA), Replacement of thermal insulation of Boiler, Ducts &amp; Steam Pipelines and Coal Mill Gear Box in 2x500MW at BTPS, Bhusawal</v>
      </c>
      <c r="C757" s="1442" t="str">
        <f t="shared" si="113"/>
        <v>MERC/CAPEX/2021-2022/ SBR/ 15</v>
      </c>
      <c r="D757" s="1443">
        <f t="shared" si="113"/>
        <v>44461</v>
      </c>
      <c r="E757" s="1444">
        <f t="shared" si="113"/>
        <v>14.96</v>
      </c>
      <c r="F757" s="1444">
        <f t="shared" si="103"/>
        <v>0</v>
      </c>
      <c r="G757" s="1444">
        <f t="shared" si="104"/>
        <v>0</v>
      </c>
      <c r="H757" s="1444">
        <f t="shared" si="105"/>
        <v>0</v>
      </c>
      <c r="I757" s="1444">
        <v>0</v>
      </c>
      <c r="J757" s="1444">
        <v>0</v>
      </c>
      <c r="K757" s="1444"/>
      <c r="L757" s="1444"/>
      <c r="M757" s="1444">
        <f t="shared" si="110"/>
        <v>0</v>
      </c>
      <c r="N757" s="1444">
        <f t="shared" si="107"/>
        <v>0</v>
      </c>
      <c r="O757" s="1445">
        <f t="shared" si="108"/>
        <v>0</v>
      </c>
      <c r="P757" s="1377">
        <f t="shared" si="109"/>
        <v>0</v>
      </c>
    </row>
    <row r="758" spans="1:16" ht="31" outlineLevel="1">
      <c r="A758" s="1314">
        <f t="shared" si="113"/>
        <v>18.100000000000001</v>
      </c>
      <c r="B758" s="1447" t="str">
        <f t="shared" si="113"/>
        <v>Procurement of assembly of baskets for Air Preheater of type 31.5 VIM 2000 (72° PA) for Unit-4&amp;5</v>
      </c>
      <c r="C758" s="1378" t="str">
        <f t="shared" si="113"/>
        <v>MERC/CAPEX/2021-2022/ SBR/ 15</v>
      </c>
      <c r="D758" s="1473">
        <f t="shared" si="113"/>
        <v>44461</v>
      </c>
      <c r="E758" s="305">
        <f t="shared" si="113"/>
        <v>5.53</v>
      </c>
      <c r="F758" s="1444">
        <f t="shared" si="103"/>
        <v>8.4110399999999998</v>
      </c>
      <c r="G758" s="1444">
        <f t="shared" si="104"/>
        <v>8.4110399999999998</v>
      </c>
      <c r="H758" s="305">
        <f t="shared" si="105"/>
        <v>0</v>
      </c>
      <c r="I758" s="1444">
        <v>0</v>
      </c>
      <c r="J758" s="1444">
        <v>0</v>
      </c>
      <c r="K758" s="305"/>
      <c r="L758" s="305"/>
      <c r="M758" s="305">
        <f t="shared" si="110"/>
        <v>0</v>
      </c>
      <c r="N758" s="305">
        <f t="shared" si="107"/>
        <v>0</v>
      </c>
      <c r="O758" s="1445">
        <f t="shared" si="108"/>
        <v>0</v>
      </c>
      <c r="P758" s="1377">
        <f t="shared" si="109"/>
        <v>0</v>
      </c>
    </row>
    <row r="759" spans="1:16" ht="31" outlineLevel="1">
      <c r="A759" s="1450">
        <f t="shared" si="113"/>
        <v>18.2</v>
      </c>
      <c r="B759" s="1452" t="str">
        <f t="shared" si="113"/>
        <v>Replacement of thermal insulation of Boiler, Ducts &amp; Steam Pipelines along with supply</v>
      </c>
      <c r="C759" s="1378" t="str">
        <f t="shared" si="113"/>
        <v>MERC/CAPEX/2021-2022/ SBR/ 15</v>
      </c>
      <c r="D759" s="1473">
        <f t="shared" si="113"/>
        <v>44461</v>
      </c>
      <c r="E759" s="305">
        <f t="shared" si="113"/>
        <v>3.52</v>
      </c>
      <c r="F759" s="1444">
        <f t="shared" si="103"/>
        <v>3.52</v>
      </c>
      <c r="G759" s="1444">
        <f t="shared" si="104"/>
        <v>2</v>
      </c>
      <c r="H759" s="305">
        <f t="shared" si="105"/>
        <v>1.52</v>
      </c>
      <c r="I759" s="1444">
        <v>0</v>
      </c>
      <c r="J759" s="1444">
        <v>0</v>
      </c>
      <c r="K759" s="305"/>
      <c r="L759" s="305"/>
      <c r="M759" s="305">
        <f t="shared" si="110"/>
        <v>0</v>
      </c>
      <c r="N759" s="305">
        <f t="shared" si="107"/>
        <v>1.52</v>
      </c>
      <c r="O759" s="1445">
        <f t="shared" si="108"/>
        <v>0</v>
      </c>
      <c r="P759" s="1377">
        <f t="shared" si="109"/>
        <v>0</v>
      </c>
    </row>
    <row r="760" spans="1:16" ht="15.5" outlineLevel="1">
      <c r="A760" s="1450">
        <f t="shared" si="113"/>
        <v>18.3</v>
      </c>
      <c r="B760" s="1452" t="str">
        <f t="shared" si="113"/>
        <v>Supply of XRP-1043 coal mill gearbox spares in unit-4&amp;5.</v>
      </c>
      <c r="C760" s="1378" t="str">
        <f t="shared" si="113"/>
        <v>MERC/CAPEX/2021-2022/ SBR/ 15</v>
      </c>
      <c r="D760" s="1473">
        <f t="shared" si="113"/>
        <v>44461</v>
      </c>
      <c r="E760" s="305">
        <f t="shared" si="113"/>
        <v>5.39</v>
      </c>
      <c r="F760" s="1444">
        <f t="shared" si="103"/>
        <v>3.7043508740000002</v>
      </c>
      <c r="G760" s="1444">
        <f t="shared" si="104"/>
        <v>3.7043509000000001</v>
      </c>
      <c r="H760" s="305">
        <f t="shared" si="105"/>
        <v>-2.5999999930803597E-8</v>
      </c>
      <c r="I760" s="1444">
        <v>0</v>
      </c>
      <c r="J760" s="1444">
        <v>0</v>
      </c>
      <c r="K760" s="305"/>
      <c r="L760" s="305"/>
      <c r="M760" s="305">
        <f t="shared" si="110"/>
        <v>0</v>
      </c>
      <c r="N760" s="305">
        <f t="shared" si="107"/>
        <v>-2.5999999930803597E-8</v>
      </c>
      <c r="O760" s="1445">
        <f t="shared" si="108"/>
        <v>0</v>
      </c>
      <c r="P760" s="1377">
        <f t="shared" si="109"/>
        <v>0</v>
      </c>
    </row>
    <row r="761" spans="1:16" ht="15.5" outlineLevel="1">
      <c r="A761" s="1314">
        <f t="shared" si="113"/>
        <v>0</v>
      </c>
      <c r="B761" s="1452" t="str">
        <f t="shared" si="113"/>
        <v>IDC</v>
      </c>
      <c r="C761" s="1378" t="str">
        <f t="shared" si="113"/>
        <v>MERC/CAPEX/2021-2022/ SBR/ 15</v>
      </c>
      <c r="D761" s="1473">
        <f t="shared" si="113"/>
        <v>44461</v>
      </c>
      <c r="E761" s="305">
        <f t="shared" si="113"/>
        <v>0.52</v>
      </c>
      <c r="F761" s="1444">
        <f t="shared" si="103"/>
        <v>0</v>
      </c>
      <c r="G761" s="1444">
        <f t="shared" si="104"/>
        <v>0</v>
      </c>
      <c r="H761" s="305">
        <f t="shared" si="105"/>
        <v>0</v>
      </c>
      <c r="I761" s="1444">
        <v>0</v>
      </c>
      <c r="J761" s="1444">
        <v>0</v>
      </c>
      <c r="K761" s="305"/>
      <c r="L761" s="305"/>
      <c r="M761" s="305">
        <f t="shared" si="110"/>
        <v>0</v>
      </c>
      <c r="N761" s="305">
        <f t="shared" si="107"/>
        <v>0</v>
      </c>
      <c r="O761" s="1445">
        <f t="shared" si="108"/>
        <v>0</v>
      </c>
      <c r="P761" s="1377">
        <f t="shared" si="109"/>
        <v>0</v>
      </c>
    </row>
    <row r="762" spans="1:16" ht="46.5" outlineLevel="1">
      <c r="A762" s="1440">
        <f t="shared" si="113"/>
        <v>19</v>
      </c>
      <c r="B762" s="1441" t="str">
        <f t="shared" si="113"/>
        <v>Up-gradation of Operating System of Max DNA DCS, GE Fanuc PLC system &amp; Schneider PLC system &amp; Procurement of Critical Insurance spares for PA and FD fans System at 2 x 500 MW Units BTPS Bhusawal</v>
      </c>
      <c r="C762" s="1442" t="str">
        <f t="shared" si="113"/>
        <v>MERC/CAPEX/2023-2024/0178</v>
      </c>
      <c r="D762" s="1443">
        <f t="shared" si="113"/>
        <v>45362</v>
      </c>
      <c r="E762" s="1444">
        <f t="shared" si="113"/>
        <v>31.049999999999997</v>
      </c>
      <c r="F762" s="1444">
        <f t="shared" si="103"/>
        <v>0</v>
      </c>
      <c r="G762" s="1444">
        <f t="shared" si="104"/>
        <v>0</v>
      </c>
      <c r="H762" s="1444">
        <f t="shared" si="105"/>
        <v>0</v>
      </c>
      <c r="I762" s="1444">
        <v>0</v>
      </c>
      <c r="J762" s="1444">
        <v>0</v>
      </c>
      <c r="K762" s="1444"/>
      <c r="L762" s="1444"/>
      <c r="M762" s="1444">
        <f t="shared" si="110"/>
        <v>0</v>
      </c>
      <c r="N762" s="1444">
        <f t="shared" si="107"/>
        <v>0</v>
      </c>
      <c r="O762" s="1445">
        <f t="shared" si="108"/>
        <v>0</v>
      </c>
      <c r="P762" s="1377">
        <f t="shared" si="109"/>
        <v>0</v>
      </c>
    </row>
    <row r="763" spans="1:16" ht="15.5" outlineLevel="1">
      <c r="A763" s="1450">
        <f t="shared" si="113"/>
        <v>19.100000000000001</v>
      </c>
      <c r="B763" s="1452" t="str">
        <f t="shared" si="113"/>
        <v>Up-gradation of Existing MaxDNA System (HMI) at 500MW BTPS, Bhusawal</v>
      </c>
      <c r="C763" s="1378" t="str">
        <f t="shared" si="113"/>
        <v>MERC/CAPEX/2023-2024/0178</v>
      </c>
      <c r="D763" s="1473">
        <f t="shared" si="113"/>
        <v>45362</v>
      </c>
      <c r="E763" s="305">
        <f t="shared" si="113"/>
        <v>8.69</v>
      </c>
      <c r="F763" s="1444">
        <f t="shared" si="103"/>
        <v>0</v>
      </c>
      <c r="G763" s="1444">
        <f t="shared" si="104"/>
        <v>0</v>
      </c>
      <c r="H763" s="305">
        <f t="shared" si="105"/>
        <v>0</v>
      </c>
      <c r="I763" s="1444">
        <v>8.69</v>
      </c>
      <c r="J763" s="1444">
        <v>8.69</v>
      </c>
      <c r="K763" s="305"/>
      <c r="L763" s="305"/>
      <c r="M763" s="305">
        <f t="shared" si="110"/>
        <v>8.69</v>
      </c>
      <c r="N763" s="305">
        <f t="shared" si="107"/>
        <v>0</v>
      </c>
      <c r="O763" s="1445">
        <f t="shared" si="108"/>
        <v>8.69</v>
      </c>
      <c r="P763" s="1377">
        <f t="shared" si="109"/>
        <v>0</v>
      </c>
    </row>
    <row r="764" spans="1:16" ht="31" outlineLevel="1">
      <c r="A764" s="1450">
        <f t="shared" ref="A764:E779" si="114">A534</f>
        <v>19.2</v>
      </c>
      <c r="B764" s="1452" t="str">
        <f t="shared" si="114"/>
        <v>Up-gradation of GE IP (GE-Fanuc) make PLC system (HMI) installed at AHP, CPU plant, FOPH, FWPH and Mill Reject system at 2x500MW BTPS, Bhusawal.</v>
      </c>
      <c r="C764" s="1378" t="str">
        <f t="shared" si="114"/>
        <v>MERC/CAPEX/2023-2024/0178</v>
      </c>
      <c r="D764" s="1473">
        <f t="shared" si="114"/>
        <v>45362</v>
      </c>
      <c r="E764" s="305">
        <f t="shared" si="114"/>
        <v>1.35</v>
      </c>
      <c r="F764" s="1444">
        <f t="shared" ref="F764:F827" si="115">F534+I534</f>
        <v>1.2948010000000001</v>
      </c>
      <c r="G764" s="1444">
        <f t="shared" ref="G764:G827" si="116">G534+M534</f>
        <v>1.3538010199999999</v>
      </c>
      <c r="H764" s="305">
        <f t="shared" ref="H764:H827" si="117">F764-G764</f>
        <v>-5.900001999999982E-2</v>
      </c>
      <c r="I764" s="1444">
        <v>0</v>
      </c>
      <c r="J764" s="1444">
        <v>0</v>
      </c>
      <c r="K764" s="305"/>
      <c r="L764" s="305"/>
      <c r="M764" s="305">
        <f t="shared" si="110"/>
        <v>0</v>
      </c>
      <c r="N764" s="305">
        <f t="shared" ref="N764:N827" si="118">H764+I764-M764</f>
        <v>-5.900001999999982E-2</v>
      </c>
      <c r="O764" s="1445">
        <f t="shared" ref="O764:O774" si="119">MAX(0,IF(M764=0,0,IF(G764+M764&lt;E764,M764,E764-G764)))</f>
        <v>0</v>
      </c>
      <c r="P764" s="1377">
        <f t="shared" ref="P764:P774" si="120">M764-O764</f>
        <v>0</v>
      </c>
    </row>
    <row r="765" spans="1:16" ht="15.5" outlineLevel="1">
      <c r="A765" s="1450">
        <f t="shared" si="114"/>
        <v>19.3</v>
      </c>
      <c r="B765" s="1452" t="str">
        <f t="shared" si="114"/>
        <v>Up-gradation of Schneider PLC System at 2x500MW, BTPS, Bhusawal</v>
      </c>
      <c r="C765" s="1442" t="str">
        <f t="shared" si="114"/>
        <v>MERC/CAPEX/2023-2024/0178</v>
      </c>
      <c r="D765" s="1443">
        <f t="shared" si="114"/>
        <v>45362</v>
      </c>
      <c r="E765" s="1444">
        <f t="shared" si="114"/>
        <v>2.33</v>
      </c>
      <c r="F765" s="1444">
        <f t="shared" si="115"/>
        <v>2.3093444879999998</v>
      </c>
      <c r="G765" s="1444">
        <f t="shared" si="116"/>
        <v>2.3093444879999998</v>
      </c>
      <c r="H765" s="1444">
        <f t="shared" si="117"/>
        <v>0</v>
      </c>
      <c r="I765" s="1444">
        <v>0</v>
      </c>
      <c r="J765" s="1444">
        <v>0</v>
      </c>
      <c r="K765" s="1444"/>
      <c r="L765" s="1444"/>
      <c r="M765" s="1444">
        <f t="shared" ref="M765:M774" si="121">SUM(J765:L765)</f>
        <v>0</v>
      </c>
      <c r="N765" s="1444">
        <f t="shared" si="118"/>
        <v>0</v>
      </c>
      <c r="O765" s="1445">
        <f t="shared" si="119"/>
        <v>0</v>
      </c>
      <c r="P765" s="1377">
        <f t="shared" si="120"/>
        <v>0</v>
      </c>
    </row>
    <row r="766" spans="1:16" ht="31" outlineLevel="1">
      <c r="A766" s="1450">
        <f t="shared" si="114"/>
        <v>19.399999999999999</v>
      </c>
      <c r="B766" s="1452" t="str">
        <f t="shared" si="114"/>
        <v>Procurement of Rotor assembly with blade set for PA and FD fan at 2 X 500 MW BTPS Bhusawal</v>
      </c>
      <c r="C766" s="1475" t="str">
        <f t="shared" si="114"/>
        <v>MERC/CAPEX/2023-2024/0178</v>
      </c>
      <c r="D766" s="1473">
        <f t="shared" si="114"/>
        <v>45362</v>
      </c>
      <c r="E766" s="1476">
        <f t="shared" si="114"/>
        <v>18.18</v>
      </c>
      <c r="F766" s="1444">
        <f t="shared" si="115"/>
        <v>16.16</v>
      </c>
      <c r="G766" s="1444">
        <f t="shared" si="116"/>
        <v>16.16</v>
      </c>
      <c r="H766" s="1476">
        <f t="shared" si="117"/>
        <v>0</v>
      </c>
      <c r="I766" s="1444">
        <v>0</v>
      </c>
      <c r="J766" s="1444">
        <v>0</v>
      </c>
      <c r="K766" s="1476"/>
      <c r="L766" s="1476"/>
      <c r="M766" s="1476">
        <f t="shared" si="121"/>
        <v>0</v>
      </c>
      <c r="N766" s="1476">
        <f t="shared" si="118"/>
        <v>0</v>
      </c>
      <c r="O766" s="1445">
        <f t="shared" si="119"/>
        <v>0</v>
      </c>
      <c r="P766" s="1377">
        <f t="shared" si="120"/>
        <v>0</v>
      </c>
    </row>
    <row r="767" spans="1:16" ht="15.5" outlineLevel="1">
      <c r="A767" s="1314">
        <f t="shared" si="114"/>
        <v>0</v>
      </c>
      <c r="B767" s="1452" t="str">
        <f t="shared" si="114"/>
        <v>IDC</v>
      </c>
      <c r="C767" s="1475" t="str">
        <f t="shared" si="114"/>
        <v>MERC/CAPEX/2023-2024/0178</v>
      </c>
      <c r="D767" s="1473">
        <f t="shared" si="114"/>
        <v>45362</v>
      </c>
      <c r="E767" s="1476">
        <f t="shared" si="114"/>
        <v>0.5</v>
      </c>
      <c r="F767" s="1444">
        <f t="shared" si="115"/>
        <v>0</v>
      </c>
      <c r="G767" s="1444">
        <f t="shared" si="116"/>
        <v>0</v>
      </c>
      <c r="H767" s="1476">
        <f t="shared" si="117"/>
        <v>0</v>
      </c>
      <c r="I767" s="1444">
        <v>0.5</v>
      </c>
      <c r="J767" s="1444">
        <v>0.5</v>
      </c>
      <c r="K767" s="1476"/>
      <c r="L767" s="1476"/>
      <c r="M767" s="1476">
        <f t="shared" si="121"/>
        <v>0.5</v>
      </c>
      <c r="N767" s="1476">
        <f t="shared" si="118"/>
        <v>0</v>
      </c>
      <c r="O767" s="1445">
        <f t="shared" si="119"/>
        <v>0.5</v>
      </c>
      <c r="P767" s="1377">
        <f t="shared" si="120"/>
        <v>0</v>
      </c>
    </row>
    <row r="768" spans="1:16" ht="31" outlineLevel="1">
      <c r="A768" s="1440" t="str">
        <f t="shared" si="114"/>
        <v>HO
DPR 13</v>
      </c>
      <c r="B768" s="1441" t="str">
        <f t="shared" si="114"/>
        <v>Construction of new Administrative Building for Mahagenco at Vidyut Bhawan, Katol Road, Nagpur</v>
      </c>
      <c r="C768" s="1475" t="str">
        <f t="shared" si="114"/>
        <v>MERC/CAPEX/2021-2022/MSPGCL/063</v>
      </c>
      <c r="D768" s="1473">
        <f t="shared" si="114"/>
        <v>44604</v>
      </c>
      <c r="E768" s="1476">
        <f t="shared" si="114"/>
        <v>57</v>
      </c>
      <c r="F768" s="1444">
        <f t="shared" si="115"/>
        <v>0</v>
      </c>
      <c r="G768" s="1444">
        <f t="shared" si="116"/>
        <v>0</v>
      </c>
      <c r="H768" s="1476">
        <f t="shared" si="117"/>
        <v>0</v>
      </c>
      <c r="I768" s="1444">
        <v>0</v>
      </c>
      <c r="J768" s="1444">
        <v>0</v>
      </c>
      <c r="K768" s="1476"/>
      <c r="L768" s="1476"/>
      <c r="M768" s="1476">
        <f t="shared" si="121"/>
        <v>0</v>
      </c>
      <c r="N768" s="1476">
        <f t="shared" si="118"/>
        <v>0</v>
      </c>
      <c r="O768" s="1445">
        <f t="shared" si="119"/>
        <v>0</v>
      </c>
      <c r="P768" s="1377">
        <f t="shared" si="120"/>
        <v>0</v>
      </c>
    </row>
    <row r="769" spans="1:16" ht="31" outlineLevel="1">
      <c r="A769" s="1446">
        <f t="shared" si="114"/>
        <v>1</v>
      </c>
      <c r="B769" s="1447" t="str">
        <f t="shared" si="114"/>
        <v>Construction of new Administrative Building for Mahagenco at Vidyut Bhawan, Katol Road, Nagpur</v>
      </c>
      <c r="C769" s="1475" t="str">
        <f t="shared" si="114"/>
        <v>MERC/CAPEX/2021-2022/MSPGCL/063</v>
      </c>
      <c r="D769" s="1473">
        <f t="shared" si="114"/>
        <v>44604</v>
      </c>
      <c r="E769" s="1476">
        <f t="shared" si="114"/>
        <v>54.24</v>
      </c>
      <c r="F769" s="1444">
        <f t="shared" si="115"/>
        <v>0</v>
      </c>
      <c r="G769" s="1444">
        <f t="shared" si="116"/>
        <v>0</v>
      </c>
      <c r="H769" s="1476">
        <f t="shared" si="117"/>
        <v>0</v>
      </c>
      <c r="I769" s="1444">
        <v>0</v>
      </c>
      <c r="J769" s="1444">
        <v>0</v>
      </c>
      <c r="K769" s="1476"/>
      <c r="L769" s="1476"/>
      <c r="M769" s="1476">
        <f t="shared" si="121"/>
        <v>0</v>
      </c>
      <c r="N769" s="1476">
        <f t="shared" si="118"/>
        <v>0</v>
      </c>
      <c r="O769" s="1445">
        <f t="shared" si="119"/>
        <v>0</v>
      </c>
      <c r="P769" s="1377">
        <f t="shared" si="120"/>
        <v>0</v>
      </c>
    </row>
    <row r="770" spans="1:16" ht="31" outlineLevel="1">
      <c r="A770" s="1446">
        <f t="shared" si="114"/>
        <v>0</v>
      </c>
      <c r="B770" s="1447" t="str">
        <f t="shared" si="114"/>
        <v>IDC</v>
      </c>
      <c r="C770" s="1442" t="str">
        <f t="shared" si="114"/>
        <v>MERC/CAPEX/2021-2022/MSPGCL/063</v>
      </c>
      <c r="D770" s="1443">
        <f t="shared" si="114"/>
        <v>44604</v>
      </c>
      <c r="E770" s="1444">
        <f t="shared" si="114"/>
        <v>2.76</v>
      </c>
      <c r="F770" s="1444">
        <f t="shared" si="115"/>
        <v>0</v>
      </c>
      <c r="G770" s="1444">
        <f t="shared" si="116"/>
        <v>0</v>
      </c>
      <c r="H770" s="1444">
        <f t="shared" si="117"/>
        <v>0</v>
      </c>
      <c r="I770" s="1444">
        <v>0</v>
      </c>
      <c r="J770" s="1444">
        <v>0</v>
      </c>
      <c r="K770" s="1444"/>
      <c r="L770" s="1444"/>
      <c r="M770" s="1444">
        <f t="shared" si="121"/>
        <v>0</v>
      </c>
      <c r="N770" s="1444">
        <f t="shared" si="118"/>
        <v>0</v>
      </c>
      <c r="O770" s="1445">
        <f t="shared" si="119"/>
        <v>0</v>
      </c>
      <c r="P770" s="1377">
        <f t="shared" si="120"/>
        <v>0</v>
      </c>
    </row>
    <row r="771" spans="1:16" ht="31" outlineLevel="1">
      <c r="A771" s="1440" t="str">
        <f t="shared" si="114"/>
        <v>HO
DPR 16</v>
      </c>
      <c r="B771" s="1441" t="str">
        <f t="shared" si="114"/>
        <v>Centralized Monitoring Solution</v>
      </c>
      <c r="C771" s="1475" t="str">
        <f t="shared" si="114"/>
        <v>MERC/CAPEX/MSPGCL/2023-24/0576</v>
      </c>
      <c r="D771" s="1473">
        <f t="shared" si="114"/>
        <v>45232</v>
      </c>
      <c r="E771" s="1476">
        <f t="shared" si="114"/>
        <v>69.308999999999997</v>
      </c>
      <c r="F771" s="1444">
        <f t="shared" si="115"/>
        <v>0</v>
      </c>
      <c r="G771" s="1444">
        <f t="shared" si="116"/>
        <v>0</v>
      </c>
      <c r="H771" s="1476">
        <f t="shared" si="117"/>
        <v>0</v>
      </c>
      <c r="I771" s="1444">
        <v>0</v>
      </c>
      <c r="J771" s="1444">
        <v>0</v>
      </c>
      <c r="K771" s="1476"/>
      <c r="L771" s="1476"/>
      <c r="M771" s="1476">
        <f t="shared" si="121"/>
        <v>0</v>
      </c>
      <c r="N771" s="1476">
        <f t="shared" si="118"/>
        <v>0</v>
      </c>
      <c r="O771" s="1445">
        <f t="shared" si="119"/>
        <v>0</v>
      </c>
      <c r="P771" s="1377">
        <f t="shared" si="120"/>
        <v>0</v>
      </c>
    </row>
    <row r="772" spans="1:16" ht="15.5" outlineLevel="1">
      <c r="A772" s="1446">
        <f t="shared" si="114"/>
        <v>1</v>
      </c>
      <c r="B772" s="1447" t="str">
        <f t="shared" si="114"/>
        <v>Centralized Monitoring Solution</v>
      </c>
      <c r="C772" s="1475" t="str">
        <f t="shared" si="114"/>
        <v>MERC/CAPEX/MSPGCL/2023-24/0576</v>
      </c>
      <c r="D772" s="1473">
        <f t="shared" si="114"/>
        <v>45232</v>
      </c>
      <c r="E772" s="1476">
        <f t="shared" si="114"/>
        <v>66.009</v>
      </c>
      <c r="F772" s="1444">
        <f t="shared" si="115"/>
        <v>0</v>
      </c>
      <c r="G772" s="1444">
        <f t="shared" si="116"/>
        <v>0</v>
      </c>
      <c r="H772" s="1476">
        <f t="shared" si="117"/>
        <v>0</v>
      </c>
      <c r="I772" s="1444">
        <v>0</v>
      </c>
      <c r="J772" s="1444">
        <v>0</v>
      </c>
      <c r="K772" s="1476"/>
      <c r="L772" s="1476"/>
      <c r="M772" s="1476">
        <f t="shared" si="121"/>
        <v>0</v>
      </c>
      <c r="N772" s="1476">
        <f t="shared" si="118"/>
        <v>0</v>
      </c>
      <c r="O772" s="1445">
        <f t="shared" si="119"/>
        <v>0</v>
      </c>
      <c r="P772" s="1377">
        <f t="shared" si="120"/>
        <v>0</v>
      </c>
    </row>
    <row r="773" spans="1:16" ht="15.5" outlineLevel="1">
      <c r="A773" s="1446">
        <f t="shared" si="114"/>
        <v>0</v>
      </c>
      <c r="B773" s="1447" t="str">
        <f t="shared" si="114"/>
        <v>IDC</v>
      </c>
      <c r="C773" s="1475" t="str">
        <f t="shared" si="114"/>
        <v>MERC/CAPEX/MSPGCL/2023-24/0576</v>
      </c>
      <c r="D773" s="1473">
        <f t="shared" si="114"/>
        <v>45232</v>
      </c>
      <c r="E773" s="1476">
        <f t="shared" si="114"/>
        <v>3.3</v>
      </c>
      <c r="F773" s="1444">
        <f t="shared" si="115"/>
        <v>0</v>
      </c>
      <c r="G773" s="1444">
        <f t="shared" si="116"/>
        <v>0</v>
      </c>
      <c r="H773" s="1476">
        <f t="shared" si="117"/>
        <v>0</v>
      </c>
      <c r="I773" s="1444">
        <v>0</v>
      </c>
      <c r="J773" s="1444">
        <v>0</v>
      </c>
      <c r="K773" s="1476"/>
      <c r="L773" s="1476"/>
      <c r="M773" s="1476">
        <f t="shared" si="121"/>
        <v>0</v>
      </c>
      <c r="N773" s="1476">
        <f t="shared" si="118"/>
        <v>0</v>
      </c>
      <c r="O773" s="1445">
        <f t="shared" si="119"/>
        <v>0</v>
      </c>
      <c r="P773" s="1377">
        <f t="shared" si="120"/>
        <v>0</v>
      </c>
    </row>
    <row r="774" spans="1:16" ht="31" outlineLevel="1">
      <c r="A774" s="1440">
        <f t="shared" si="114"/>
        <v>20</v>
      </c>
      <c r="B774" s="1441" t="str">
        <f t="shared" si="114"/>
        <v>Improvement of Loadability and Availability of Coal Handling Plant at BTPS, Bhusawal</v>
      </c>
      <c r="C774" s="1475" t="str">
        <f t="shared" si="114"/>
        <v>MERC/CAPEX/MSPGCL/2024-25/0309</v>
      </c>
      <c r="D774" s="1473">
        <f t="shared" si="114"/>
        <v>45429</v>
      </c>
      <c r="E774" s="1476">
        <f t="shared" si="114"/>
        <v>0</v>
      </c>
      <c r="F774" s="1444">
        <f t="shared" si="115"/>
        <v>0</v>
      </c>
      <c r="G774" s="1444">
        <f t="shared" si="116"/>
        <v>0</v>
      </c>
      <c r="H774" s="1476">
        <f t="shared" si="117"/>
        <v>0</v>
      </c>
      <c r="I774" s="1444">
        <v>0</v>
      </c>
      <c r="J774" s="1444">
        <v>0</v>
      </c>
      <c r="K774" s="1476"/>
      <c r="L774" s="1476"/>
      <c r="M774" s="1476">
        <f t="shared" si="121"/>
        <v>0</v>
      </c>
      <c r="N774" s="1476">
        <f t="shared" si="118"/>
        <v>0</v>
      </c>
      <c r="O774" s="1445">
        <f t="shared" si="119"/>
        <v>0</v>
      </c>
      <c r="P774" s="1377">
        <f t="shared" si="120"/>
        <v>0</v>
      </c>
    </row>
    <row r="775" spans="1:16" ht="46.5" outlineLevel="1">
      <c r="A775" s="1446">
        <f t="shared" si="114"/>
        <v>20.100000000000001</v>
      </c>
      <c r="B775" s="1447" t="str">
        <f t="shared" si="114"/>
        <v>Scheme-1:-Design Engineering, Supply, Erection, commissioning, Extension of travel Length &amp; Capacity Enhancement of coal yard with additional drive system of stacker reclaimer conveyor No. 110 at in coal handling Plant BTPS.</v>
      </c>
      <c r="C775" s="1475" t="str">
        <f t="shared" si="114"/>
        <v>MERC/CAPEX/MSPGCL/2024-25/0309</v>
      </c>
      <c r="D775" s="1473">
        <f t="shared" si="114"/>
        <v>45429</v>
      </c>
      <c r="E775" s="1476">
        <f t="shared" si="114"/>
        <v>14.27</v>
      </c>
      <c r="F775" s="1444">
        <f t="shared" si="115"/>
        <v>0</v>
      </c>
      <c r="G775" s="1444">
        <f t="shared" si="116"/>
        <v>0</v>
      </c>
      <c r="H775" s="1476">
        <f t="shared" si="117"/>
        <v>0</v>
      </c>
      <c r="I775" s="1444">
        <v>0</v>
      </c>
      <c r="J775" s="1444">
        <v>0</v>
      </c>
      <c r="K775" s="1476"/>
      <c r="L775" s="1476"/>
      <c r="M775" s="1476">
        <f t="shared" ref="M775:M838" si="122">SUM(J775:L775)</f>
        <v>0</v>
      </c>
      <c r="N775" s="1476">
        <f t="shared" si="118"/>
        <v>0</v>
      </c>
      <c r="O775" s="1445"/>
      <c r="P775" s="1377"/>
    </row>
    <row r="776" spans="1:16" ht="31" outlineLevel="1">
      <c r="A776" s="1446">
        <f t="shared" si="114"/>
        <v>20.2</v>
      </c>
      <c r="B776" s="1447" t="str">
        <f t="shared" si="114"/>
        <v>Scheme-2:-Design, Engineering, Rectification, Erection &amp; Commissioning of Z point at Conveyor 108A &amp; B at CHP-500MW.</v>
      </c>
      <c r="C776" s="1475" t="str">
        <f t="shared" si="114"/>
        <v>MERC/CAPEX/MSPGCL/2024-25/0309</v>
      </c>
      <c r="D776" s="1473">
        <f t="shared" si="114"/>
        <v>45429</v>
      </c>
      <c r="E776" s="1476">
        <f t="shared" si="114"/>
        <v>8.18</v>
      </c>
      <c r="F776" s="1444">
        <f t="shared" si="115"/>
        <v>0</v>
      </c>
      <c r="G776" s="1444">
        <f t="shared" si="116"/>
        <v>0</v>
      </c>
      <c r="H776" s="1476">
        <f t="shared" si="117"/>
        <v>0</v>
      </c>
      <c r="I776" s="1444">
        <v>0</v>
      </c>
      <c r="J776" s="1444">
        <v>0</v>
      </c>
      <c r="K776" s="1476"/>
      <c r="L776" s="1476"/>
      <c r="M776" s="1476">
        <f t="shared" si="122"/>
        <v>0</v>
      </c>
      <c r="N776" s="1476">
        <f t="shared" si="118"/>
        <v>0</v>
      </c>
      <c r="O776" s="1445"/>
      <c r="P776" s="1377"/>
    </row>
    <row r="777" spans="1:16" ht="31" outlineLevel="1">
      <c r="A777" s="1446">
        <f t="shared" si="114"/>
        <v>20.3</v>
      </c>
      <c r="B777" s="1447" t="str">
        <f t="shared" si="114"/>
        <v>Scheme-3:-Design, Engineering and provision of material lifting arrangement for crusher floor, wobbler feeder  &amp; C-105 floor In CHP BTPS.</v>
      </c>
      <c r="C777" s="1475" t="str">
        <f t="shared" si="114"/>
        <v>MERC/CAPEX/MSPGCL/2024-25/0309</v>
      </c>
      <c r="D777" s="1473">
        <f t="shared" si="114"/>
        <v>45429</v>
      </c>
      <c r="E777" s="1476">
        <f t="shared" si="114"/>
        <v>1.88</v>
      </c>
      <c r="F777" s="1444">
        <f t="shared" si="115"/>
        <v>0</v>
      </c>
      <c r="G777" s="1444">
        <f t="shared" si="116"/>
        <v>0</v>
      </c>
      <c r="H777" s="1476">
        <f t="shared" si="117"/>
        <v>0</v>
      </c>
      <c r="I777" s="1444">
        <v>0</v>
      </c>
      <c r="J777" s="1444">
        <v>0</v>
      </c>
      <c r="K777" s="1476"/>
      <c r="L777" s="1476"/>
      <c r="M777" s="1476">
        <f t="shared" si="122"/>
        <v>0</v>
      </c>
      <c r="N777" s="1476">
        <f t="shared" si="118"/>
        <v>0</v>
      </c>
      <c r="O777" s="1445"/>
      <c r="P777" s="1377"/>
    </row>
    <row r="778" spans="1:16" ht="31" outlineLevel="1">
      <c r="A778" s="1446">
        <f t="shared" si="114"/>
        <v>20.399999999999999</v>
      </c>
      <c r="B778" s="1447" t="str">
        <f t="shared" si="114"/>
        <v>Scheme-4:-Structural up-gradation and rehabilitation of reversible yard conveyor in coal handling plant.</v>
      </c>
      <c r="C778" s="1475" t="str">
        <f t="shared" si="114"/>
        <v>MERC/CAPEX/MSPGCL/2024-25/0309</v>
      </c>
      <c r="D778" s="1473">
        <f t="shared" si="114"/>
        <v>45429</v>
      </c>
      <c r="E778" s="1476">
        <f t="shared" si="114"/>
        <v>4.21</v>
      </c>
      <c r="F778" s="1444">
        <f t="shared" si="115"/>
        <v>0</v>
      </c>
      <c r="G778" s="1444">
        <f t="shared" si="116"/>
        <v>0</v>
      </c>
      <c r="H778" s="1476">
        <f t="shared" si="117"/>
        <v>0</v>
      </c>
      <c r="I778" s="1444">
        <v>0</v>
      </c>
      <c r="J778" s="1444">
        <v>0</v>
      </c>
      <c r="K778" s="1476"/>
      <c r="L778" s="1476"/>
      <c r="M778" s="1476">
        <f t="shared" si="122"/>
        <v>0</v>
      </c>
      <c r="N778" s="1476">
        <f t="shared" si="118"/>
        <v>0</v>
      </c>
      <c r="O778" s="1445"/>
      <c r="P778" s="1377"/>
    </row>
    <row r="779" spans="1:16" ht="31" outlineLevel="1">
      <c r="A779" s="1446">
        <f t="shared" si="114"/>
        <v>20.5</v>
      </c>
      <c r="B779" s="1447" t="str">
        <f t="shared" si="114"/>
        <v>Scheme-5:-Design, Engineering, Erection and commissioning of Receiving and discharge chutes of wobbler feeders in CHP BTPS.</v>
      </c>
      <c r="C779" s="1475" t="str">
        <f t="shared" si="114"/>
        <v>MERC/CAPEX/MSPGCL/2024-25/0309</v>
      </c>
      <c r="D779" s="1473">
        <f t="shared" si="114"/>
        <v>45429</v>
      </c>
      <c r="E779" s="1476">
        <f t="shared" si="114"/>
        <v>6.25</v>
      </c>
      <c r="F779" s="1444">
        <f t="shared" si="115"/>
        <v>0</v>
      </c>
      <c r="G779" s="1444">
        <f t="shared" si="116"/>
        <v>0</v>
      </c>
      <c r="H779" s="1476">
        <f t="shared" si="117"/>
        <v>0</v>
      </c>
      <c r="I779" s="1444">
        <v>0</v>
      </c>
      <c r="J779" s="1444">
        <v>0</v>
      </c>
      <c r="K779" s="1476"/>
      <c r="L779" s="1476"/>
      <c r="M779" s="1476">
        <f t="shared" si="122"/>
        <v>0</v>
      </c>
      <c r="N779" s="1476">
        <f t="shared" si="118"/>
        <v>0</v>
      </c>
      <c r="O779" s="1445"/>
      <c r="P779" s="1377"/>
    </row>
    <row r="780" spans="1:16" ht="15.5" outlineLevel="1">
      <c r="A780" s="1446">
        <f t="shared" ref="A780:E795" si="123">A550</f>
        <v>20.6</v>
      </c>
      <c r="B780" s="1447" t="str">
        <f t="shared" si="123"/>
        <v>Scheme-6: Procurement of 3 Nos. of Bulldozers at BTPS, Bhusawal.</v>
      </c>
      <c r="C780" s="1475" t="str">
        <f t="shared" si="123"/>
        <v>MERC/CAPEX/MSPGCL/2024-25/0309</v>
      </c>
      <c r="D780" s="1473">
        <f t="shared" si="123"/>
        <v>45429</v>
      </c>
      <c r="E780" s="1476">
        <f t="shared" si="123"/>
        <v>7.35</v>
      </c>
      <c r="F780" s="1444">
        <f t="shared" si="115"/>
        <v>0</v>
      </c>
      <c r="G780" s="1444">
        <f t="shared" si="116"/>
        <v>0</v>
      </c>
      <c r="H780" s="1476">
        <f t="shared" si="117"/>
        <v>0</v>
      </c>
      <c r="I780" s="1444">
        <v>0</v>
      </c>
      <c r="J780" s="1444">
        <v>0</v>
      </c>
      <c r="K780" s="1476"/>
      <c r="L780" s="1476"/>
      <c r="M780" s="1476">
        <f t="shared" si="122"/>
        <v>0</v>
      </c>
      <c r="N780" s="1476">
        <f t="shared" si="118"/>
        <v>0</v>
      </c>
      <c r="O780" s="1445"/>
      <c r="P780" s="1377"/>
    </row>
    <row r="781" spans="1:16" ht="15.5" outlineLevel="1">
      <c r="A781" s="1446">
        <f t="shared" si="123"/>
        <v>0</v>
      </c>
      <c r="B781" s="1447" t="str">
        <f t="shared" si="123"/>
        <v>IDC</v>
      </c>
      <c r="C781" s="1475">
        <f t="shared" si="123"/>
        <v>0</v>
      </c>
      <c r="D781" s="1473" t="str">
        <f t="shared" si="123"/>
        <v>-</v>
      </c>
      <c r="E781" s="1476">
        <f t="shared" si="123"/>
        <v>0</v>
      </c>
      <c r="F781" s="1444">
        <f t="shared" si="115"/>
        <v>0</v>
      </c>
      <c r="G781" s="1444">
        <f t="shared" si="116"/>
        <v>0</v>
      </c>
      <c r="H781" s="1476">
        <f t="shared" si="117"/>
        <v>0</v>
      </c>
      <c r="I781" s="1444">
        <v>0</v>
      </c>
      <c r="J781" s="1444">
        <v>0</v>
      </c>
      <c r="K781" s="1476"/>
      <c r="L781" s="1476"/>
      <c r="M781" s="1476">
        <f t="shared" si="122"/>
        <v>0</v>
      </c>
      <c r="N781" s="1476">
        <f t="shared" si="118"/>
        <v>0</v>
      </c>
      <c r="O781" s="1445"/>
      <c r="P781" s="1377"/>
    </row>
    <row r="782" spans="1:16" ht="15.5" outlineLevel="1">
      <c r="A782" s="1440">
        <f t="shared" si="123"/>
        <v>21</v>
      </c>
      <c r="B782" s="1441" t="str">
        <f t="shared" si="123"/>
        <v>Performance Improvement of Coal Handling Plant at BTPS-U4 &amp; 5, Bhusawal</v>
      </c>
      <c r="C782" s="1475" t="str">
        <f t="shared" si="123"/>
        <v>MERC/CAPEX/MSPGCL/2024-25/0310</v>
      </c>
      <c r="D782" s="1473" t="str">
        <f t="shared" si="123"/>
        <v>-</v>
      </c>
      <c r="E782" s="1476">
        <f t="shared" si="123"/>
        <v>0</v>
      </c>
      <c r="F782" s="1444">
        <f t="shared" si="115"/>
        <v>0</v>
      </c>
      <c r="G782" s="1444">
        <f t="shared" si="116"/>
        <v>0</v>
      </c>
      <c r="H782" s="1476">
        <f t="shared" si="117"/>
        <v>0</v>
      </c>
      <c r="I782" s="1444">
        <v>0</v>
      </c>
      <c r="J782" s="1444">
        <v>0</v>
      </c>
      <c r="K782" s="1476"/>
      <c r="L782" s="1476"/>
      <c r="M782" s="1476">
        <f t="shared" si="122"/>
        <v>0</v>
      </c>
      <c r="N782" s="1476">
        <f t="shared" si="118"/>
        <v>0</v>
      </c>
      <c r="O782" s="1445"/>
      <c r="P782" s="1377"/>
    </row>
    <row r="783" spans="1:16" ht="31" outlineLevel="1">
      <c r="A783" s="1446">
        <f t="shared" si="123"/>
        <v>21.1</v>
      </c>
      <c r="B783" s="1447" t="str">
        <f t="shared" si="123"/>
        <v>Scheme-1: Revamping, Modification of Gravity take-up and Drive Augmentation of Bunkering conveyor in CHP BTPS</v>
      </c>
      <c r="C783" s="1475" t="str">
        <f t="shared" si="123"/>
        <v>MERC/CAPEX/MSPGCL/2024-25/0310</v>
      </c>
      <c r="D783" s="1473">
        <f t="shared" si="123"/>
        <v>45429</v>
      </c>
      <c r="E783" s="1476">
        <f t="shared" si="123"/>
        <v>11.35</v>
      </c>
      <c r="F783" s="1444">
        <f t="shared" si="115"/>
        <v>0</v>
      </c>
      <c r="G783" s="1444">
        <f t="shared" si="116"/>
        <v>0</v>
      </c>
      <c r="H783" s="1476">
        <f t="shared" si="117"/>
        <v>0</v>
      </c>
      <c r="I783" s="1444">
        <v>0</v>
      </c>
      <c r="J783" s="1444">
        <v>0</v>
      </c>
      <c r="K783" s="1476"/>
      <c r="L783" s="1476"/>
      <c r="M783" s="1476">
        <f t="shared" si="122"/>
        <v>0</v>
      </c>
      <c r="N783" s="1476">
        <f t="shared" si="118"/>
        <v>0</v>
      </c>
      <c r="O783" s="1445"/>
      <c r="P783" s="1377"/>
    </row>
    <row r="784" spans="1:16" ht="15.5" outlineLevel="1">
      <c r="A784" s="1446">
        <f t="shared" si="123"/>
        <v>21.2</v>
      </c>
      <c r="B784" s="1447" t="str">
        <f t="shared" si="123"/>
        <v>Scheme-2: Revamping of coal diverting chutes in CHP 2x500 MW BTPS</v>
      </c>
      <c r="C784" s="1475" t="str">
        <f t="shared" si="123"/>
        <v>MERC/CAPEX/MSPGCL/2024-25/0310</v>
      </c>
      <c r="D784" s="1473">
        <f t="shared" si="123"/>
        <v>45429</v>
      </c>
      <c r="E784" s="1476">
        <f t="shared" si="123"/>
        <v>5.73</v>
      </c>
      <c r="F784" s="1444">
        <f t="shared" si="115"/>
        <v>0</v>
      </c>
      <c r="G784" s="1444">
        <f t="shared" si="116"/>
        <v>0</v>
      </c>
      <c r="H784" s="1476">
        <f t="shared" si="117"/>
        <v>0</v>
      </c>
      <c r="I784" s="1444">
        <v>0</v>
      </c>
      <c r="J784" s="1444">
        <v>0</v>
      </c>
      <c r="K784" s="1476"/>
      <c r="L784" s="1476"/>
      <c r="M784" s="1476">
        <f t="shared" si="122"/>
        <v>0</v>
      </c>
      <c r="N784" s="1476">
        <f t="shared" si="118"/>
        <v>0</v>
      </c>
      <c r="O784" s="1445"/>
      <c r="P784" s="1377"/>
    </row>
    <row r="785" spans="1:16" ht="31" outlineLevel="1">
      <c r="A785" s="1446">
        <f t="shared" si="123"/>
        <v>21.3</v>
      </c>
      <c r="B785" s="1447" t="str">
        <f t="shared" si="123"/>
        <v>Scheme-3: Revamping and structural augmentation of Reversible feeder conveyors in CHP-BTPS.</v>
      </c>
      <c r="C785" s="1475" t="str">
        <f t="shared" si="123"/>
        <v>MERC/CAPEX/MSPGCL/2024-25/0310</v>
      </c>
      <c r="D785" s="1473">
        <f t="shared" si="123"/>
        <v>45429</v>
      </c>
      <c r="E785" s="1476">
        <f t="shared" si="123"/>
        <v>1.77</v>
      </c>
      <c r="F785" s="1444">
        <f t="shared" si="115"/>
        <v>1.75</v>
      </c>
      <c r="G785" s="1444">
        <f t="shared" si="116"/>
        <v>1.75</v>
      </c>
      <c r="H785" s="1476">
        <f t="shared" si="117"/>
        <v>0</v>
      </c>
      <c r="I785" s="1444">
        <v>0</v>
      </c>
      <c r="J785" s="1444">
        <v>0</v>
      </c>
      <c r="K785" s="1476"/>
      <c r="L785" s="1476"/>
      <c r="M785" s="1476">
        <f t="shared" si="122"/>
        <v>0</v>
      </c>
      <c r="N785" s="1476">
        <f t="shared" si="118"/>
        <v>0</v>
      </c>
      <c r="O785" s="1445"/>
      <c r="P785" s="1377"/>
    </row>
    <row r="786" spans="1:16" ht="31" outlineLevel="1">
      <c r="A786" s="1446">
        <f t="shared" si="123"/>
        <v>21.4</v>
      </c>
      <c r="B786" s="1447" t="str">
        <f t="shared" si="123"/>
        <v>Scheme-4: Revamping and up-gradation of air &amp; ventilation system in Coal Handling Plant-BTPS.</v>
      </c>
      <c r="C786" s="1475" t="str">
        <f t="shared" si="123"/>
        <v>MERC/CAPEX/MSPGCL/2024-25/0310</v>
      </c>
      <c r="D786" s="1473">
        <f t="shared" si="123"/>
        <v>45429</v>
      </c>
      <c r="E786" s="1476">
        <f t="shared" si="123"/>
        <v>9.01</v>
      </c>
      <c r="F786" s="1444">
        <f t="shared" si="115"/>
        <v>0</v>
      </c>
      <c r="G786" s="1444">
        <f t="shared" si="116"/>
        <v>0</v>
      </c>
      <c r="H786" s="1476">
        <f t="shared" si="117"/>
        <v>0</v>
      </c>
      <c r="I786" s="1444">
        <v>0</v>
      </c>
      <c r="J786" s="1444">
        <v>0</v>
      </c>
      <c r="K786" s="1476"/>
      <c r="L786" s="1476"/>
      <c r="M786" s="1476">
        <f t="shared" si="122"/>
        <v>0</v>
      </c>
      <c r="N786" s="1476">
        <f t="shared" si="118"/>
        <v>0</v>
      </c>
      <c r="O786" s="1445"/>
      <c r="P786" s="1377"/>
    </row>
    <row r="787" spans="1:16" ht="31" outlineLevel="1">
      <c r="A787" s="1446">
        <f t="shared" si="123"/>
        <v>21.5</v>
      </c>
      <c r="B787" s="1447" t="str">
        <f t="shared" si="123"/>
        <v>Scheme-5: Revamping, Structural &amp; drive up-gradation  of conveyor-111 in CHP-BTPS.</v>
      </c>
      <c r="C787" s="1475" t="str">
        <f t="shared" si="123"/>
        <v>MERC/CAPEX/MSPGCL/2024-25/0310</v>
      </c>
      <c r="D787" s="1473">
        <f t="shared" si="123"/>
        <v>45429</v>
      </c>
      <c r="E787" s="1476">
        <f t="shared" si="123"/>
        <v>3.85</v>
      </c>
      <c r="F787" s="1444">
        <f t="shared" si="115"/>
        <v>0</v>
      </c>
      <c r="G787" s="1444">
        <f t="shared" si="116"/>
        <v>0</v>
      </c>
      <c r="H787" s="1476">
        <f t="shared" si="117"/>
        <v>0</v>
      </c>
      <c r="I787" s="1444">
        <v>0</v>
      </c>
      <c r="J787" s="1444">
        <v>0</v>
      </c>
      <c r="K787" s="1476"/>
      <c r="L787" s="1476"/>
      <c r="M787" s="1476">
        <f t="shared" si="122"/>
        <v>0</v>
      </c>
      <c r="N787" s="1476">
        <f t="shared" si="118"/>
        <v>0</v>
      </c>
      <c r="O787" s="1445"/>
      <c r="P787" s="1377"/>
    </row>
    <row r="788" spans="1:16" ht="31" outlineLevel="1">
      <c r="A788" s="1446">
        <f t="shared" si="123"/>
        <v>21.6</v>
      </c>
      <c r="B788" s="1447" t="str">
        <f t="shared" si="123"/>
        <v>Scheme-6: Revamping and structural up-gradation of conveyor system in tunnel area in Coal Handling Plant-BTPS.</v>
      </c>
      <c r="C788" s="1475" t="str">
        <f t="shared" si="123"/>
        <v>MERC/CAPEX/MSPGCL/2024-25/0310</v>
      </c>
      <c r="D788" s="1473">
        <f t="shared" si="123"/>
        <v>45429</v>
      </c>
      <c r="E788" s="1476">
        <f t="shared" si="123"/>
        <v>8.6199999999999992</v>
      </c>
      <c r="F788" s="1444">
        <f t="shared" si="115"/>
        <v>0</v>
      </c>
      <c r="G788" s="1444">
        <f t="shared" si="116"/>
        <v>0</v>
      </c>
      <c r="H788" s="1476">
        <f t="shared" si="117"/>
        <v>0</v>
      </c>
      <c r="I788" s="1444">
        <v>0</v>
      </c>
      <c r="J788" s="1444">
        <v>0</v>
      </c>
      <c r="K788" s="1476"/>
      <c r="L788" s="1476"/>
      <c r="M788" s="1476">
        <f t="shared" si="122"/>
        <v>0</v>
      </c>
      <c r="N788" s="1476">
        <f t="shared" si="118"/>
        <v>0</v>
      </c>
      <c r="O788" s="1445"/>
      <c r="P788" s="1377"/>
    </row>
    <row r="789" spans="1:16" ht="15.5" outlineLevel="1">
      <c r="A789" s="1446">
        <f t="shared" si="123"/>
        <v>21.7</v>
      </c>
      <c r="B789" s="1447" t="str">
        <f t="shared" si="123"/>
        <v>Scheme-7: Erection &amp; Commissioning of Travelling type coal chutes in CHP BTPS.</v>
      </c>
      <c r="C789" s="1475" t="str">
        <f t="shared" si="123"/>
        <v>MERC/CAPEX/MSPGCL/2024-25/0310</v>
      </c>
      <c r="D789" s="1473">
        <f t="shared" si="123"/>
        <v>45429</v>
      </c>
      <c r="E789" s="1476">
        <f t="shared" si="123"/>
        <v>8.06</v>
      </c>
      <c r="F789" s="1444">
        <f t="shared" si="115"/>
        <v>0</v>
      </c>
      <c r="G789" s="1444">
        <f t="shared" si="116"/>
        <v>0</v>
      </c>
      <c r="H789" s="1476">
        <f t="shared" si="117"/>
        <v>0</v>
      </c>
      <c r="I789" s="1444">
        <v>0</v>
      </c>
      <c r="J789" s="1444">
        <v>0</v>
      </c>
      <c r="K789" s="1476"/>
      <c r="L789" s="1476"/>
      <c r="M789" s="1476">
        <f t="shared" si="122"/>
        <v>0</v>
      </c>
      <c r="N789" s="1476">
        <f t="shared" si="118"/>
        <v>0</v>
      </c>
      <c r="O789" s="1445"/>
      <c r="P789" s="1377"/>
    </row>
    <row r="790" spans="1:16" ht="31" outlineLevel="1">
      <c r="A790" s="1446">
        <f t="shared" si="123"/>
        <v>21.8</v>
      </c>
      <c r="B790" s="1447" t="str">
        <f t="shared" si="123"/>
        <v>Scheme-8: Revamping of scoop cooling system installed in coal handling plant BTPS.</v>
      </c>
      <c r="C790" s="1475" t="str">
        <f t="shared" si="123"/>
        <v>MERC/CAPEX/MSPGCL/2024-25/0310</v>
      </c>
      <c r="D790" s="1473">
        <f t="shared" si="123"/>
        <v>45429</v>
      </c>
      <c r="E790" s="1476">
        <f t="shared" si="123"/>
        <v>4.9800000000000004</v>
      </c>
      <c r="F790" s="1444">
        <f t="shared" si="115"/>
        <v>0</v>
      </c>
      <c r="G790" s="1444">
        <f t="shared" si="116"/>
        <v>0</v>
      </c>
      <c r="H790" s="1476">
        <f t="shared" si="117"/>
        <v>0</v>
      </c>
      <c r="I790" s="1444">
        <v>0</v>
      </c>
      <c r="J790" s="1444">
        <v>0</v>
      </c>
      <c r="K790" s="1476"/>
      <c r="L790" s="1476"/>
      <c r="M790" s="1476">
        <f t="shared" si="122"/>
        <v>0</v>
      </c>
      <c r="N790" s="1476">
        <f t="shared" si="118"/>
        <v>0</v>
      </c>
      <c r="O790" s="1445"/>
      <c r="P790" s="1377"/>
    </row>
    <row r="791" spans="1:16" ht="15.5" outlineLevel="1">
      <c r="A791" s="1454">
        <f t="shared" si="123"/>
        <v>21.9</v>
      </c>
      <c r="B791" s="1454" t="str">
        <f t="shared" si="123"/>
        <v>Scheme-9: Retrofitting and Up-gradation of Dewatering system in CHP-BTPS.</v>
      </c>
      <c r="C791" s="1475" t="str">
        <f t="shared" si="123"/>
        <v>MERC/CAPEX/MSPGCL/2024-25/0310</v>
      </c>
      <c r="D791" s="1473">
        <f t="shared" si="123"/>
        <v>45429</v>
      </c>
      <c r="E791" s="1476">
        <f t="shared" si="123"/>
        <v>3.92</v>
      </c>
      <c r="F791" s="1444">
        <f t="shared" si="115"/>
        <v>0</v>
      </c>
      <c r="G791" s="1444">
        <f t="shared" si="116"/>
        <v>0</v>
      </c>
      <c r="H791" s="1476">
        <f t="shared" si="117"/>
        <v>0</v>
      </c>
      <c r="I791" s="1444">
        <v>0</v>
      </c>
      <c r="J791" s="1444">
        <v>0</v>
      </c>
      <c r="K791" s="1476"/>
      <c r="L791" s="1476"/>
      <c r="M791" s="1476">
        <f t="shared" si="122"/>
        <v>0</v>
      </c>
      <c r="N791" s="1476">
        <f t="shared" si="118"/>
        <v>0</v>
      </c>
      <c r="O791" s="1445"/>
      <c r="P791" s="1377"/>
    </row>
    <row r="792" spans="1:16" ht="15.5" outlineLevel="1">
      <c r="A792" s="1455">
        <f t="shared" si="123"/>
        <v>0</v>
      </c>
      <c r="B792" s="1455" t="str">
        <f t="shared" si="123"/>
        <v>IDC</v>
      </c>
      <c r="C792" s="1475">
        <f t="shared" si="123"/>
        <v>0</v>
      </c>
      <c r="D792" s="1473" t="str">
        <f t="shared" si="123"/>
        <v>-</v>
      </c>
      <c r="E792" s="1476">
        <f t="shared" si="123"/>
        <v>0</v>
      </c>
      <c r="F792" s="1444">
        <f t="shared" si="115"/>
        <v>0</v>
      </c>
      <c r="G792" s="1444">
        <f t="shared" si="116"/>
        <v>0</v>
      </c>
      <c r="H792" s="1476">
        <f t="shared" si="117"/>
        <v>0</v>
      </c>
      <c r="I792" s="1444">
        <v>0</v>
      </c>
      <c r="J792" s="1444">
        <v>0</v>
      </c>
      <c r="K792" s="1476"/>
      <c r="L792" s="1476"/>
      <c r="M792" s="1476">
        <f t="shared" si="122"/>
        <v>0</v>
      </c>
      <c r="N792" s="1476">
        <f t="shared" si="118"/>
        <v>0</v>
      </c>
      <c r="O792" s="1445"/>
      <c r="P792" s="1377"/>
    </row>
    <row r="793" spans="1:16" ht="15.5" outlineLevel="1">
      <c r="A793" s="1456">
        <f t="shared" si="123"/>
        <v>0</v>
      </c>
      <c r="B793" s="1456" t="str">
        <f t="shared" si="123"/>
        <v>Asset Transfer from Projects</v>
      </c>
      <c r="C793" s="1475">
        <f t="shared" si="123"/>
        <v>0</v>
      </c>
      <c r="D793" s="1473" t="str">
        <f t="shared" si="123"/>
        <v>-</v>
      </c>
      <c r="E793" s="1476">
        <f t="shared" si="123"/>
        <v>0</v>
      </c>
      <c r="F793" s="1444">
        <f t="shared" si="115"/>
        <v>0</v>
      </c>
      <c r="G793" s="1444">
        <f t="shared" si="116"/>
        <v>0</v>
      </c>
      <c r="H793" s="1476">
        <f t="shared" si="117"/>
        <v>0</v>
      </c>
      <c r="I793" s="1444">
        <v>0</v>
      </c>
      <c r="J793" s="1444">
        <v>0</v>
      </c>
      <c r="K793" s="1476"/>
      <c r="L793" s="1476"/>
      <c r="M793" s="1476">
        <f t="shared" si="122"/>
        <v>0</v>
      </c>
      <c r="N793" s="1476">
        <f t="shared" si="118"/>
        <v>0</v>
      </c>
      <c r="O793" s="1445"/>
      <c r="P793" s="1377"/>
    </row>
    <row r="794" spans="1:16" ht="15.5" outlineLevel="1">
      <c r="A794" s="1455">
        <f t="shared" si="123"/>
        <v>0</v>
      </c>
      <c r="B794" s="1455" t="str">
        <f t="shared" si="123"/>
        <v>SP Busduct Unit 4&amp;5</v>
      </c>
      <c r="C794" s="1475">
        <f t="shared" si="123"/>
        <v>0</v>
      </c>
      <c r="D794" s="1473" t="str">
        <f t="shared" si="123"/>
        <v>-</v>
      </c>
      <c r="E794" s="1476">
        <f t="shared" si="123"/>
        <v>0</v>
      </c>
      <c r="F794" s="1444">
        <f t="shared" si="115"/>
        <v>0.30071745999999999</v>
      </c>
      <c r="G794" s="1444">
        <f t="shared" si="116"/>
        <v>0.30071745999999999</v>
      </c>
      <c r="H794" s="1476">
        <f t="shared" si="117"/>
        <v>0</v>
      </c>
      <c r="I794" s="1444">
        <v>0</v>
      </c>
      <c r="J794" s="1444">
        <v>0</v>
      </c>
      <c r="K794" s="1476"/>
      <c r="L794" s="1476"/>
      <c r="M794" s="1476">
        <f t="shared" si="122"/>
        <v>0</v>
      </c>
      <c r="N794" s="1476">
        <f t="shared" si="118"/>
        <v>0</v>
      </c>
      <c r="O794" s="1445"/>
      <c r="P794" s="1377"/>
    </row>
    <row r="795" spans="1:16" ht="15.5" outlineLevel="1">
      <c r="A795" s="1455">
        <f t="shared" si="123"/>
        <v>0</v>
      </c>
      <c r="B795" s="1455" t="str">
        <f t="shared" si="123"/>
        <v>ESP,ID,FD,PA Fans &amp;Other Boiler Auxiliaries</v>
      </c>
      <c r="C795" s="1442">
        <f t="shared" si="123"/>
        <v>0</v>
      </c>
      <c r="D795" s="1443" t="str">
        <f t="shared" si="123"/>
        <v>-</v>
      </c>
      <c r="E795" s="1444">
        <f t="shared" si="123"/>
        <v>0</v>
      </c>
      <c r="F795" s="1444">
        <f t="shared" si="115"/>
        <v>1.0282827000000001</v>
      </c>
      <c r="G795" s="1444">
        <f t="shared" si="116"/>
        <v>1.0282827000000001</v>
      </c>
      <c r="H795" s="1444">
        <f t="shared" si="117"/>
        <v>0</v>
      </c>
      <c r="I795" s="1444">
        <v>0</v>
      </c>
      <c r="J795" s="1444">
        <v>0</v>
      </c>
      <c r="K795" s="1444"/>
      <c r="L795" s="1444"/>
      <c r="M795" s="1444">
        <f t="shared" si="122"/>
        <v>0</v>
      </c>
      <c r="N795" s="1444">
        <f t="shared" si="118"/>
        <v>0</v>
      </c>
    </row>
    <row r="796" spans="1:16" ht="15.5" outlineLevel="1">
      <c r="A796" s="1456">
        <f t="shared" ref="A796:E811" si="124">A566</f>
        <v>0</v>
      </c>
      <c r="B796" s="1456" t="str">
        <f t="shared" si="124"/>
        <v>(ii) DPR Yet to be Submitted to MERC</v>
      </c>
      <c r="C796" s="1442">
        <f t="shared" si="124"/>
        <v>0</v>
      </c>
      <c r="D796" s="1443" t="str">
        <f t="shared" si="124"/>
        <v>-</v>
      </c>
      <c r="E796" s="1444">
        <f t="shared" si="124"/>
        <v>0</v>
      </c>
      <c r="F796" s="1444">
        <f t="shared" si="115"/>
        <v>0</v>
      </c>
      <c r="G796" s="1444">
        <f t="shared" si="116"/>
        <v>0</v>
      </c>
      <c r="H796" s="1444">
        <f t="shared" si="117"/>
        <v>0</v>
      </c>
      <c r="I796" s="1444">
        <v>0</v>
      </c>
      <c r="J796" s="1444">
        <v>0</v>
      </c>
      <c r="K796" s="1444"/>
      <c r="L796" s="1444"/>
      <c r="M796" s="1444">
        <f t="shared" si="122"/>
        <v>0</v>
      </c>
      <c r="N796" s="1444">
        <f t="shared" si="118"/>
        <v>0</v>
      </c>
    </row>
    <row r="797" spans="1:16" ht="15.5" outlineLevel="1">
      <c r="A797" s="1457">
        <f t="shared" si="124"/>
        <v>0</v>
      </c>
      <c r="B797" s="1457" t="str">
        <f t="shared" si="124"/>
        <v xml:space="preserve">FY 2025-26 </v>
      </c>
      <c r="C797" s="1475">
        <f t="shared" si="124"/>
        <v>0</v>
      </c>
      <c r="D797" s="1473" t="str">
        <f t="shared" si="124"/>
        <v>-</v>
      </c>
      <c r="E797" s="1476">
        <f t="shared" si="124"/>
        <v>0</v>
      </c>
      <c r="F797" s="1444">
        <f t="shared" si="115"/>
        <v>0</v>
      </c>
      <c r="G797" s="1444">
        <f t="shared" si="116"/>
        <v>0</v>
      </c>
      <c r="H797" s="1476">
        <f t="shared" si="117"/>
        <v>0</v>
      </c>
      <c r="I797" s="1444">
        <v>0</v>
      </c>
      <c r="J797" s="1444">
        <v>0</v>
      </c>
      <c r="K797" s="1476"/>
      <c r="L797" s="1476"/>
      <c r="M797" s="1476">
        <f t="shared" si="122"/>
        <v>0</v>
      </c>
      <c r="N797" s="1476">
        <f t="shared" si="118"/>
        <v>0</v>
      </c>
    </row>
    <row r="798" spans="1:16" ht="31" outlineLevel="1">
      <c r="A798" s="1458">
        <f t="shared" si="124"/>
        <v>1</v>
      </c>
      <c r="B798" s="1459" t="str">
        <f t="shared" si="124"/>
        <v>Up gradation of coal mill reject system, Procurement of Air heater baskets &amp; spare Air heater gearbox at 2X500MW, Bhusawal TPS</v>
      </c>
      <c r="C798" s="1475">
        <f t="shared" si="124"/>
        <v>0</v>
      </c>
      <c r="D798" s="1473" t="str">
        <f t="shared" si="124"/>
        <v>-</v>
      </c>
      <c r="E798" s="1476">
        <f t="shared" si="124"/>
        <v>0</v>
      </c>
      <c r="F798" s="1444">
        <f t="shared" si="115"/>
        <v>0</v>
      </c>
      <c r="G798" s="1444">
        <f t="shared" si="116"/>
        <v>0</v>
      </c>
      <c r="H798" s="1476">
        <f t="shared" si="117"/>
        <v>0</v>
      </c>
      <c r="I798" s="1444">
        <v>31.75</v>
      </c>
      <c r="J798" s="1444">
        <v>0</v>
      </c>
      <c r="K798" s="1476"/>
      <c r="L798" s="1476"/>
      <c r="M798" s="1476">
        <f t="shared" si="122"/>
        <v>0</v>
      </c>
      <c r="N798" s="1476">
        <f t="shared" si="118"/>
        <v>31.75</v>
      </c>
    </row>
    <row r="799" spans="1:16" ht="62" outlineLevel="1">
      <c r="A799" s="1455">
        <f t="shared" si="124"/>
        <v>1.1000000000000001</v>
      </c>
      <c r="B799" s="1455" t="str">
        <f t="shared" si="124"/>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799" s="1475">
        <f t="shared" si="124"/>
        <v>0</v>
      </c>
      <c r="D799" s="1473" t="str">
        <f t="shared" si="124"/>
        <v>-</v>
      </c>
      <c r="E799" s="1476">
        <f t="shared" si="124"/>
        <v>0</v>
      </c>
      <c r="F799" s="1444">
        <f t="shared" si="115"/>
        <v>0</v>
      </c>
      <c r="G799" s="1444">
        <f t="shared" si="116"/>
        <v>0</v>
      </c>
      <c r="H799" s="1476">
        <f t="shared" si="117"/>
        <v>0</v>
      </c>
      <c r="I799" s="1444">
        <v>15.05</v>
      </c>
      <c r="J799" s="1444">
        <v>15.05</v>
      </c>
      <c r="K799" s="1476"/>
      <c r="L799" s="1476"/>
      <c r="M799" s="1476">
        <f t="shared" si="122"/>
        <v>15.05</v>
      </c>
      <c r="N799" s="1476">
        <f t="shared" si="118"/>
        <v>0</v>
      </c>
    </row>
    <row r="800" spans="1:16" ht="31" outlineLevel="1">
      <c r="A800" s="1455">
        <f t="shared" si="124"/>
        <v>1.2</v>
      </c>
      <c r="B800" s="1455" t="str">
        <f t="shared" si="124"/>
        <v>Procurement of assembly of baskets &amp; seals for Air Preheater of type 31.5 VIM 2000 (72° PA), in Unit-5 2x500MW, BTPS Bhusawal</v>
      </c>
      <c r="C800" s="1475">
        <f t="shared" si="124"/>
        <v>0</v>
      </c>
      <c r="D800" s="1473" t="str">
        <f t="shared" si="124"/>
        <v>-</v>
      </c>
      <c r="E800" s="1476">
        <f t="shared" si="124"/>
        <v>0</v>
      </c>
      <c r="F800" s="1444">
        <f t="shared" si="115"/>
        <v>0</v>
      </c>
      <c r="G800" s="1444">
        <f t="shared" si="116"/>
        <v>0</v>
      </c>
      <c r="H800" s="1476">
        <f t="shared" si="117"/>
        <v>0</v>
      </c>
      <c r="I800" s="1444">
        <v>7.45</v>
      </c>
      <c r="J800" s="1444">
        <v>7.45</v>
      </c>
      <c r="K800" s="1476"/>
      <c r="L800" s="1476"/>
      <c r="M800" s="1476">
        <f t="shared" si="122"/>
        <v>7.45</v>
      </c>
      <c r="N800" s="1476">
        <f t="shared" si="118"/>
        <v>0</v>
      </c>
    </row>
    <row r="801" spans="1:14" ht="31" outlineLevel="1">
      <c r="A801" s="1455">
        <f t="shared" si="124"/>
        <v>1.3</v>
      </c>
      <c r="B801" s="1455" t="str">
        <f t="shared" si="124"/>
        <v>Procurement of APH Gearbox to improve availability and performance of Air preheaters at 2 x 500 MW Units, BTPS, Bhusawal. </v>
      </c>
      <c r="C801" s="1475">
        <f t="shared" si="124"/>
        <v>0</v>
      </c>
      <c r="D801" s="1473" t="str">
        <f t="shared" si="124"/>
        <v>-</v>
      </c>
      <c r="E801" s="1476">
        <f t="shared" si="124"/>
        <v>0</v>
      </c>
      <c r="F801" s="1444">
        <f t="shared" si="115"/>
        <v>0</v>
      </c>
      <c r="G801" s="1444">
        <f t="shared" si="116"/>
        <v>0</v>
      </c>
      <c r="H801" s="1476">
        <f t="shared" si="117"/>
        <v>0</v>
      </c>
      <c r="I801" s="1444">
        <v>9.25</v>
      </c>
      <c r="J801" s="1444">
        <v>9.25</v>
      </c>
      <c r="K801" s="1476"/>
      <c r="L801" s="1476"/>
      <c r="M801" s="1476">
        <f t="shared" si="122"/>
        <v>9.25</v>
      </c>
      <c r="N801" s="1476">
        <f t="shared" si="118"/>
        <v>0</v>
      </c>
    </row>
    <row r="802" spans="1:14" ht="15.5" outlineLevel="1">
      <c r="A802" s="1458">
        <f t="shared" si="124"/>
        <v>2</v>
      </c>
      <c r="B802" s="1459" t="str">
        <f t="shared" si="124"/>
        <v>Boiler Reliability &amp; Availability improvement at 2x500MW, Bhusawal TPS.</v>
      </c>
      <c r="C802" s="1442">
        <f t="shared" si="124"/>
        <v>0</v>
      </c>
      <c r="D802" s="1443" t="str">
        <f t="shared" si="124"/>
        <v>-</v>
      </c>
      <c r="E802" s="1444">
        <f t="shared" si="124"/>
        <v>0</v>
      </c>
      <c r="F802" s="1444">
        <f t="shared" si="115"/>
        <v>0</v>
      </c>
      <c r="G802" s="1444">
        <f t="shared" si="116"/>
        <v>0</v>
      </c>
      <c r="H802" s="1444">
        <f t="shared" si="117"/>
        <v>0</v>
      </c>
      <c r="I802" s="1444">
        <v>83.63000000000001</v>
      </c>
      <c r="J802" s="1444">
        <v>0</v>
      </c>
      <c r="K802" s="1444"/>
      <c r="L802" s="1444"/>
      <c r="M802" s="1444">
        <f t="shared" si="122"/>
        <v>0</v>
      </c>
      <c r="N802" s="1444">
        <f t="shared" si="118"/>
        <v>83.63000000000001</v>
      </c>
    </row>
    <row r="803" spans="1:14" ht="31" outlineLevel="1">
      <c r="A803" s="1455">
        <f t="shared" si="124"/>
        <v>2.1</v>
      </c>
      <c r="B803" s="1455" t="str">
        <f t="shared" si="124"/>
        <v xml:space="preserve">Procurement &amp; Replacement Of LTSH Coils for Unit - 4 &amp; 5 (500MW) TPS, Bhusawal. </v>
      </c>
      <c r="C803" s="1475">
        <f t="shared" si="124"/>
        <v>0</v>
      </c>
      <c r="D803" s="1473" t="str">
        <f t="shared" si="124"/>
        <v>-</v>
      </c>
      <c r="E803" s="1476">
        <f t="shared" si="124"/>
        <v>0</v>
      </c>
      <c r="F803" s="1444">
        <f t="shared" si="115"/>
        <v>0</v>
      </c>
      <c r="G803" s="1444">
        <f t="shared" si="116"/>
        <v>0</v>
      </c>
      <c r="H803" s="1476">
        <f t="shared" si="117"/>
        <v>0</v>
      </c>
      <c r="I803" s="1444">
        <v>19.11</v>
      </c>
      <c r="J803" s="1444">
        <v>19.11</v>
      </c>
      <c r="K803" s="1476"/>
      <c r="L803" s="1476"/>
      <c r="M803" s="1476">
        <f t="shared" si="122"/>
        <v>19.11</v>
      </c>
      <c r="N803" s="1476">
        <f t="shared" si="118"/>
        <v>0</v>
      </c>
    </row>
    <row r="804" spans="1:14" ht="31" outlineLevel="1">
      <c r="A804" s="1455">
        <f t="shared" si="124"/>
        <v>2.2000000000000002</v>
      </c>
      <c r="B804" s="1455" t="str">
        <f t="shared" si="124"/>
        <v>Procurement &amp; Replacement Of Economiser Coils For Unit - 4 &amp; 5 (500MW) TPS, Bhusawal</v>
      </c>
      <c r="C804" s="1475">
        <f t="shared" si="124"/>
        <v>0</v>
      </c>
      <c r="D804" s="1473" t="str">
        <f t="shared" si="124"/>
        <v>-</v>
      </c>
      <c r="E804" s="1476">
        <f t="shared" si="124"/>
        <v>0</v>
      </c>
      <c r="F804" s="1444">
        <f t="shared" si="115"/>
        <v>0</v>
      </c>
      <c r="G804" s="1444">
        <f t="shared" si="116"/>
        <v>0</v>
      </c>
      <c r="H804" s="1476">
        <f t="shared" si="117"/>
        <v>0</v>
      </c>
      <c r="I804" s="1444">
        <v>47.6</v>
      </c>
      <c r="J804" s="1444">
        <v>47.6</v>
      </c>
      <c r="K804" s="1476"/>
      <c r="L804" s="1476"/>
      <c r="M804" s="1476">
        <f t="shared" si="122"/>
        <v>47.6</v>
      </c>
      <c r="N804" s="1476">
        <f t="shared" si="118"/>
        <v>0</v>
      </c>
    </row>
    <row r="805" spans="1:14" ht="15.5" outlineLevel="1">
      <c r="A805" s="1455">
        <f t="shared" si="124"/>
        <v>2.2999999999999998</v>
      </c>
      <c r="B805" s="1455" t="str">
        <f t="shared" si="124"/>
        <v>Procurement of assembly of APH Baskets Unit-4</v>
      </c>
      <c r="C805" s="1442">
        <f t="shared" si="124"/>
        <v>0</v>
      </c>
      <c r="D805" s="1443" t="str">
        <f t="shared" si="124"/>
        <v>-</v>
      </c>
      <c r="E805" s="1444">
        <f t="shared" si="124"/>
        <v>0</v>
      </c>
      <c r="F805" s="1444">
        <f t="shared" si="115"/>
        <v>0</v>
      </c>
      <c r="G805" s="1444">
        <f t="shared" si="116"/>
        <v>0</v>
      </c>
      <c r="H805" s="1444">
        <f t="shared" si="117"/>
        <v>0</v>
      </c>
      <c r="I805" s="1444">
        <v>7.55</v>
      </c>
      <c r="J805" s="1444">
        <v>7.55</v>
      </c>
      <c r="K805" s="1444"/>
      <c r="L805" s="1444"/>
      <c r="M805" s="1444">
        <f t="shared" si="122"/>
        <v>7.55</v>
      </c>
      <c r="N805" s="1444">
        <f t="shared" si="118"/>
        <v>0</v>
      </c>
    </row>
    <row r="806" spans="1:14" ht="15.5" outlineLevel="1">
      <c r="A806" s="1455">
        <f t="shared" si="124"/>
        <v>2.4</v>
      </c>
      <c r="B806" s="1455" t="str">
        <f t="shared" si="124"/>
        <v>Procurement of APH Gearbox Unit-4&amp;5</v>
      </c>
      <c r="C806" s="1475">
        <f t="shared" si="124"/>
        <v>0</v>
      </c>
      <c r="D806" s="1473" t="str">
        <f t="shared" si="124"/>
        <v>-</v>
      </c>
      <c r="E806" s="1476">
        <f t="shared" si="124"/>
        <v>0</v>
      </c>
      <c r="F806" s="1444">
        <f t="shared" si="115"/>
        <v>0</v>
      </c>
      <c r="G806" s="1444">
        <f t="shared" si="116"/>
        <v>0</v>
      </c>
      <c r="H806" s="1476">
        <f t="shared" si="117"/>
        <v>0</v>
      </c>
      <c r="I806" s="1444">
        <v>9.3699999999999992</v>
      </c>
      <c r="J806" s="1444">
        <v>9.3699999999999992</v>
      </c>
      <c r="K806" s="1476"/>
      <c r="L806" s="1476"/>
      <c r="M806" s="1476">
        <f t="shared" si="122"/>
        <v>9.3699999999999992</v>
      </c>
      <c r="N806" s="1476">
        <f t="shared" si="118"/>
        <v>0</v>
      </c>
    </row>
    <row r="807" spans="1:14" ht="15.5" outlineLevel="1">
      <c r="A807" s="1458">
        <f t="shared" si="124"/>
        <v>3</v>
      </c>
      <c r="B807" s="1459" t="str">
        <f t="shared" si="124"/>
        <v>Various Turbine side reliability improvement schemes at 2x500MW, BTPS</v>
      </c>
      <c r="C807" s="1475">
        <f t="shared" si="124"/>
        <v>0</v>
      </c>
      <c r="D807" s="1473" t="str">
        <f t="shared" si="124"/>
        <v>-</v>
      </c>
      <c r="E807" s="1476">
        <f t="shared" si="124"/>
        <v>0</v>
      </c>
      <c r="F807" s="1444">
        <f t="shared" si="115"/>
        <v>0</v>
      </c>
      <c r="G807" s="1444">
        <f t="shared" si="116"/>
        <v>0</v>
      </c>
      <c r="H807" s="1476">
        <f t="shared" si="117"/>
        <v>0</v>
      </c>
      <c r="I807" s="1444">
        <v>41.4</v>
      </c>
      <c r="J807" s="1444">
        <v>0</v>
      </c>
      <c r="K807" s="1476"/>
      <c r="L807" s="1476"/>
      <c r="M807" s="1476">
        <f t="shared" si="122"/>
        <v>0</v>
      </c>
      <c r="N807" s="1476">
        <f t="shared" si="118"/>
        <v>41.4</v>
      </c>
    </row>
    <row r="808" spans="1:14" ht="15.5" outlineLevel="1">
      <c r="A808" s="1455">
        <f t="shared" si="124"/>
        <v>3.1</v>
      </c>
      <c r="B808" s="1455" t="str">
        <f t="shared" si="124"/>
        <v>Reliability improvement of Atlas copco make (mode -ZR -500)</v>
      </c>
      <c r="C808" s="1475">
        <f t="shared" si="124"/>
        <v>0</v>
      </c>
      <c r="D808" s="1473" t="str">
        <f t="shared" si="124"/>
        <v>-</v>
      </c>
      <c r="E808" s="1476">
        <f t="shared" si="124"/>
        <v>0</v>
      </c>
      <c r="F808" s="1444">
        <f t="shared" si="115"/>
        <v>0</v>
      </c>
      <c r="G808" s="1444">
        <f t="shared" si="116"/>
        <v>0</v>
      </c>
      <c r="H808" s="1476">
        <f t="shared" si="117"/>
        <v>0</v>
      </c>
      <c r="I808" s="1444">
        <v>2.4</v>
      </c>
      <c r="J808" s="1444">
        <v>2.4</v>
      </c>
      <c r="K808" s="1476"/>
      <c r="L808" s="1476"/>
      <c r="M808" s="1476">
        <f t="shared" si="122"/>
        <v>2.4</v>
      </c>
      <c r="N808" s="1476">
        <f t="shared" si="118"/>
        <v>0</v>
      </c>
    </row>
    <row r="809" spans="1:14" ht="15.5" outlineLevel="1">
      <c r="A809" s="1455">
        <f t="shared" si="124"/>
        <v>3.2</v>
      </c>
      <c r="B809" s="1455" t="str">
        <f t="shared" si="124"/>
        <v xml:space="preserve">Reliability improvement of  HPCV Valve with procurment cone assy </v>
      </c>
      <c r="C809" s="1475">
        <f t="shared" si="124"/>
        <v>0</v>
      </c>
      <c r="D809" s="1473" t="str">
        <f t="shared" si="124"/>
        <v>-</v>
      </c>
      <c r="E809" s="1476">
        <f t="shared" si="124"/>
        <v>0</v>
      </c>
      <c r="F809" s="1444">
        <f t="shared" si="115"/>
        <v>0</v>
      </c>
      <c r="G809" s="1444">
        <f t="shared" si="116"/>
        <v>0</v>
      </c>
      <c r="H809" s="1476">
        <f t="shared" si="117"/>
        <v>0</v>
      </c>
      <c r="I809" s="1444">
        <v>2</v>
      </c>
      <c r="J809" s="1444">
        <v>2</v>
      </c>
      <c r="K809" s="1476"/>
      <c r="L809" s="1476"/>
      <c r="M809" s="1476">
        <f t="shared" si="122"/>
        <v>2</v>
      </c>
      <c r="N809" s="1476">
        <f t="shared" si="118"/>
        <v>0</v>
      </c>
    </row>
    <row r="810" spans="1:14" ht="15.5" outlineLevel="1">
      <c r="A810" s="1455">
        <f t="shared" si="124"/>
        <v>3.3</v>
      </c>
      <c r="B810" s="1455" t="str">
        <f t="shared" si="124"/>
        <v>Reliability improvement of Alfa Laval make Portable COP</v>
      </c>
      <c r="C810" s="1475">
        <f t="shared" si="124"/>
        <v>0</v>
      </c>
      <c r="D810" s="1473" t="str">
        <f t="shared" si="124"/>
        <v>-</v>
      </c>
      <c r="E810" s="1476">
        <f t="shared" si="124"/>
        <v>0</v>
      </c>
      <c r="F810" s="1444">
        <f t="shared" si="115"/>
        <v>0</v>
      </c>
      <c r="G810" s="1444">
        <f t="shared" si="116"/>
        <v>0</v>
      </c>
      <c r="H810" s="1476">
        <f t="shared" si="117"/>
        <v>0</v>
      </c>
      <c r="I810" s="1444">
        <v>3</v>
      </c>
      <c r="J810" s="1444">
        <v>3</v>
      </c>
      <c r="K810" s="1476"/>
      <c r="L810" s="1476"/>
      <c r="M810" s="1476">
        <f t="shared" si="122"/>
        <v>3</v>
      </c>
      <c r="N810" s="1476">
        <f t="shared" si="118"/>
        <v>0</v>
      </c>
    </row>
    <row r="811" spans="1:14" ht="31" outlineLevel="1">
      <c r="A811" s="1455">
        <f t="shared" si="124"/>
        <v>3.4</v>
      </c>
      <c r="B811" s="1455" t="str">
        <f t="shared" si="124"/>
        <v>Reliability improvement of Seal Oil System with procurement of various U Seal rings</v>
      </c>
      <c r="C811" s="1475">
        <f t="shared" si="124"/>
        <v>0</v>
      </c>
      <c r="D811" s="1473" t="str">
        <f t="shared" si="124"/>
        <v>-</v>
      </c>
      <c r="E811" s="1476">
        <f t="shared" si="124"/>
        <v>0</v>
      </c>
      <c r="F811" s="1444">
        <f t="shared" si="115"/>
        <v>0</v>
      </c>
      <c r="G811" s="1444">
        <f t="shared" si="116"/>
        <v>0</v>
      </c>
      <c r="H811" s="1476">
        <f t="shared" si="117"/>
        <v>0</v>
      </c>
      <c r="I811" s="1444">
        <v>2</v>
      </c>
      <c r="J811" s="1444">
        <v>2</v>
      </c>
      <c r="K811" s="1476"/>
      <c r="L811" s="1476"/>
      <c r="M811" s="1476">
        <f t="shared" si="122"/>
        <v>2</v>
      </c>
      <c r="N811" s="1476">
        <f t="shared" si="118"/>
        <v>0</v>
      </c>
    </row>
    <row r="812" spans="1:14" ht="31" outlineLevel="1">
      <c r="A812" s="1455">
        <f t="shared" ref="A812:E827" si="125">A582</f>
        <v>3.5</v>
      </c>
      <c r="B812" s="1455" t="str">
        <f t="shared" si="125"/>
        <v>Reliability improvement of Unit-4 &amp; 5 NDCT with replacement of PVC fills and allied work</v>
      </c>
      <c r="C812" s="1442">
        <f t="shared" si="125"/>
        <v>0</v>
      </c>
      <c r="D812" s="1443" t="str">
        <f t="shared" si="125"/>
        <v>-</v>
      </c>
      <c r="E812" s="1444">
        <f t="shared" si="125"/>
        <v>0</v>
      </c>
      <c r="F812" s="1444">
        <f t="shared" si="115"/>
        <v>0</v>
      </c>
      <c r="G812" s="1444">
        <f t="shared" si="116"/>
        <v>0</v>
      </c>
      <c r="H812" s="1444">
        <f t="shared" si="117"/>
        <v>0</v>
      </c>
      <c r="I812" s="1444">
        <v>30</v>
      </c>
      <c r="J812" s="1444">
        <v>30</v>
      </c>
      <c r="K812" s="1444"/>
      <c r="L812" s="1444"/>
      <c r="M812" s="1444">
        <f t="shared" si="122"/>
        <v>30</v>
      </c>
      <c r="N812" s="1444">
        <f t="shared" si="118"/>
        <v>0</v>
      </c>
    </row>
    <row r="813" spans="1:14" ht="15.5" outlineLevel="1">
      <c r="A813" s="1455">
        <f t="shared" si="125"/>
        <v>3.6</v>
      </c>
      <c r="B813" s="1455" t="str">
        <f t="shared" si="125"/>
        <v>Upgradation of Chiller plant, GEHO pump house &amp; OLTC PLC system.</v>
      </c>
      <c r="C813" s="1475">
        <f t="shared" si="125"/>
        <v>0</v>
      </c>
      <c r="D813" s="1473" t="str">
        <f t="shared" si="125"/>
        <v>-</v>
      </c>
      <c r="E813" s="1476">
        <f t="shared" si="125"/>
        <v>0</v>
      </c>
      <c r="F813" s="1444">
        <f t="shared" si="115"/>
        <v>0</v>
      </c>
      <c r="G813" s="1444">
        <f t="shared" si="116"/>
        <v>0</v>
      </c>
      <c r="H813" s="1476">
        <f t="shared" si="117"/>
        <v>0</v>
      </c>
      <c r="I813" s="1444">
        <v>2</v>
      </c>
      <c r="J813" s="1444">
        <v>2</v>
      </c>
      <c r="K813" s="1476"/>
      <c r="L813" s="1476"/>
      <c r="M813" s="1476">
        <f t="shared" si="122"/>
        <v>2</v>
      </c>
      <c r="N813" s="1476">
        <f t="shared" si="118"/>
        <v>0</v>
      </c>
    </row>
    <row r="814" spans="1:14" ht="15.5" outlineLevel="1">
      <c r="A814" s="1458">
        <f t="shared" si="125"/>
        <v>4</v>
      </c>
      <c r="B814" s="1459" t="str">
        <f t="shared" si="125"/>
        <v>IB recommended scheme related (Civil and Electrical)</v>
      </c>
      <c r="C814" s="1475">
        <f t="shared" si="125"/>
        <v>0</v>
      </c>
      <c r="D814" s="1473" t="str">
        <f t="shared" si="125"/>
        <v>-</v>
      </c>
      <c r="E814" s="1476">
        <f t="shared" si="125"/>
        <v>0</v>
      </c>
      <c r="F814" s="1444">
        <f t="shared" si="115"/>
        <v>0</v>
      </c>
      <c r="G814" s="1444">
        <f t="shared" si="116"/>
        <v>0</v>
      </c>
      <c r="H814" s="1476">
        <f t="shared" si="117"/>
        <v>0</v>
      </c>
      <c r="I814" s="1444">
        <v>10.76</v>
      </c>
      <c r="J814" s="1444">
        <v>0</v>
      </c>
      <c r="K814" s="1476"/>
      <c r="L814" s="1476"/>
      <c r="M814" s="1476">
        <f t="shared" si="122"/>
        <v>0</v>
      </c>
      <c r="N814" s="1476">
        <f t="shared" si="118"/>
        <v>10.76</v>
      </c>
    </row>
    <row r="815" spans="1:14" ht="31" outlineLevel="1">
      <c r="A815" s="1455">
        <f t="shared" si="125"/>
        <v>4.0999999999999996</v>
      </c>
      <c r="B815" s="1455" t="str">
        <f t="shared" si="125"/>
        <v>Work of fabricating and erecting structural steel watch tower (10 Nos.) in major store, plant area, ash pipe line and ash bund area at BTPS, Deepnagar.</v>
      </c>
      <c r="C815" s="1475">
        <f t="shared" si="125"/>
        <v>0</v>
      </c>
      <c r="D815" s="1473" t="str">
        <f t="shared" si="125"/>
        <v>-</v>
      </c>
      <c r="E815" s="1476">
        <f t="shared" si="125"/>
        <v>0</v>
      </c>
      <c r="F815" s="1444">
        <f t="shared" si="115"/>
        <v>0</v>
      </c>
      <c r="G815" s="1444">
        <f t="shared" si="116"/>
        <v>0</v>
      </c>
      <c r="H815" s="1476">
        <f t="shared" si="117"/>
        <v>0</v>
      </c>
      <c r="I815" s="1444">
        <v>0.86</v>
      </c>
      <c r="J815" s="1444">
        <v>0.86</v>
      </c>
      <c r="K815" s="1476"/>
      <c r="L815" s="1476"/>
      <c r="M815" s="1476">
        <f t="shared" si="122"/>
        <v>0.86</v>
      </c>
      <c r="N815" s="1476">
        <f t="shared" si="118"/>
        <v>0</v>
      </c>
    </row>
    <row r="816" spans="1:14" ht="31" outlineLevel="1">
      <c r="A816" s="1455">
        <f t="shared" si="125"/>
        <v>4.2</v>
      </c>
      <c r="B816" s="1455" t="str">
        <f t="shared" si="125"/>
        <v>Work of construction of ladies frisking room for security section and visitors room near factory gate and providing at 2x500MW, BTPS, Deepnagar.</v>
      </c>
      <c r="C816" s="1442">
        <f t="shared" si="125"/>
        <v>0</v>
      </c>
      <c r="D816" s="1443" t="str">
        <f t="shared" si="125"/>
        <v>-</v>
      </c>
      <c r="E816" s="1444">
        <f t="shared" si="125"/>
        <v>0</v>
      </c>
      <c r="F816" s="1444">
        <f t="shared" si="115"/>
        <v>0</v>
      </c>
      <c r="G816" s="1444">
        <f t="shared" si="116"/>
        <v>0</v>
      </c>
      <c r="H816" s="1444">
        <f t="shared" si="117"/>
        <v>0</v>
      </c>
      <c r="I816" s="1444">
        <v>0.43</v>
      </c>
      <c r="J816" s="1444">
        <v>0.43</v>
      </c>
      <c r="K816" s="1444"/>
      <c r="L816" s="1444"/>
      <c r="M816" s="1444">
        <f t="shared" si="122"/>
        <v>0.43</v>
      </c>
      <c r="N816" s="1444">
        <f t="shared" si="118"/>
        <v>0</v>
      </c>
    </row>
    <row r="817" spans="1:14" ht="31" outlineLevel="1">
      <c r="A817" s="1455">
        <f t="shared" si="125"/>
        <v>4.3</v>
      </c>
      <c r="B817" s="1455" t="str">
        <f t="shared" si="125"/>
        <v>Work of dismantling and construction old weathered UCR compound wall on bhogawati riverside in 2x500 MW at BTPS.</v>
      </c>
      <c r="C817" s="1475">
        <f t="shared" si="125"/>
        <v>0</v>
      </c>
      <c r="D817" s="1473" t="str">
        <f t="shared" si="125"/>
        <v>-</v>
      </c>
      <c r="E817" s="1476">
        <f t="shared" si="125"/>
        <v>0</v>
      </c>
      <c r="F817" s="1444">
        <f t="shared" si="115"/>
        <v>0</v>
      </c>
      <c r="G817" s="1444">
        <f t="shared" si="116"/>
        <v>0</v>
      </c>
      <c r="H817" s="1476">
        <f t="shared" si="117"/>
        <v>0</v>
      </c>
      <c r="I817" s="1444">
        <v>3.29</v>
      </c>
      <c r="J817" s="1444">
        <v>3.29</v>
      </c>
      <c r="K817" s="1476"/>
      <c r="L817" s="1476"/>
      <c r="M817" s="1476">
        <f t="shared" si="122"/>
        <v>3.29</v>
      </c>
      <c r="N817" s="1476">
        <f t="shared" si="118"/>
        <v>0</v>
      </c>
    </row>
    <row r="818" spans="1:14" ht="31" outlineLevel="1">
      <c r="A818" s="1455">
        <f t="shared" si="125"/>
        <v>4.4000000000000004</v>
      </c>
      <c r="B818" s="1455" t="str">
        <f t="shared" si="125"/>
        <v>Construcion of RCC comppund wall from remote silo to pimpri sekam railway siding cabin at BTPS</v>
      </c>
      <c r="C818" s="1475">
        <f t="shared" si="125"/>
        <v>0</v>
      </c>
      <c r="D818" s="1473" t="str">
        <f t="shared" si="125"/>
        <v>-</v>
      </c>
      <c r="E818" s="1476">
        <f t="shared" si="125"/>
        <v>0</v>
      </c>
      <c r="F818" s="1444">
        <f t="shared" si="115"/>
        <v>0</v>
      </c>
      <c r="G818" s="1444">
        <f t="shared" si="116"/>
        <v>0</v>
      </c>
      <c r="H818" s="1476">
        <f t="shared" si="117"/>
        <v>0</v>
      </c>
      <c r="I818" s="1444">
        <v>2.02</v>
      </c>
      <c r="J818" s="1444">
        <v>2.02</v>
      </c>
      <c r="K818" s="1476"/>
      <c r="L818" s="1476"/>
      <c r="M818" s="1476">
        <f t="shared" si="122"/>
        <v>2.02</v>
      </c>
      <c r="N818" s="1476">
        <f t="shared" si="118"/>
        <v>0</v>
      </c>
    </row>
    <row r="819" spans="1:14" ht="15.5" outlineLevel="1">
      <c r="A819" s="1455">
        <f t="shared" si="125"/>
        <v>4.5</v>
      </c>
      <c r="B819" s="1455" t="str">
        <f t="shared" si="125"/>
        <v>Installation of Highmast towers</v>
      </c>
      <c r="C819" s="1475">
        <f t="shared" si="125"/>
        <v>0</v>
      </c>
      <c r="D819" s="1473" t="str">
        <f t="shared" si="125"/>
        <v>-</v>
      </c>
      <c r="E819" s="1476">
        <f t="shared" si="125"/>
        <v>0</v>
      </c>
      <c r="F819" s="1444">
        <f t="shared" si="115"/>
        <v>0</v>
      </c>
      <c r="G819" s="1444">
        <f t="shared" si="116"/>
        <v>0</v>
      </c>
      <c r="H819" s="1476">
        <f t="shared" si="117"/>
        <v>0</v>
      </c>
      <c r="I819" s="1444">
        <v>4.16</v>
      </c>
      <c r="J819" s="1444">
        <v>4.16</v>
      </c>
      <c r="K819" s="1476"/>
      <c r="L819" s="1476"/>
      <c r="M819" s="1476">
        <f t="shared" si="122"/>
        <v>4.16</v>
      </c>
      <c r="N819" s="1476">
        <f t="shared" si="118"/>
        <v>0</v>
      </c>
    </row>
    <row r="820" spans="1:14" ht="15.5" outlineLevel="1">
      <c r="A820" s="1457">
        <f t="shared" si="125"/>
        <v>0</v>
      </c>
      <c r="B820" s="1457" t="str">
        <f t="shared" si="125"/>
        <v xml:space="preserve">FY 2026-27 </v>
      </c>
      <c r="C820" s="1475">
        <f t="shared" si="125"/>
        <v>0</v>
      </c>
      <c r="D820" s="1473" t="str">
        <f t="shared" si="125"/>
        <v>-</v>
      </c>
      <c r="E820" s="1476">
        <f t="shared" si="125"/>
        <v>0</v>
      </c>
      <c r="F820" s="1444">
        <f t="shared" si="115"/>
        <v>0</v>
      </c>
      <c r="G820" s="1444">
        <f t="shared" si="116"/>
        <v>0</v>
      </c>
      <c r="H820" s="1476">
        <f t="shared" si="117"/>
        <v>0</v>
      </c>
      <c r="I820" s="1444">
        <v>0</v>
      </c>
      <c r="J820" s="1444">
        <v>0</v>
      </c>
      <c r="K820" s="1476"/>
      <c r="L820" s="1476"/>
      <c r="M820" s="1476">
        <f t="shared" si="122"/>
        <v>0</v>
      </c>
      <c r="N820" s="1476">
        <f t="shared" si="118"/>
        <v>0</v>
      </c>
    </row>
    <row r="821" spans="1:14" ht="31" outlineLevel="1">
      <c r="A821" s="1458">
        <f t="shared" si="125"/>
        <v>1</v>
      </c>
      <c r="B821" s="1459" t="str">
        <f t="shared" si="125"/>
        <v>Coal Mill Performance Improvement and Life Enhancement of BHEL Make XRP-1043 Coal Mills in 2x500 MW BTPS.</v>
      </c>
      <c r="C821" s="1475">
        <f t="shared" si="125"/>
        <v>0</v>
      </c>
      <c r="D821" s="1473" t="str">
        <f t="shared" si="125"/>
        <v>-</v>
      </c>
      <c r="E821" s="1476">
        <f t="shared" si="125"/>
        <v>0</v>
      </c>
      <c r="F821" s="1444">
        <f t="shared" si="115"/>
        <v>0</v>
      </c>
      <c r="G821" s="1444">
        <f t="shared" si="116"/>
        <v>0</v>
      </c>
      <c r="H821" s="1476">
        <f t="shared" si="117"/>
        <v>0</v>
      </c>
      <c r="I821" s="1444">
        <v>0</v>
      </c>
      <c r="J821" s="1444">
        <v>0</v>
      </c>
      <c r="K821" s="1476"/>
      <c r="L821" s="1476"/>
      <c r="M821" s="1476">
        <f t="shared" si="122"/>
        <v>0</v>
      </c>
      <c r="N821" s="1476">
        <f t="shared" si="118"/>
        <v>0</v>
      </c>
    </row>
    <row r="822" spans="1:14" ht="31" outlineLevel="1">
      <c r="A822" s="1455">
        <f t="shared" si="125"/>
        <v>1.1000000000000001</v>
      </c>
      <c r="B822" s="1455" t="str">
        <f t="shared" si="125"/>
        <v>Coal Mill Performance Improvement and Life Enhancement of BHEL Make XRP-1043 Coal Mills in 2x500 MW BTPS.</v>
      </c>
      <c r="C822" s="1475">
        <f t="shared" si="125"/>
        <v>0</v>
      </c>
      <c r="D822" s="1473" t="str">
        <f t="shared" si="125"/>
        <v>-</v>
      </c>
      <c r="E822" s="1476">
        <f t="shared" si="125"/>
        <v>0</v>
      </c>
      <c r="F822" s="1444">
        <f t="shared" si="115"/>
        <v>0</v>
      </c>
      <c r="G822" s="1444">
        <f t="shared" si="116"/>
        <v>0</v>
      </c>
      <c r="H822" s="1476">
        <f t="shared" si="117"/>
        <v>0</v>
      </c>
      <c r="I822" s="1444">
        <v>0</v>
      </c>
      <c r="J822" s="1444">
        <v>0</v>
      </c>
      <c r="K822" s="1476"/>
      <c r="L822" s="1476"/>
      <c r="M822" s="1476">
        <f t="shared" si="122"/>
        <v>0</v>
      </c>
      <c r="N822" s="1476">
        <f t="shared" si="118"/>
        <v>0</v>
      </c>
    </row>
    <row r="823" spans="1:14" ht="46.5" outlineLevel="1">
      <c r="A823" s="1455">
        <f t="shared" si="125"/>
        <v>2</v>
      </c>
      <c r="B823" s="1455" t="str">
        <f t="shared" si="125"/>
        <v xml:space="preserve">Upgradation of Coal feeder weighing system and revamping of Boiler side pneumatic dampers system of Hot air, cold air, FD,PA and burner tilt at Bhusawal TPS 2x500W </v>
      </c>
      <c r="C823" s="1475">
        <f t="shared" si="125"/>
        <v>0</v>
      </c>
      <c r="D823" s="1473" t="str">
        <f t="shared" si="125"/>
        <v>-</v>
      </c>
      <c r="E823" s="1476">
        <f t="shared" si="125"/>
        <v>0</v>
      </c>
      <c r="F823" s="1444">
        <f t="shared" si="115"/>
        <v>0</v>
      </c>
      <c r="G823" s="1444">
        <f t="shared" si="116"/>
        <v>0</v>
      </c>
      <c r="H823" s="1476">
        <f t="shared" si="117"/>
        <v>0</v>
      </c>
      <c r="I823" s="1444">
        <v>0</v>
      </c>
      <c r="J823" s="1444">
        <v>0</v>
      </c>
      <c r="K823" s="1476"/>
      <c r="L823" s="1476"/>
      <c r="M823" s="1476">
        <f t="shared" si="122"/>
        <v>0</v>
      </c>
      <c r="N823" s="1476">
        <f t="shared" si="118"/>
        <v>0</v>
      </c>
    </row>
    <row r="824" spans="1:14" ht="15.5" outlineLevel="1">
      <c r="A824" s="1455">
        <f t="shared" si="125"/>
        <v>2.1</v>
      </c>
      <c r="B824" s="1455" t="str">
        <f t="shared" si="125"/>
        <v xml:space="preserve">Upgradation of Coal feeder weighing system  at Bhusawal TPS 2x500W </v>
      </c>
      <c r="C824" s="1475">
        <f t="shared" si="125"/>
        <v>0</v>
      </c>
      <c r="D824" s="1473" t="str">
        <f t="shared" si="125"/>
        <v>-</v>
      </c>
      <c r="E824" s="1476">
        <f t="shared" si="125"/>
        <v>0</v>
      </c>
      <c r="F824" s="1444">
        <f t="shared" si="115"/>
        <v>0</v>
      </c>
      <c r="G824" s="1444">
        <f t="shared" si="116"/>
        <v>0</v>
      </c>
      <c r="H824" s="1476">
        <f t="shared" si="117"/>
        <v>0</v>
      </c>
      <c r="I824" s="1444">
        <v>0</v>
      </c>
      <c r="J824" s="1444">
        <v>0</v>
      </c>
      <c r="K824" s="1476"/>
      <c r="L824" s="1476"/>
      <c r="M824" s="1476">
        <f t="shared" si="122"/>
        <v>0</v>
      </c>
      <c r="N824" s="1476">
        <f t="shared" si="118"/>
        <v>0</v>
      </c>
    </row>
    <row r="825" spans="1:14" ht="15.5" outlineLevel="1">
      <c r="A825" s="1455">
        <f t="shared" si="125"/>
        <v>2.2000000000000002</v>
      </c>
      <c r="B825" s="1455" t="str">
        <f t="shared" si="125"/>
        <v>Up-gradation of carbon monoxide analyzer in flue gas installed</v>
      </c>
      <c r="C825" s="1475">
        <f t="shared" si="125"/>
        <v>0</v>
      </c>
      <c r="D825" s="1473" t="str">
        <f t="shared" si="125"/>
        <v>-</v>
      </c>
      <c r="E825" s="1476">
        <f t="shared" si="125"/>
        <v>0</v>
      </c>
      <c r="F825" s="1444">
        <f t="shared" si="115"/>
        <v>0</v>
      </c>
      <c r="G825" s="1444">
        <f t="shared" si="116"/>
        <v>0</v>
      </c>
      <c r="H825" s="1476">
        <f t="shared" si="117"/>
        <v>0</v>
      </c>
      <c r="I825" s="1444">
        <v>0</v>
      </c>
      <c r="J825" s="1444">
        <v>0</v>
      </c>
      <c r="K825" s="1476"/>
      <c r="L825" s="1476"/>
      <c r="M825" s="1476">
        <f t="shared" si="122"/>
        <v>0</v>
      </c>
      <c r="N825" s="1476">
        <f t="shared" si="118"/>
        <v>0</v>
      </c>
    </row>
    <row r="826" spans="1:14" ht="31" outlineLevel="1">
      <c r="A826" s="1455">
        <f t="shared" si="125"/>
        <v>2.2999999999999998</v>
      </c>
      <c r="B826" s="1455" t="str">
        <f t="shared" si="125"/>
        <v>Up- Gradation of condition monitoring &amp; analysis system for TSI of Main Turbine , TDBFP &amp; BOP System 2x500 MW BTPS.</v>
      </c>
      <c r="C826" s="1475">
        <f t="shared" si="125"/>
        <v>0</v>
      </c>
      <c r="D826" s="1473" t="str">
        <f t="shared" si="125"/>
        <v>-</v>
      </c>
      <c r="E826" s="1476">
        <f t="shared" si="125"/>
        <v>0</v>
      </c>
      <c r="F826" s="1444">
        <f t="shared" si="115"/>
        <v>0</v>
      </c>
      <c r="G826" s="1444">
        <f t="shared" si="116"/>
        <v>0</v>
      </c>
      <c r="H826" s="1476">
        <f t="shared" si="117"/>
        <v>0</v>
      </c>
      <c r="I826" s="1444">
        <v>0</v>
      </c>
      <c r="J826" s="1444">
        <v>0</v>
      </c>
      <c r="K826" s="1476"/>
      <c r="L826" s="1476"/>
      <c r="M826" s="1476">
        <f t="shared" si="122"/>
        <v>0</v>
      </c>
      <c r="N826" s="1476">
        <f t="shared" si="118"/>
        <v>0</v>
      </c>
    </row>
    <row r="827" spans="1:14" ht="31" outlineLevel="1">
      <c r="A827" s="1455">
        <f t="shared" si="125"/>
        <v>2.5</v>
      </c>
      <c r="B827" s="1455" t="str">
        <f t="shared" si="125"/>
        <v xml:space="preserve">Revamping of Boiler side pneumatic dampers system of Hot air, cold air, FD,PA and burner tilt at BTPS 2X500MW </v>
      </c>
      <c r="C827" s="1475">
        <f t="shared" si="125"/>
        <v>0</v>
      </c>
      <c r="D827" s="1473" t="str">
        <f t="shared" si="125"/>
        <v>-</v>
      </c>
      <c r="E827" s="1476">
        <f t="shared" si="125"/>
        <v>0</v>
      </c>
      <c r="F827" s="1444">
        <f t="shared" si="115"/>
        <v>0</v>
      </c>
      <c r="G827" s="1444">
        <f t="shared" si="116"/>
        <v>0</v>
      </c>
      <c r="H827" s="1476">
        <f t="shared" si="117"/>
        <v>0</v>
      </c>
      <c r="I827" s="1444">
        <v>0</v>
      </c>
      <c r="J827" s="1444">
        <v>0</v>
      </c>
      <c r="K827" s="1476"/>
      <c r="L827" s="1476"/>
      <c r="M827" s="1476">
        <f t="shared" si="122"/>
        <v>0</v>
      </c>
      <c r="N827" s="1476">
        <f t="shared" si="118"/>
        <v>0</v>
      </c>
    </row>
    <row r="828" spans="1:14" ht="15.5" outlineLevel="1">
      <c r="A828" s="1455">
        <f t="shared" ref="A828:E843" si="126">A598</f>
        <v>2.6</v>
      </c>
      <c r="B828" s="1455" t="str">
        <f t="shared" si="126"/>
        <v>Procurement of various high pressure valves at 2x500 MW.</v>
      </c>
      <c r="C828" s="1442">
        <f t="shared" si="126"/>
        <v>0</v>
      </c>
      <c r="D828" s="1443" t="str">
        <f t="shared" si="126"/>
        <v>-</v>
      </c>
      <c r="E828" s="1444">
        <f t="shared" si="126"/>
        <v>0</v>
      </c>
      <c r="F828" s="1444">
        <f t="shared" ref="F828:F891" si="127">F598+I598</f>
        <v>0</v>
      </c>
      <c r="G828" s="1444">
        <f t="shared" ref="G828:G891" si="128">G598+M598</f>
        <v>0</v>
      </c>
      <c r="H828" s="1444">
        <f t="shared" ref="H828:H911" si="129">F828-G828</f>
        <v>0</v>
      </c>
      <c r="I828" s="1444">
        <v>0</v>
      </c>
      <c r="J828" s="1444">
        <v>0</v>
      </c>
      <c r="K828" s="1444"/>
      <c r="L828" s="1444"/>
      <c r="M828" s="1444">
        <f t="shared" si="122"/>
        <v>0</v>
      </c>
      <c r="N828" s="1444">
        <f t="shared" ref="N828:N911" si="130">H828+I828-M828</f>
        <v>0</v>
      </c>
    </row>
    <row r="829" spans="1:14" ht="31" outlineLevel="1">
      <c r="A829" s="1458">
        <f t="shared" si="126"/>
        <v>3</v>
      </c>
      <c r="B829" s="1459" t="str">
        <f t="shared" si="126"/>
        <v>Schemes for Turbine side auxiliaries systems Performance &amp; efficiency improvement schemes at 2X500MW, Bhusawal TPS</v>
      </c>
      <c r="C829" s="1475">
        <f t="shared" si="126"/>
        <v>0</v>
      </c>
      <c r="D829" s="1473" t="str">
        <f t="shared" si="126"/>
        <v>-</v>
      </c>
      <c r="E829" s="1476">
        <f t="shared" si="126"/>
        <v>0</v>
      </c>
      <c r="F829" s="1444">
        <f t="shared" si="127"/>
        <v>0</v>
      </c>
      <c r="G829" s="1444">
        <f t="shared" si="128"/>
        <v>0</v>
      </c>
      <c r="H829" s="1476">
        <f t="shared" si="129"/>
        <v>0</v>
      </c>
      <c r="I829" s="1444">
        <v>0</v>
      </c>
      <c r="J829" s="1444">
        <v>0</v>
      </c>
      <c r="K829" s="1476"/>
      <c r="L829" s="1476"/>
      <c r="M829" s="1476">
        <f t="shared" si="122"/>
        <v>0</v>
      </c>
      <c r="N829" s="1476">
        <f t="shared" si="130"/>
        <v>0</v>
      </c>
    </row>
    <row r="830" spans="1:14" ht="31" outlineLevel="1">
      <c r="A830" s="1455">
        <f t="shared" si="126"/>
        <v>3.1</v>
      </c>
      <c r="B830" s="1455" t="str">
        <f t="shared" si="126"/>
        <v>Procurement of BFP Booster Pump (FA-1B-75) complete assembly (04 Nos) at 500MW BTPS, Bhusawal.</v>
      </c>
      <c r="C830" s="1475">
        <f t="shared" si="126"/>
        <v>0</v>
      </c>
      <c r="D830" s="1473" t="str">
        <f t="shared" si="126"/>
        <v>-</v>
      </c>
      <c r="E830" s="1476">
        <f t="shared" si="126"/>
        <v>0</v>
      </c>
      <c r="F830" s="1444">
        <f t="shared" si="127"/>
        <v>0</v>
      </c>
      <c r="G830" s="1444">
        <f t="shared" si="128"/>
        <v>0</v>
      </c>
      <c r="H830" s="1476">
        <f t="shared" si="129"/>
        <v>0</v>
      </c>
      <c r="I830" s="1444">
        <v>0</v>
      </c>
      <c r="J830" s="1444">
        <v>0</v>
      </c>
      <c r="K830" s="1476"/>
      <c r="L830" s="1476"/>
      <c r="M830" s="1476">
        <f t="shared" si="122"/>
        <v>0</v>
      </c>
      <c r="N830" s="1476">
        <f t="shared" si="130"/>
        <v>0</v>
      </c>
    </row>
    <row r="831" spans="1:14" ht="31" outlineLevel="1">
      <c r="A831" s="1455">
        <f t="shared" si="126"/>
        <v>3.2</v>
      </c>
      <c r="B831" s="1455" t="str">
        <f t="shared" si="126"/>
        <v>Procurement of Vacuum Pump complete assembly with recirculation Pump (01 No) and Impeller assembly (2 Nos) at 500MW BTPS, Bhusawal.</v>
      </c>
      <c r="C831" s="1475">
        <f t="shared" si="126"/>
        <v>0</v>
      </c>
      <c r="D831" s="1473" t="str">
        <f t="shared" si="126"/>
        <v>-</v>
      </c>
      <c r="E831" s="1476">
        <f t="shared" si="126"/>
        <v>0</v>
      </c>
      <c r="F831" s="1444">
        <f t="shared" si="127"/>
        <v>0</v>
      </c>
      <c r="G831" s="1444">
        <f t="shared" si="128"/>
        <v>0</v>
      </c>
      <c r="H831" s="1476">
        <f t="shared" si="129"/>
        <v>0</v>
      </c>
      <c r="I831" s="1444">
        <v>0</v>
      </c>
      <c r="J831" s="1444">
        <v>0</v>
      </c>
      <c r="K831" s="1476"/>
      <c r="L831" s="1476"/>
      <c r="M831" s="1476">
        <f t="shared" si="122"/>
        <v>0</v>
      </c>
      <c r="N831" s="1476">
        <f t="shared" si="130"/>
        <v>0</v>
      </c>
    </row>
    <row r="832" spans="1:14" ht="31" outlineLevel="1">
      <c r="A832" s="1455">
        <f t="shared" si="126"/>
        <v>3.3</v>
      </c>
      <c r="B832" s="1455" t="str">
        <f t="shared" si="126"/>
        <v>Revamping, modification of outdoor ducting of Air ventilation system at 2x500MW BTPS, Bhusawal.</v>
      </c>
      <c r="C832" s="1475">
        <f t="shared" si="126"/>
        <v>0</v>
      </c>
      <c r="D832" s="1473" t="str">
        <f t="shared" si="126"/>
        <v>-</v>
      </c>
      <c r="E832" s="1476">
        <f t="shared" si="126"/>
        <v>0</v>
      </c>
      <c r="F832" s="1444">
        <f t="shared" si="127"/>
        <v>0</v>
      </c>
      <c r="G832" s="1444">
        <f t="shared" si="128"/>
        <v>0</v>
      </c>
      <c r="H832" s="1476">
        <f t="shared" si="129"/>
        <v>0</v>
      </c>
      <c r="I832" s="1444">
        <v>0</v>
      </c>
      <c r="J832" s="1444">
        <v>0</v>
      </c>
      <c r="K832" s="1476"/>
      <c r="L832" s="1476"/>
      <c r="M832" s="1476">
        <f t="shared" si="122"/>
        <v>0</v>
      </c>
      <c r="N832" s="1476">
        <f t="shared" si="130"/>
        <v>0</v>
      </c>
    </row>
    <row r="833" spans="1:14" ht="15.5" outlineLevel="1">
      <c r="A833" s="1455">
        <f t="shared" si="126"/>
        <v>3.4</v>
      </c>
      <c r="B833" s="1455" t="str">
        <f t="shared" si="126"/>
        <v>Performance improvement of compressors</v>
      </c>
      <c r="C833" s="1475">
        <f t="shared" si="126"/>
        <v>0</v>
      </c>
      <c r="D833" s="1473" t="str">
        <f t="shared" si="126"/>
        <v>-</v>
      </c>
      <c r="E833" s="1476">
        <f t="shared" si="126"/>
        <v>0</v>
      </c>
      <c r="F833" s="1444">
        <f t="shared" si="127"/>
        <v>0</v>
      </c>
      <c r="G833" s="1444">
        <f t="shared" si="128"/>
        <v>0</v>
      </c>
      <c r="H833" s="1476">
        <f t="shared" si="129"/>
        <v>0</v>
      </c>
      <c r="I833" s="1444">
        <v>0</v>
      </c>
      <c r="J833" s="1444">
        <v>0</v>
      </c>
      <c r="K833" s="1476"/>
      <c r="L833" s="1476"/>
      <c r="M833" s="1476">
        <f t="shared" si="122"/>
        <v>0</v>
      </c>
      <c r="N833" s="1476">
        <f t="shared" si="130"/>
        <v>0</v>
      </c>
    </row>
    <row r="834" spans="1:14" ht="15.5" outlineLevel="1">
      <c r="A834" s="1455">
        <f t="shared" si="126"/>
        <v>3.5</v>
      </c>
      <c r="B834" s="1455" t="str">
        <f t="shared" si="126"/>
        <v>Centralized Water Management System at BTPS, Deepnagar, Bhusawal</v>
      </c>
      <c r="C834" s="1475">
        <f t="shared" si="126"/>
        <v>0</v>
      </c>
      <c r="D834" s="1473" t="str">
        <f t="shared" si="126"/>
        <v>-</v>
      </c>
      <c r="E834" s="1476">
        <f t="shared" si="126"/>
        <v>0</v>
      </c>
      <c r="F834" s="1444">
        <f t="shared" si="127"/>
        <v>0</v>
      </c>
      <c r="G834" s="1444">
        <f t="shared" si="128"/>
        <v>0</v>
      </c>
      <c r="H834" s="1476">
        <f t="shared" si="129"/>
        <v>0</v>
      </c>
      <c r="I834" s="1444">
        <v>0</v>
      </c>
      <c r="J834" s="1444">
        <v>0</v>
      </c>
      <c r="K834" s="1476"/>
      <c r="L834" s="1476"/>
      <c r="M834" s="1476">
        <f t="shared" si="122"/>
        <v>0</v>
      </c>
      <c r="N834" s="1476">
        <f t="shared" si="130"/>
        <v>0</v>
      </c>
    </row>
    <row r="835" spans="1:14" ht="31" outlineLevel="1">
      <c r="A835" s="1455">
        <f t="shared" si="126"/>
        <v>3.6</v>
      </c>
      <c r="B835" s="1455" t="str">
        <f t="shared" si="126"/>
        <v>Revamping and upgradation of Forbes Marshal make Steam &amp; Water Analysis System Installed at 2x500MW BTPS.</v>
      </c>
      <c r="C835" s="1475">
        <f t="shared" si="126"/>
        <v>0</v>
      </c>
      <c r="D835" s="1473" t="str">
        <f t="shared" si="126"/>
        <v>-</v>
      </c>
      <c r="E835" s="1476">
        <f t="shared" si="126"/>
        <v>0</v>
      </c>
      <c r="F835" s="1444">
        <f t="shared" si="127"/>
        <v>0</v>
      </c>
      <c r="G835" s="1444">
        <f t="shared" si="128"/>
        <v>0</v>
      </c>
      <c r="H835" s="1476">
        <f t="shared" si="129"/>
        <v>0</v>
      </c>
      <c r="I835" s="1444">
        <v>0</v>
      </c>
      <c r="J835" s="1444">
        <v>0</v>
      </c>
      <c r="K835" s="1476"/>
      <c r="L835" s="1476"/>
      <c r="M835" s="1476">
        <f t="shared" si="122"/>
        <v>0</v>
      </c>
      <c r="N835" s="1476">
        <f t="shared" si="130"/>
        <v>0</v>
      </c>
    </row>
    <row r="836" spans="1:14" ht="31" outlineLevel="1">
      <c r="A836" s="1458">
        <f t="shared" si="126"/>
        <v>4</v>
      </c>
      <c r="B836" s="1459" t="str">
        <f t="shared" si="126"/>
        <v>Implementation of flexible operation solutions for technical minimum operation of 2x500MW, BTPS.</v>
      </c>
      <c r="C836" s="1475">
        <f t="shared" si="126"/>
        <v>0</v>
      </c>
      <c r="D836" s="1473" t="str">
        <f t="shared" si="126"/>
        <v>-</v>
      </c>
      <c r="E836" s="1476">
        <f t="shared" si="126"/>
        <v>0</v>
      </c>
      <c r="F836" s="1444">
        <f t="shared" si="127"/>
        <v>0</v>
      </c>
      <c r="G836" s="1444">
        <f t="shared" si="128"/>
        <v>0</v>
      </c>
      <c r="H836" s="1476">
        <f t="shared" si="129"/>
        <v>0</v>
      </c>
      <c r="I836" s="1444">
        <v>0</v>
      </c>
      <c r="J836" s="1444">
        <v>0</v>
      </c>
      <c r="K836" s="1476"/>
      <c r="L836" s="1476"/>
      <c r="M836" s="1476">
        <f t="shared" si="122"/>
        <v>0</v>
      </c>
      <c r="N836" s="1476">
        <f t="shared" si="130"/>
        <v>0</v>
      </c>
    </row>
    <row r="837" spans="1:14" ht="31" outlineLevel="1">
      <c r="A837" s="1455">
        <f t="shared" si="126"/>
        <v>4.0999999999999996</v>
      </c>
      <c r="B837" s="1455" t="str">
        <f t="shared" si="126"/>
        <v>Implementation of flexible operation solutions for technical minimum operation of 2x500MW, BTPS.</v>
      </c>
      <c r="C837" s="1475">
        <f t="shared" si="126"/>
        <v>0</v>
      </c>
      <c r="D837" s="1473" t="str">
        <f t="shared" si="126"/>
        <v>-</v>
      </c>
      <c r="E837" s="1476">
        <f t="shared" si="126"/>
        <v>0</v>
      </c>
      <c r="F837" s="1444">
        <f t="shared" si="127"/>
        <v>0</v>
      </c>
      <c r="G837" s="1444">
        <f t="shared" si="128"/>
        <v>0</v>
      </c>
      <c r="H837" s="1476">
        <f t="shared" si="129"/>
        <v>0</v>
      </c>
      <c r="I837" s="1444">
        <v>0</v>
      </c>
      <c r="J837" s="1444">
        <v>0</v>
      </c>
      <c r="K837" s="1476"/>
      <c r="L837" s="1476"/>
      <c r="M837" s="1476">
        <f t="shared" si="122"/>
        <v>0</v>
      </c>
      <c r="N837" s="1476">
        <f t="shared" si="130"/>
        <v>0</v>
      </c>
    </row>
    <row r="838" spans="1:14" ht="15.5" outlineLevel="1">
      <c r="A838" s="1457">
        <f t="shared" si="126"/>
        <v>0</v>
      </c>
      <c r="B838" s="1457" t="str">
        <f t="shared" si="126"/>
        <v xml:space="preserve">FY 2027-28 </v>
      </c>
      <c r="C838" s="1442">
        <f t="shared" si="126"/>
        <v>0</v>
      </c>
      <c r="D838" s="1443" t="str">
        <f t="shared" si="126"/>
        <v>-</v>
      </c>
      <c r="E838" s="1444">
        <f t="shared" si="126"/>
        <v>0</v>
      </c>
      <c r="F838" s="1444">
        <f t="shared" si="127"/>
        <v>0</v>
      </c>
      <c r="G838" s="1444">
        <f t="shared" si="128"/>
        <v>0</v>
      </c>
      <c r="H838" s="1444">
        <f t="shared" si="129"/>
        <v>0</v>
      </c>
      <c r="I838" s="1444">
        <v>0</v>
      </c>
      <c r="J838" s="1444">
        <v>0</v>
      </c>
      <c r="K838" s="1444"/>
      <c r="L838" s="1444"/>
      <c r="M838" s="1444">
        <f t="shared" si="122"/>
        <v>0</v>
      </c>
      <c r="N838" s="1444">
        <f t="shared" si="130"/>
        <v>0</v>
      </c>
    </row>
    <row r="839" spans="1:14" ht="31" outlineLevel="1">
      <c r="A839" s="1458">
        <f t="shared" si="126"/>
        <v>1</v>
      </c>
      <c r="B839" s="1459" t="str">
        <f t="shared" si="126"/>
        <v>Supply,Installation and commissioning of Boiler performance and reliability improvement schemes at BTPS 2x500MW.</v>
      </c>
      <c r="C839" s="1475">
        <f t="shared" si="126"/>
        <v>0</v>
      </c>
      <c r="D839" s="1473" t="str">
        <f t="shared" si="126"/>
        <v>-</v>
      </c>
      <c r="E839" s="1476">
        <f t="shared" si="126"/>
        <v>0</v>
      </c>
      <c r="F839" s="1444">
        <f t="shared" si="127"/>
        <v>0</v>
      </c>
      <c r="G839" s="1444">
        <f t="shared" si="128"/>
        <v>0</v>
      </c>
      <c r="H839" s="1476">
        <f t="shared" si="129"/>
        <v>0</v>
      </c>
      <c r="I839" s="1444">
        <v>0</v>
      </c>
      <c r="J839" s="1444">
        <v>0</v>
      </c>
      <c r="K839" s="1476"/>
      <c r="L839" s="1476"/>
      <c r="M839" s="1476">
        <f t="shared" ref="M839:M902" si="131">SUM(J839:L839)</f>
        <v>0</v>
      </c>
      <c r="N839" s="1476">
        <f t="shared" si="130"/>
        <v>0</v>
      </c>
    </row>
    <row r="840" spans="1:14" ht="31" outlineLevel="1">
      <c r="A840" s="1455">
        <f t="shared" si="126"/>
        <v>1.1000000000000001</v>
      </c>
      <c r="B840" s="1455" t="str">
        <f t="shared" si="126"/>
        <v>Procurement of  M/s Torishima, Japan make, 350 KW, 6.6KV, Boiler Circulating Water (BCW) Pump Motors at BTPS 2x500MW.</v>
      </c>
      <c r="C840" s="1475">
        <f t="shared" si="126"/>
        <v>0</v>
      </c>
      <c r="D840" s="1473" t="str">
        <f t="shared" si="126"/>
        <v>-</v>
      </c>
      <c r="E840" s="1476">
        <f t="shared" si="126"/>
        <v>0</v>
      </c>
      <c r="F840" s="1444">
        <f t="shared" si="127"/>
        <v>0</v>
      </c>
      <c r="G840" s="1444">
        <f t="shared" si="128"/>
        <v>0</v>
      </c>
      <c r="H840" s="1476">
        <f t="shared" si="129"/>
        <v>0</v>
      </c>
      <c r="I840" s="1444">
        <v>0</v>
      </c>
      <c r="J840" s="1444">
        <v>0</v>
      </c>
      <c r="K840" s="1476"/>
      <c r="L840" s="1476"/>
      <c r="M840" s="1476">
        <f t="shared" si="131"/>
        <v>0</v>
      </c>
      <c r="N840" s="1476">
        <f t="shared" si="130"/>
        <v>0</v>
      </c>
    </row>
    <row r="841" spans="1:14" ht="31" outlineLevel="1">
      <c r="A841" s="1455">
        <f t="shared" si="126"/>
        <v>1.2</v>
      </c>
      <c r="B841" s="1455" t="str">
        <f t="shared" si="126"/>
        <v>Installation commissioning of Online DC Earth fault monitoring system at 220V DCDB at 500MW U-4&amp;5.</v>
      </c>
      <c r="C841" s="1475">
        <f t="shared" si="126"/>
        <v>0</v>
      </c>
      <c r="D841" s="1473" t="str">
        <f t="shared" si="126"/>
        <v>-</v>
      </c>
      <c r="E841" s="1476">
        <f t="shared" si="126"/>
        <v>0</v>
      </c>
      <c r="F841" s="1444">
        <f t="shared" si="127"/>
        <v>0</v>
      </c>
      <c r="G841" s="1444">
        <f t="shared" si="128"/>
        <v>0</v>
      </c>
      <c r="H841" s="1476">
        <f t="shared" si="129"/>
        <v>0</v>
      </c>
      <c r="I841" s="1444">
        <v>0</v>
      </c>
      <c r="J841" s="1444">
        <v>0</v>
      </c>
      <c r="K841" s="1476"/>
      <c r="L841" s="1476"/>
      <c r="M841" s="1476">
        <f t="shared" si="131"/>
        <v>0</v>
      </c>
      <c r="N841" s="1476">
        <f t="shared" si="130"/>
        <v>0</v>
      </c>
    </row>
    <row r="842" spans="1:14" ht="31" outlineLevel="1">
      <c r="A842" s="1455">
        <f t="shared" si="126"/>
        <v>1.3</v>
      </c>
      <c r="B842" s="1455" t="str">
        <f t="shared" si="126"/>
        <v>Design,  supply, erection, comms. Of ID VFD &amp; AHP transformers for 2x500MW BTPS.</v>
      </c>
      <c r="C842" s="1475">
        <f t="shared" si="126"/>
        <v>0</v>
      </c>
      <c r="D842" s="1473" t="str">
        <f t="shared" si="126"/>
        <v>-</v>
      </c>
      <c r="E842" s="1476">
        <f t="shared" si="126"/>
        <v>0</v>
      </c>
      <c r="F842" s="1444">
        <f t="shared" si="127"/>
        <v>0</v>
      </c>
      <c r="G842" s="1444">
        <f t="shared" si="128"/>
        <v>0</v>
      </c>
      <c r="H842" s="1476">
        <f t="shared" si="129"/>
        <v>0</v>
      </c>
      <c r="I842" s="1444">
        <v>0</v>
      </c>
      <c r="J842" s="1444">
        <v>0</v>
      </c>
      <c r="K842" s="1476"/>
      <c r="L842" s="1476"/>
      <c r="M842" s="1476">
        <f t="shared" si="131"/>
        <v>0</v>
      </c>
      <c r="N842" s="1476">
        <f t="shared" si="130"/>
        <v>0</v>
      </c>
    </row>
    <row r="843" spans="1:14" ht="31" outlineLevel="1">
      <c r="A843" s="1455">
        <f t="shared" si="126"/>
        <v>1.4</v>
      </c>
      <c r="B843" s="1455" t="str">
        <f t="shared" si="126"/>
        <v>Design,supply,installation and commissioning of Energy efficient  System for illumination at BTPS 2x500MW.</v>
      </c>
      <c r="C843" s="1475">
        <f t="shared" si="126"/>
        <v>0</v>
      </c>
      <c r="D843" s="1473" t="str">
        <f t="shared" si="126"/>
        <v>-</v>
      </c>
      <c r="E843" s="1476">
        <f t="shared" si="126"/>
        <v>0</v>
      </c>
      <c r="F843" s="1444">
        <f t="shared" si="127"/>
        <v>0</v>
      </c>
      <c r="G843" s="1444">
        <f t="shared" si="128"/>
        <v>0</v>
      </c>
      <c r="H843" s="1476">
        <f t="shared" si="129"/>
        <v>0</v>
      </c>
      <c r="I843" s="1444">
        <v>0</v>
      </c>
      <c r="J843" s="1444">
        <v>0</v>
      </c>
      <c r="K843" s="1476"/>
      <c r="L843" s="1476"/>
      <c r="M843" s="1476">
        <f t="shared" si="131"/>
        <v>0</v>
      </c>
      <c r="N843" s="1476">
        <f t="shared" si="130"/>
        <v>0</v>
      </c>
    </row>
    <row r="844" spans="1:14" ht="31" outlineLevel="1">
      <c r="A844" s="1455">
        <f t="shared" ref="A844:E859" si="132">A614</f>
        <v>1.5</v>
      </c>
      <c r="B844" s="1455" t="str">
        <f t="shared" si="132"/>
        <v>Procurement of  Main Gear unit assembly of electrical Actuators in 2x500MW BTPS</v>
      </c>
      <c r="C844" s="1442">
        <f t="shared" si="132"/>
        <v>0</v>
      </c>
      <c r="D844" s="1443" t="str">
        <f t="shared" si="132"/>
        <v>-</v>
      </c>
      <c r="E844" s="1444">
        <f t="shared" si="132"/>
        <v>0</v>
      </c>
      <c r="F844" s="1444">
        <f t="shared" si="127"/>
        <v>0</v>
      </c>
      <c r="G844" s="1444">
        <f t="shared" si="128"/>
        <v>0</v>
      </c>
      <c r="H844" s="1444">
        <f t="shared" si="129"/>
        <v>0</v>
      </c>
      <c r="I844" s="1444">
        <v>0</v>
      </c>
      <c r="J844" s="1444">
        <v>0</v>
      </c>
      <c r="K844" s="1444"/>
      <c r="L844" s="1444"/>
      <c r="M844" s="1444">
        <f t="shared" si="131"/>
        <v>0</v>
      </c>
      <c r="N844" s="1444">
        <f t="shared" si="130"/>
        <v>0</v>
      </c>
    </row>
    <row r="845" spans="1:14" ht="31" outlineLevel="1">
      <c r="A845" s="1455">
        <f t="shared" si="132"/>
        <v>1.6</v>
      </c>
      <c r="B845" s="1455" t="str">
        <f t="shared" si="132"/>
        <v>Supply, erection, commissioning &amp; site testing of 360V, 750 AH Station UPS Battery Sets  along with accessories for Unit No.5 at BTPS 2x500MW.</v>
      </c>
      <c r="C845" s="1475">
        <f t="shared" si="132"/>
        <v>0</v>
      </c>
      <c r="D845" s="1473" t="str">
        <f t="shared" si="132"/>
        <v>-</v>
      </c>
      <c r="E845" s="1476">
        <f t="shared" si="132"/>
        <v>0</v>
      </c>
      <c r="F845" s="1444">
        <f t="shared" si="127"/>
        <v>0</v>
      </c>
      <c r="G845" s="1444">
        <f t="shared" si="128"/>
        <v>0</v>
      </c>
      <c r="H845" s="1476">
        <f t="shared" si="129"/>
        <v>0</v>
      </c>
      <c r="I845" s="1444">
        <v>0</v>
      </c>
      <c r="J845" s="1444">
        <v>0</v>
      </c>
      <c r="K845" s="1476"/>
      <c r="L845" s="1476"/>
      <c r="M845" s="1476">
        <f t="shared" si="131"/>
        <v>0</v>
      </c>
      <c r="N845" s="1476">
        <f t="shared" si="130"/>
        <v>0</v>
      </c>
    </row>
    <row r="846" spans="1:14" ht="15.5" outlineLevel="1">
      <c r="A846" s="1455">
        <f t="shared" si="132"/>
        <v>1.7</v>
      </c>
      <c r="B846" s="1455" t="str">
        <f t="shared" si="132"/>
        <v xml:space="preserve">Upgradation of EWLI system  at Bhusawal TPS 2x500W </v>
      </c>
      <c r="C846" s="1442">
        <f t="shared" si="132"/>
        <v>0</v>
      </c>
      <c r="D846" s="1443" t="str">
        <f t="shared" si="132"/>
        <v>-</v>
      </c>
      <c r="E846" s="1444">
        <f t="shared" si="132"/>
        <v>0</v>
      </c>
      <c r="F846" s="1444">
        <f t="shared" si="127"/>
        <v>0</v>
      </c>
      <c r="G846" s="1444">
        <f t="shared" si="128"/>
        <v>0</v>
      </c>
      <c r="H846" s="1444">
        <f t="shared" si="129"/>
        <v>0</v>
      </c>
      <c r="I846" s="1444">
        <v>0</v>
      </c>
      <c r="J846" s="1444">
        <v>0</v>
      </c>
      <c r="K846" s="1444"/>
      <c r="L846" s="1444"/>
      <c r="M846" s="1444">
        <f t="shared" si="131"/>
        <v>0</v>
      </c>
      <c r="N846" s="1444">
        <f t="shared" si="130"/>
        <v>0</v>
      </c>
    </row>
    <row r="847" spans="1:14" ht="46.5" outlineLevel="1">
      <c r="A847" s="1458">
        <f t="shared" si="132"/>
        <v>2</v>
      </c>
      <c r="B847" s="1459" t="str">
        <f t="shared" si="132"/>
        <v>Performance improvement of Bottom ash evacualtion system to reduce auxillary power consumption, water consumption &amp; environmental pollution at 2X500MW, Bhusawal TPS</v>
      </c>
      <c r="C847" s="1475">
        <f t="shared" si="132"/>
        <v>0</v>
      </c>
      <c r="D847" s="1473" t="str">
        <f t="shared" si="132"/>
        <v>-</v>
      </c>
      <c r="E847" s="1476">
        <f t="shared" si="132"/>
        <v>0</v>
      </c>
      <c r="F847" s="1444">
        <f t="shared" si="127"/>
        <v>0</v>
      </c>
      <c r="G847" s="1444">
        <f t="shared" si="128"/>
        <v>0</v>
      </c>
      <c r="H847" s="1476">
        <f t="shared" si="129"/>
        <v>0</v>
      </c>
      <c r="I847" s="1444">
        <v>0</v>
      </c>
      <c r="J847" s="1444">
        <v>0</v>
      </c>
      <c r="K847" s="1476"/>
      <c r="L847" s="1476"/>
      <c r="M847" s="1476">
        <f t="shared" si="131"/>
        <v>0</v>
      </c>
      <c r="N847" s="1476">
        <f t="shared" si="130"/>
        <v>0</v>
      </c>
    </row>
    <row r="848" spans="1:14" ht="31" outlineLevel="1">
      <c r="A848" s="1455">
        <f t="shared" si="132"/>
        <v>2.1</v>
      </c>
      <c r="B848" s="1455" t="str">
        <f t="shared" si="132"/>
        <v>Modification of latest design AR 200/550 Ash slurry pump assembly including auxillaries at AHP, 2x500MW, BTPS.</v>
      </c>
      <c r="C848" s="1442">
        <f t="shared" si="132"/>
        <v>0</v>
      </c>
      <c r="D848" s="1443" t="str">
        <f t="shared" si="132"/>
        <v>-</v>
      </c>
      <c r="E848" s="1444">
        <f t="shared" si="132"/>
        <v>0</v>
      </c>
      <c r="F848" s="1444">
        <f t="shared" si="127"/>
        <v>0</v>
      </c>
      <c r="G848" s="1444">
        <f t="shared" si="128"/>
        <v>0</v>
      </c>
      <c r="H848" s="1444">
        <f t="shared" si="129"/>
        <v>0</v>
      </c>
      <c r="I848" s="1444">
        <v>0</v>
      </c>
      <c r="J848" s="1444">
        <v>0</v>
      </c>
      <c r="K848" s="1444"/>
      <c r="L848" s="1444"/>
      <c r="M848" s="1444">
        <f t="shared" si="131"/>
        <v>0</v>
      </c>
      <c r="N848" s="1444">
        <f t="shared" si="130"/>
        <v>0</v>
      </c>
    </row>
    <row r="849" spans="1:14" ht="31" outlineLevel="1">
      <c r="A849" s="1455">
        <f t="shared" si="132"/>
        <v>2.2000000000000002</v>
      </c>
      <c r="B849" s="1455" t="str">
        <f t="shared" si="132"/>
        <v>Modification of single roll reversible clinker grinder system at AHP, 2x500MW, BTPS</v>
      </c>
      <c r="C849" s="1475">
        <f t="shared" si="132"/>
        <v>0</v>
      </c>
      <c r="D849" s="1473" t="str">
        <f t="shared" si="132"/>
        <v>-</v>
      </c>
      <c r="E849" s="1476">
        <f t="shared" si="132"/>
        <v>0</v>
      </c>
      <c r="F849" s="1444">
        <f t="shared" si="127"/>
        <v>0</v>
      </c>
      <c r="G849" s="1444">
        <f t="shared" si="128"/>
        <v>0</v>
      </c>
      <c r="H849" s="1476">
        <f t="shared" si="129"/>
        <v>0</v>
      </c>
      <c r="I849" s="1444">
        <v>0</v>
      </c>
      <c r="J849" s="1444">
        <v>0</v>
      </c>
      <c r="K849" s="1476"/>
      <c r="L849" s="1476"/>
      <c r="M849" s="1476">
        <f t="shared" si="131"/>
        <v>0</v>
      </c>
      <c r="N849" s="1476">
        <f t="shared" si="130"/>
        <v>0</v>
      </c>
    </row>
    <row r="850" spans="1:14" ht="31" outlineLevel="1">
      <c r="A850" s="1455">
        <f t="shared" si="132"/>
        <v>2.2999999999999998</v>
      </c>
      <c r="B850" s="1455" t="str">
        <f t="shared" si="132"/>
        <v>Modification of bottom ash &amp; coarse ash slurry pipe line disposal system at AHP 2X500 MW BTPS</v>
      </c>
      <c r="C850" s="1475">
        <f t="shared" si="132"/>
        <v>0</v>
      </c>
      <c r="D850" s="1473" t="str">
        <f t="shared" si="132"/>
        <v>-</v>
      </c>
      <c r="E850" s="1476">
        <f t="shared" si="132"/>
        <v>0</v>
      </c>
      <c r="F850" s="1444">
        <f t="shared" si="127"/>
        <v>0</v>
      </c>
      <c r="G850" s="1444">
        <f t="shared" si="128"/>
        <v>0</v>
      </c>
      <c r="H850" s="1476">
        <f t="shared" si="129"/>
        <v>0</v>
      </c>
      <c r="I850" s="1444">
        <v>0</v>
      </c>
      <c r="J850" s="1444">
        <v>0</v>
      </c>
      <c r="K850" s="1476"/>
      <c r="L850" s="1476"/>
      <c r="M850" s="1476">
        <f t="shared" si="131"/>
        <v>0</v>
      </c>
      <c r="N850" s="1476">
        <f t="shared" si="130"/>
        <v>0</v>
      </c>
    </row>
    <row r="851" spans="1:14" ht="15.5" outlineLevel="1">
      <c r="A851" s="1458">
        <f t="shared" si="132"/>
        <v>3</v>
      </c>
      <c r="B851" s="1459" t="str">
        <f t="shared" si="132"/>
        <v>Boiler Reliability &amp; Availability improvement at 2x500MW, Bhusawal TPS.</v>
      </c>
      <c r="C851" s="1442">
        <f t="shared" si="132"/>
        <v>0</v>
      </c>
      <c r="D851" s="1443" t="str">
        <f t="shared" si="132"/>
        <v>-</v>
      </c>
      <c r="E851" s="1444">
        <f t="shared" si="132"/>
        <v>0</v>
      </c>
      <c r="F851" s="1444">
        <f t="shared" si="127"/>
        <v>0</v>
      </c>
      <c r="G851" s="1444">
        <f t="shared" si="128"/>
        <v>0</v>
      </c>
      <c r="H851" s="1444">
        <f t="shared" si="129"/>
        <v>0</v>
      </c>
      <c r="I851" s="1444">
        <v>0</v>
      </c>
      <c r="J851" s="1444">
        <v>0</v>
      </c>
      <c r="K851" s="1444"/>
      <c r="L851" s="1444"/>
      <c r="M851" s="1444">
        <f t="shared" si="131"/>
        <v>0</v>
      </c>
      <c r="N851" s="1444">
        <f t="shared" si="130"/>
        <v>0</v>
      </c>
    </row>
    <row r="852" spans="1:14" ht="15.5" outlineLevel="1">
      <c r="A852" s="1455">
        <f t="shared" si="132"/>
        <v>3.1</v>
      </c>
      <c r="B852" s="1455" t="str">
        <f t="shared" si="132"/>
        <v>Procurement of Boiler Coils (CRH &amp;HRH) at 2x500MW BTPS.</v>
      </c>
      <c r="C852" s="1475">
        <f t="shared" si="132"/>
        <v>0</v>
      </c>
      <c r="D852" s="1473" t="str">
        <f t="shared" si="132"/>
        <v>-</v>
      </c>
      <c r="E852" s="1476">
        <f t="shared" si="132"/>
        <v>0</v>
      </c>
      <c r="F852" s="1444">
        <f t="shared" si="127"/>
        <v>0</v>
      </c>
      <c r="G852" s="1444">
        <f t="shared" si="128"/>
        <v>0</v>
      </c>
      <c r="H852" s="1476">
        <f t="shared" si="129"/>
        <v>0</v>
      </c>
      <c r="I852" s="1444">
        <v>0</v>
      </c>
      <c r="J852" s="1444">
        <v>0</v>
      </c>
      <c r="K852" s="1476"/>
      <c r="L852" s="1476"/>
      <c r="M852" s="1476">
        <f t="shared" si="131"/>
        <v>0</v>
      </c>
      <c r="N852" s="1476">
        <f t="shared" si="130"/>
        <v>0</v>
      </c>
    </row>
    <row r="853" spans="1:14" ht="15.5" outlineLevel="1">
      <c r="A853" s="1455">
        <f t="shared" si="132"/>
        <v>3.2</v>
      </c>
      <c r="B853" s="1455" t="str">
        <f t="shared" si="132"/>
        <v>Procurement of ID fan impeller with shaft at 2x500 MW BTPS.</v>
      </c>
      <c r="C853" s="1475">
        <f t="shared" si="132"/>
        <v>0</v>
      </c>
      <c r="D853" s="1473" t="str">
        <f t="shared" si="132"/>
        <v>-</v>
      </c>
      <c r="E853" s="1476">
        <f t="shared" si="132"/>
        <v>0</v>
      </c>
      <c r="F853" s="1444">
        <f t="shared" si="127"/>
        <v>0</v>
      </c>
      <c r="G853" s="1444">
        <f t="shared" si="128"/>
        <v>0</v>
      </c>
      <c r="H853" s="1476">
        <f t="shared" si="129"/>
        <v>0</v>
      </c>
      <c r="I853" s="1444">
        <v>0</v>
      </c>
      <c r="J853" s="1444">
        <v>0</v>
      </c>
      <c r="K853" s="1476"/>
      <c r="L853" s="1476"/>
      <c r="M853" s="1476">
        <f t="shared" si="131"/>
        <v>0</v>
      </c>
      <c r="N853" s="1476">
        <f t="shared" si="130"/>
        <v>0</v>
      </c>
    </row>
    <row r="854" spans="1:14" ht="31" outlineLevel="1">
      <c r="A854" s="1455">
        <f t="shared" si="132"/>
        <v>3.3</v>
      </c>
      <c r="B854" s="1455" t="str">
        <f t="shared" si="132"/>
        <v>Procurement SH,RH,MS outlet valves with actuator and motor at 2x500 MW BTPS.</v>
      </c>
      <c r="C854" s="1442">
        <f t="shared" si="132"/>
        <v>0</v>
      </c>
      <c r="D854" s="1443" t="str">
        <f t="shared" si="132"/>
        <v>-</v>
      </c>
      <c r="E854" s="1444">
        <f t="shared" si="132"/>
        <v>0</v>
      </c>
      <c r="F854" s="1444">
        <f t="shared" si="127"/>
        <v>0</v>
      </c>
      <c r="G854" s="1444">
        <f t="shared" si="128"/>
        <v>0</v>
      </c>
      <c r="H854" s="1444">
        <f t="shared" si="129"/>
        <v>0</v>
      </c>
      <c r="I854" s="1444">
        <v>0</v>
      </c>
      <c r="J854" s="1444">
        <v>0</v>
      </c>
      <c r="K854" s="1444"/>
      <c r="L854" s="1444"/>
      <c r="M854" s="1444">
        <f t="shared" si="131"/>
        <v>0</v>
      </c>
      <c r="N854" s="1444">
        <f t="shared" si="130"/>
        <v>0</v>
      </c>
    </row>
    <row r="855" spans="1:14" ht="15.5" outlineLevel="1">
      <c r="A855" s="1458">
        <f t="shared" si="132"/>
        <v>4</v>
      </c>
      <c r="B855" s="1459" t="str">
        <f t="shared" si="132"/>
        <v>CHP Infrastructure Development Schemes</v>
      </c>
      <c r="C855" s="1475">
        <f t="shared" si="132"/>
        <v>0</v>
      </c>
      <c r="D855" s="1473" t="str">
        <f t="shared" si="132"/>
        <v>-</v>
      </c>
      <c r="E855" s="1476">
        <f t="shared" si="132"/>
        <v>0</v>
      </c>
      <c r="F855" s="1444">
        <f t="shared" si="127"/>
        <v>0</v>
      </c>
      <c r="G855" s="1444">
        <f t="shared" si="128"/>
        <v>0</v>
      </c>
      <c r="H855" s="1476">
        <f t="shared" si="129"/>
        <v>0</v>
      </c>
      <c r="I855" s="1444">
        <v>0</v>
      </c>
      <c r="J855" s="1444">
        <v>0</v>
      </c>
      <c r="K855" s="1476"/>
      <c r="L855" s="1476"/>
      <c r="M855" s="1476">
        <f t="shared" si="131"/>
        <v>0</v>
      </c>
      <c r="N855" s="1476">
        <f t="shared" si="130"/>
        <v>0</v>
      </c>
    </row>
    <row r="856" spans="1:14" ht="31" outlineLevel="1">
      <c r="A856" s="1455">
        <f t="shared" si="132"/>
        <v>4.0999999999999996</v>
      </c>
      <c r="B856" s="1455" t="str">
        <f t="shared" si="132"/>
        <v>Supply, installation and commissioning PLC system on a single platform to match with external aspect &amp; process improvement at CHP 2x500MW BTPS.</v>
      </c>
      <c r="C856" s="1475">
        <f t="shared" si="132"/>
        <v>0</v>
      </c>
      <c r="D856" s="1473" t="str">
        <f t="shared" si="132"/>
        <v>-</v>
      </c>
      <c r="E856" s="1476">
        <f t="shared" si="132"/>
        <v>0</v>
      </c>
      <c r="F856" s="1444">
        <f t="shared" si="127"/>
        <v>0</v>
      </c>
      <c r="G856" s="1444">
        <f t="shared" si="128"/>
        <v>0</v>
      </c>
      <c r="H856" s="1476">
        <f t="shared" si="129"/>
        <v>0</v>
      </c>
      <c r="I856" s="1444">
        <v>0</v>
      </c>
      <c r="J856" s="1444">
        <v>0</v>
      </c>
      <c r="K856" s="1476"/>
      <c r="L856" s="1476"/>
      <c r="M856" s="1476">
        <f t="shared" si="131"/>
        <v>0</v>
      </c>
      <c r="N856" s="1476">
        <f t="shared" si="130"/>
        <v>0</v>
      </c>
    </row>
    <row r="857" spans="1:14" ht="31" outlineLevel="1">
      <c r="A857" s="1455">
        <f t="shared" si="132"/>
        <v>4.2</v>
      </c>
      <c r="B857" s="1455" t="str">
        <f t="shared" si="132"/>
        <v>Supply, installation, retrofitting and commissioning of HT breaker at HT Switchgear in CHP 2x500MW BTPS</v>
      </c>
      <c r="C857" s="1475">
        <f t="shared" si="132"/>
        <v>0</v>
      </c>
      <c r="D857" s="1473" t="str">
        <f t="shared" si="132"/>
        <v>-</v>
      </c>
      <c r="E857" s="1476">
        <f t="shared" si="132"/>
        <v>0</v>
      </c>
      <c r="F857" s="1444">
        <f t="shared" si="127"/>
        <v>0</v>
      </c>
      <c r="G857" s="1444">
        <f t="shared" si="128"/>
        <v>0</v>
      </c>
      <c r="H857" s="1476">
        <f t="shared" si="129"/>
        <v>0</v>
      </c>
      <c r="I857" s="1444">
        <v>0</v>
      </c>
      <c r="J857" s="1444">
        <v>0</v>
      </c>
      <c r="K857" s="1476"/>
      <c r="L857" s="1476"/>
      <c r="M857" s="1476">
        <f t="shared" si="131"/>
        <v>0</v>
      </c>
      <c r="N857" s="1476">
        <f t="shared" si="130"/>
        <v>0</v>
      </c>
    </row>
    <row r="858" spans="1:14" ht="31" outlineLevel="1">
      <c r="A858" s="1455">
        <f t="shared" si="132"/>
        <v>4.3</v>
      </c>
      <c r="B858" s="1455" t="str">
        <f t="shared" si="132"/>
        <v>Supply, installation, retrofitting and commissioning of LT breaker at LT Switchgear in CHP 2x500MW BTPS.</v>
      </c>
      <c r="C858" s="1475">
        <f t="shared" si="132"/>
        <v>0</v>
      </c>
      <c r="D858" s="1473" t="str">
        <f t="shared" si="132"/>
        <v>-</v>
      </c>
      <c r="E858" s="1476">
        <f t="shared" si="132"/>
        <v>0</v>
      </c>
      <c r="F858" s="1444">
        <f t="shared" si="127"/>
        <v>0</v>
      </c>
      <c r="G858" s="1444">
        <f t="shared" si="128"/>
        <v>0</v>
      </c>
      <c r="H858" s="1476">
        <f t="shared" si="129"/>
        <v>0</v>
      </c>
      <c r="I858" s="1444">
        <v>0</v>
      </c>
      <c r="J858" s="1444">
        <v>0</v>
      </c>
      <c r="K858" s="1476"/>
      <c r="L858" s="1476"/>
      <c r="M858" s="1476">
        <f t="shared" si="131"/>
        <v>0</v>
      </c>
      <c r="N858" s="1476">
        <f t="shared" si="130"/>
        <v>0</v>
      </c>
    </row>
    <row r="859" spans="1:14" ht="31" outlineLevel="1">
      <c r="A859" s="1455">
        <f t="shared" si="132"/>
        <v>4.4000000000000004</v>
      </c>
      <c r="B859" s="1455" t="str">
        <f t="shared" si="132"/>
        <v>Supply, Installation &amp; Commissioning of  Magnetic Separators at CHP 2x 500MW BTPS Deepnagar</v>
      </c>
      <c r="C859" s="1475">
        <f t="shared" si="132"/>
        <v>0</v>
      </c>
      <c r="D859" s="1473" t="str">
        <f t="shared" si="132"/>
        <v>-</v>
      </c>
      <c r="E859" s="1476">
        <f t="shared" si="132"/>
        <v>0</v>
      </c>
      <c r="F859" s="1444">
        <f t="shared" si="127"/>
        <v>0</v>
      </c>
      <c r="G859" s="1444">
        <f t="shared" si="128"/>
        <v>0</v>
      </c>
      <c r="H859" s="1476">
        <f t="shared" si="129"/>
        <v>0</v>
      </c>
      <c r="I859" s="1444">
        <v>0</v>
      </c>
      <c r="J859" s="1444">
        <v>0</v>
      </c>
      <c r="K859" s="1476"/>
      <c r="L859" s="1476"/>
      <c r="M859" s="1476">
        <f t="shared" si="131"/>
        <v>0</v>
      </c>
      <c r="N859" s="1476">
        <f t="shared" si="130"/>
        <v>0</v>
      </c>
    </row>
    <row r="860" spans="1:14" ht="31" outlineLevel="1">
      <c r="A860" s="1455">
        <f t="shared" ref="A860:E875" si="133">A630</f>
        <v>4.5</v>
      </c>
      <c r="B860" s="1455" t="str">
        <f t="shared" si="133"/>
        <v>Supply, Installation &amp; Commissioning Flameproof lighting at CHP 2x 500MW BTPS Deepnagar</v>
      </c>
      <c r="C860" s="1475">
        <f t="shared" si="133"/>
        <v>0</v>
      </c>
      <c r="D860" s="1473" t="str">
        <f t="shared" si="133"/>
        <v>-</v>
      </c>
      <c r="E860" s="1476">
        <f t="shared" si="133"/>
        <v>0</v>
      </c>
      <c r="F860" s="1444">
        <f t="shared" si="127"/>
        <v>0</v>
      </c>
      <c r="G860" s="1444">
        <f t="shared" si="128"/>
        <v>0</v>
      </c>
      <c r="H860" s="1476">
        <f t="shared" si="129"/>
        <v>0</v>
      </c>
      <c r="I860" s="1444">
        <v>0</v>
      </c>
      <c r="J860" s="1444">
        <v>0</v>
      </c>
      <c r="K860" s="1476"/>
      <c r="L860" s="1476"/>
      <c r="M860" s="1476">
        <f t="shared" si="131"/>
        <v>0</v>
      </c>
      <c r="N860" s="1476">
        <f t="shared" si="130"/>
        <v>0</v>
      </c>
    </row>
    <row r="861" spans="1:14" ht="15.5" outlineLevel="1">
      <c r="A861" s="1455">
        <f t="shared" si="133"/>
        <v>4.5999999999999996</v>
      </c>
      <c r="B861" s="1455" t="str">
        <f t="shared" si="133"/>
        <v>Supply, Installation &amp; upgradation of HT /LT relay at CHP BTPS.</v>
      </c>
      <c r="C861" s="1475">
        <f t="shared" si="133"/>
        <v>0</v>
      </c>
      <c r="D861" s="1473" t="str">
        <f t="shared" si="133"/>
        <v>-</v>
      </c>
      <c r="E861" s="1476">
        <f t="shared" si="133"/>
        <v>0</v>
      </c>
      <c r="F861" s="1444">
        <f t="shared" si="127"/>
        <v>0</v>
      </c>
      <c r="G861" s="1444">
        <f t="shared" si="128"/>
        <v>0</v>
      </c>
      <c r="H861" s="1476">
        <f t="shared" si="129"/>
        <v>0</v>
      </c>
      <c r="I861" s="1444">
        <v>0</v>
      </c>
      <c r="J861" s="1444">
        <v>0</v>
      </c>
      <c r="K861" s="1476"/>
      <c r="L861" s="1476"/>
      <c r="M861" s="1476">
        <f t="shared" si="131"/>
        <v>0</v>
      </c>
      <c r="N861" s="1476">
        <f t="shared" si="130"/>
        <v>0</v>
      </c>
    </row>
    <row r="862" spans="1:14" ht="15.5" outlineLevel="1">
      <c r="A862" s="1458">
        <f t="shared" si="133"/>
        <v>5</v>
      </c>
      <c r="B862" s="1459" t="str">
        <f t="shared" si="133"/>
        <v>Detail  Project report of improvement of Unloading in Coal handling Plant BTPS.</v>
      </c>
      <c r="C862" s="1475">
        <f t="shared" si="133"/>
        <v>0</v>
      </c>
      <c r="D862" s="1473" t="str">
        <f t="shared" si="133"/>
        <v>-</v>
      </c>
      <c r="E862" s="1476">
        <f t="shared" si="133"/>
        <v>0</v>
      </c>
      <c r="F862" s="1444">
        <f t="shared" si="127"/>
        <v>0</v>
      </c>
      <c r="G862" s="1444">
        <f t="shared" si="128"/>
        <v>0</v>
      </c>
      <c r="H862" s="1476">
        <f t="shared" si="129"/>
        <v>0</v>
      </c>
      <c r="I862" s="1444">
        <v>0</v>
      </c>
      <c r="J862" s="1444">
        <v>0</v>
      </c>
      <c r="K862" s="1476"/>
      <c r="L862" s="1476"/>
      <c r="M862" s="1476">
        <f t="shared" si="131"/>
        <v>0</v>
      </c>
      <c r="N862" s="1476">
        <f t="shared" si="130"/>
        <v>0</v>
      </c>
    </row>
    <row r="863" spans="1:14" ht="15.5" outlineLevel="1">
      <c r="A863" s="1455">
        <f t="shared" si="133"/>
        <v>5.0999999999999996</v>
      </c>
      <c r="B863" s="1455" t="str">
        <f t="shared" si="133"/>
        <v>Procurement of 04 no of locomotives for Coal handling Plant BTPS.</v>
      </c>
      <c r="C863" s="1475">
        <f t="shared" si="133"/>
        <v>0</v>
      </c>
      <c r="D863" s="1473" t="str">
        <f t="shared" si="133"/>
        <v>-</v>
      </c>
      <c r="E863" s="1476">
        <f t="shared" si="133"/>
        <v>0</v>
      </c>
      <c r="F863" s="1444">
        <f t="shared" si="127"/>
        <v>0</v>
      </c>
      <c r="G863" s="1444">
        <f t="shared" si="128"/>
        <v>0</v>
      </c>
      <c r="H863" s="1476">
        <f t="shared" si="129"/>
        <v>0</v>
      </c>
      <c r="I863" s="1444">
        <v>0</v>
      </c>
      <c r="J863" s="1444">
        <v>0</v>
      </c>
      <c r="K863" s="1476"/>
      <c r="L863" s="1476"/>
      <c r="M863" s="1476">
        <f t="shared" si="131"/>
        <v>0</v>
      </c>
      <c r="N863" s="1476">
        <f t="shared" si="130"/>
        <v>0</v>
      </c>
    </row>
    <row r="864" spans="1:14" ht="31" outlineLevel="1">
      <c r="A864" s="1455">
        <f t="shared" si="133"/>
        <v>5.2</v>
      </c>
      <c r="B864" s="1455" t="str">
        <f t="shared" si="133"/>
        <v>Design Supply Erection and Comission of Hour glass shape Coal diverting chutes with extra life wear resistant plates in CHP, BTPS.</v>
      </c>
      <c r="C864" s="1475">
        <f t="shared" si="133"/>
        <v>0</v>
      </c>
      <c r="D864" s="1473" t="str">
        <f t="shared" si="133"/>
        <v>-</v>
      </c>
      <c r="E864" s="1476">
        <f t="shared" si="133"/>
        <v>0</v>
      </c>
      <c r="F864" s="1444">
        <f t="shared" si="127"/>
        <v>0</v>
      </c>
      <c r="G864" s="1444">
        <f t="shared" si="128"/>
        <v>0</v>
      </c>
      <c r="H864" s="1476">
        <f t="shared" si="129"/>
        <v>0</v>
      </c>
      <c r="I864" s="1444">
        <v>0</v>
      </c>
      <c r="J864" s="1444">
        <v>0</v>
      </c>
      <c r="K864" s="1476"/>
      <c r="L864" s="1476"/>
      <c r="M864" s="1476">
        <f t="shared" si="131"/>
        <v>0</v>
      </c>
      <c r="N864" s="1476">
        <f t="shared" si="130"/>
        <v>0</v>
      </c>
    </row>
    <row r="865" spans="1:14" ht="31" outlineLevel="1">
      <c r="A865" s="1455">
        <f t="shared" si="133"/>
        <v>5.3</v>
      </c>
      <c r="B865" s="1455" t="str">
        <f t="shared" si="133"/>
        <v>Design Supply Erection and Comission of Inverted Y Shape  Coal diverting chutes with extra life wear resistant plates in CHP, BTPS.</v>
      </c>
      <c r="C865" s="1475">
        <f t="shared" si="133"/>
        <v>0</v>
      </c>
      <c r="D865" s="1473" t="str">
        <f t="shared" si="133"/>
        <v>-</v>
      </c>
      <c r="E865" s="1476">
        <f t="shared" si="133"/>
        <v>0</v>
      </c>
      <c r="F865" s="1444">
        <f t="shared" si="127"/>
        <v>0</v>
      </c>
      <c r="G865" s="1444">
        <f t="shared" si="128"/>
        <v>0</v>
      </c>
      <c r="H865" s="1476">
        <f t="shared" si="129"/>
        <v>0</v>
      </c>
      <c r="I865" s="1444">
        <v>0</v>
      </c>
      <c r="J865" s="1444">
        <v>0</v>
      </c>
      <c r="K865" s="1476"/>
      <c r="L865" s="1476"/>
      <c r="M865" s="1476">
        <f t="shared" si="131"/>
        <v>0</v>
      </c>
      <c r="N865" s="1476">
        <f t="shared" si="130"/>
        <v>0</v>
      </c>
    </row>
    <row r="866" spans="1:14" ht="31" outlineLevel="1">
      <c r="A866" s="1455">
        <f t="shared" si="133"/>
        <v>5.4</v>
      </c>
      <c r="B866" s="1455" t="str">
        <f t="shared" si="133"/>
        <v>Design Supply Erection and Comission of coal diverting chutes with extra life wear resistant plates in CHP BTPS.</v>
      </c>
      <c r="C866" s="1475">
        <f t="shared" si="133"/>
        <v>0</v>
      </c>
      <c r="D866" s="1473" t="str">
        <f t="shared" si="133"/>
        <v>-</v>
      </c>
      <c r="E866" s="1476">
        <f t="shared" si="133"/>
        <v>0</v>
      </c>
      <c r="F866" s="1444">
        <f t="shared" si="127"/>
        <v>0</v>
      </c>
      <c r="G866" s="1444">
        <f t="shared" si="128"/>
        <v>0</v>
      </c>
      <c r="H866" s="1476">
        <f t="shared" si="129"/>
        <v>0</v>
      </c>
      <c r="I866" s="1444">
        <v>0</v>
      </c>
      <c r="J866" s="1444">
        <v>0</v>
      </c>
      <c r="K866" s="1476"/>
      <c r="L866" s="1476"/>
      <c r="M866" s="1476">
        <f t="shared" si="131"/>
        <v>0</v>
      </c>
      <c r="N866" s="1476">
        <f t="shared" si="130"/>
        <v>0</v>
      </c>
    </row>
    <row r="867" spans="1:14" ht="31" outlineLevel="1">
      <c r="A867" s="1455">
        <f t="shared" si="133"/>
        <v>5.5</v>
      </c>
      <c r="B867" s="1455" t="str">
        <f t="shared" si="133"/>
        <v>Work of Revamping and structural up-gradation of conveyor 104A&amp;B in Coal Handling Plant-BTPS.</v>
      </c>
      <c r="C867" s="1475">
        <f t="shared" si="133"/>
        <v>0</v>
      </c>
      <c r="D867" s="1473" t="str">
        <f t="shared" si="133"/>
        <v>-</v>
      </c>
      <c r="E867" s="1476">
        <f t="shared" si="133"/>
        <v>0</v>
      </c>
      <c r="F867" s="1444">
        <f t="shared" si="127"/>
        <v>0</v>
      </c>
      <c r="G867" s="1444">
        <f t="shared" si="128"/>
        <v>0</v>
      </c>
      <c r="H867" s="1476">
        <f t="shared" si="129"/>
        <v>0</v>
      </c>
      <c r="I867" s="1444">
        <v>0</v>
      </c>
      <c r="J867" s="1444">
        <v>0</v>
      </c>
      <c r="K867" s="1476"/>
      <c r="L867" s="1476"/>
      <c r="M867" s="1476">
        <f t="shared" si="131"/>
        <v>0</v>
      </c>
      <c r="N867" s="1476">
        <f t="shared" si="130"/>
        <v>0</v>
      </c>
    </row>
    <row r="868" spans="1:14" ht="31" outlineLevel="1">
      <c r="A868" s="1458">
        <f t="shared" si="133"/>
        <v>6</v>
      </c>
      <c r="B868" s="1459" t="str">
        <f t="shared" si="133"/>
        <v>Supply and Installation of  reliability improvement schemes for HT/LT switchgears and auxilliaries at BTPS 2x500MW.</v>
      </c>
      <c r="C868" s="1475">
        <f t="shared" si="133"/>
        <v>0</v>
      </c>
      <c r="D868" s="1473" t="str">
        <f t="shared" si="133"/>
        <v>-</v>
      </c>
      <c r="E868" s="1476">
        <f t="shared" si="133"/>
        <v>0</v>
      </c>
      <c r="F868" s="1444">
        <f t="shared" si="127"/>
        <v>0</v>
      </c>
      <c r="G868" s="1444">
        <f t="shared" si="128"/>
        <v>0</v>
      </c>
      <c r="H868" s="1476">
        <f t="shared" si="129"/>
        <v>0</v>
      </c>
      <c r="I868" s="1444">
        <v>0</v>
      </c>
      <c r="J868" s="1444">
        <v>0</v>
      </c>
      <c r="K868" s="1476"/>
      <c r="L868" s="1476"/>
      <c r="M868" s="1476">
        <f t="shared" si="131"/>
        <v>0</v>
      </c>
      <c r="N868" s="1476">
        <f t="shared" si="130"/>
        <v>0</v>
      </c>
    </row>
    <row r="869" spans="1:14" ht="15.5" outlineLevel="1">
      <c r="A869" s="1455">
        <f t="shared" si="133"/>
        <v>6.1</v>
      </c>
      <c r="B869" s="1455" t="str">
        <f t="shared" si="133"/>
        <v>Procurement of HT Motors of various ratings at 2x500MW.</v>
      </c>
      <c r="C869" s="1475">
        <f t="shared" si="133"/>
        <v>0</v>
      </c>
      <c r="D869" s="1473" t="str">
        <f t="shared" si="133"/>
        <v>-</v>
      </c>
      <c r="E869" s="1476">
        <f t="shared" si="133"/>
        <v>0</v>
      </c>
      <c r="F869" s="1444">
        <f t="shared" si="127"/>
        <v>0</v>
      </c>
      <c r="G869" s="1444">
        <f t="shared" si="128"/>
        <v>0</v>
      </c>
      <c r="H869" s="1476">
        <f t="shared" si="129"/>
        <v>0</v>
      </c>
      <c r="I869" s="1444">
        <v>0</v>
      </c>
      <c r="J869" s="1444">
        <v>0</v>
      </c>
      <c r="K869" s="1476"/>
      <c r="L869" s="1476"/>
      <c r="M869" s="1476">
        <f t="shared" si="131"/>
        <v>0</v>
      </c>
      <c r="N869" s="1476">
        <f t="shared" si="130"/>
        <v>0</v>
      </c>
    </row>
    <row r="870" spans="1:14" ht="15.5" outlineLevel="1">
      <c r="A870" s="1455">
        <f t="shared" si="133"/>
        <v>6.2</v>
      </c>
      <c r="B870" s="1455" t="str">
        <f t="shared" si="133"/>
        <v>Procurement of Dry type transformers of varoius ratings at 2x500MW.</v>
      </c>
      <c r="C870" s="1475">
        <f t="shared" si="133"/>
        <v>0</v>
      </c>
      <c r="D870" s="1473" t="str">
        <f t="shared" si="133"/>
        <v>-</v>
      </c>
      <c r="E870" s="1476">
        <f t="shared" si="133"/>
        <v>0</v>
      </c>
      <c r="F870" s="1444">
        <f t="shared" si="127"/>
        <v>0</v>
      </c>
      <c r="G870" s="1444">
        <f t="shared" si="128"/>
        <v>0</v>
      </c>
      <c r="H870" s="1476">
        <f t="shared" si="129"/>
        <v>0</v>
      </c>
      <c r="I870" s="1444">
        <v>0</v>
      </c>
      <c r="J870" s="1444">
        <v>0</v>
      </c>
      <c r="K870" s="1476"/>
      <c r="L870" s="1476"/>
      <c r="M870" s="1476">
        <f t="shared" si="131"/>
        <v>0</v>
      </c>
      <c r="N870" s="1476">
        <f t="shared" si="130"/>
        <v>0</v>
      </c>
    </row>
    <row r="871" spans="1:14" ht="15.5" outlineLevel="1">
      <c r="A871" s="1455">
        <f t="shared" si="133"/>
        <v>6.3</v>
      </c>
      <c r="B871" s="1455" t="str">
        <f t="shared" si="133"/>
        <v>Procurement of Inverter and converter trolleys of GEHO Pump at 2x500MW.</v>
      </c>
      <c r="C871" s="1475">
        <f t="shared" si="133"/>
        <v>0</v>
      </c>
      <c r="D871" s="1473" t="str">
        <f t="shared" si="133"/>
        <v>-</v>
      </c>
      <c r="E871" s="1476">
        <f t="shared" si="133"/>
        <v>0</v>
      </c>
      <c r="F871" s="1444">
        <f t="shared" si="127"/>
        <v>0</v>
      </c>
      <c r="G871" s="1444">
        <f t="shared" si="128"/>
        <v>0</v>
      </c>
      <c r="H871" s="1476">
        <f t="shared" si="129"/>
        <v>0</v>
      </c>
      <c r="I871" s="1444">
        <v>0</v>
      </c>
      <c r="J871" s="1444">
        <v>0</v>
      </c>
      <c r="K871" s="1476"/>
      <c r="L871" s="1476"/>
      <c r="M871" s="1476">
        <f t="shared" si="131"/>
        <v>0</v>
      </c>
      <c r="N871" s="1476">
        <f t="shared" si="130"/>
        <v>0</v>
      </c>
    </row>
    <row r="872" spans="1:14" ht="31" outlineLevel="1">
      <c r="A872" s="1455">
        <f t="shared" si="133"/>
        <v>6.4</v>
      </c>
      <c r="B872" s="1455" t="str">
        <f t="shared" si="133"/>
        <v>Procurement of Vacuum Contactors of various ratings for  HT Switchgears  at BTPS 2x500MW.</v>
      </c>
      <c r="C872" s="1475">
        <f t="shared" si="133"/>
        <v>0</v>
      </c>
      <c r="D872" s="1473" t="str">
        <f t="shared" si="133"/>
        <v>-</v>
      </c>
      <c r="E872" s="1476">
        <f t="shared" si="133"/>
        <v>0</v>
      </c>
      <c r="F872" s="1444">
        <f t="shared" si="127"/>
        <v>0</v>
      </c>
      <c r="G872" s="1444">
        <f t="shared" si="128"/>
        <v>0</v>
      </c>
      <c r="H872" s="1476">
        <f t="shared" si="129"/>
        <v>0</v>
      </c>
      <c r="I872" s="1444">
        <v>0</v>
      </c>
      <c r="J872" s="1444">
        <v>0</v>
      </c>
      <c r="K872" s="1476"/>
      <c r="L872" s="1476"/>
      <c r="M872" s="1476">
        <f t="shared" si="131"/>
        <v>0</v>
      </c>
      <c r="N872" s="1476">
        <f t="shared" si="130"/>
        <v>0</v>
      </c>
    </row>
    <row r="873" spans="1:14" ht="31" outlineLevel="1">
      <c r="A873" s="1455">
        <f t="shared" si="133"/>
        <v>6.5</v>
      </c>
      <c r="B873" s="1455" t="str">
        <f t="shared" si="133"/>
        <v>Supply, erection, commissioning &amp; site testing of 360V, 750 AH Station UPS Battery Sets  along with accessories for Unit No.4 at BTPS 2x500MW’.</v>
      </c>
      <c r="C873" s="1475">
        <f t="shared" si="133"/>
        <v>0</v>
      </c>
      <c r="D873" s="1473" t="str">
        <f t="shared" si="133"/>
        <v>-</v>
      </c>
      <c r="E873" s="1476">
        <f t="shared" si="133"/>
        <v>0</v>
      </c>
      <c r="F873" s="1444">
        <f t="shared" si="127"/>
        <v>0</v>
      </c>
      <c r="G873" s="1444">
        <f t="shared" si="128"/>
        <v>0</v>
      </c>
      <c r="H873" s="1476">
        <f t="shared" si="129"/>
        <v>0</v>
      </c>
      <c r="I873" s="1444">
        <v>0</v>
      </c>
      <c r="J873" s="1444">
        <v>0</v>
      </c>
      <c r="K873" s="1476"/>
      <c r="L873" s="1476"/>
      <c r="M873" s="1476">
        <f t="shared" si="131"/>
        <v>0</v>
      </c>
      <c r="N873" s="1476">
        <f t="shared" si="130"/>
        <v>0</v>
      </c>
    </row>
    <row r="874" spans="1:14" ht="15.5" outlineLevel="1">
      <c r="A874" s="1455">
        <f t="shared" si="133"/>
        <v>6.6</v>
      </c>
      <c r="B874" s="1455" t="str">
        <f t="shared" si="133"/>
        <v>Updragation of Sox-Nox analyzer,PM analyzer, ETP analyzer at BTPS 2X500MW.</v>
      </c>
      <c r="C874" s="1475">
        <f t="shared" si="133"/>
        <v>0</v>
      </c>
      <c r="D874" s="1473" t="str">
        <f t="shared" si="133"/>
        <v>-</v>
      </c>
      <c r="E874" s="1476">
        <f t="shared" si="133"/>
        <v>0</v>
      </c>
      <c r="F874" s="1444">
        <f t="shared" si="127"/>
        <v>0</v>
      </c>
      <c r="G874" s="1444">
        <f t="shared" si="128"/>
        <v>0</v>
      </c>
      <c r="H874" s="1476">
        <f t="shared" si="129"/>
        <v>0</v>
      </c>
      <c r="I874" s="1444">
        <v>0</v>
      </c>
      <c r="J874" s="1444">
        <v>0</v>
      </c>
      <c r="K874" s="1476"/>
      <c r="L874" s="1476"/>
      <c r="M874" s="1476">
        <f t="shared" si="131"/>
        <v>0</v>
      </c>
      <c r="N874" s="1476">
        <f t="shared" si="130"/>
        <v>0</v>
      </c>
    </row>
    <row r="875" spans="1:14" ht="15.5" outlineLevel="1">
      <c r="A875" s="1455">
        <f t="shared" si="133"/>
        <v>6.7</v>
      </c>
      <c r="B875" s="1455" t="str">
        <f t="shared" si="133"/>
        <v>Upgradation of O2 analyzer at BTPS 2X500MW</v>
      </c>
      <c r="C875" s="1475">
        <f t="shared" si="133"/>
        <v>0</v>
      </c>
      <c r="D875" s="1473" t="str">
        <f t="shared" si="133"/>
        <v>-</v>
      </c>
      <c r="E875" s="1476">
        <f t="shared" si="133"/>
        <v>0</v>
      </c>
      <c r="F875" s="1444">
        <f t="shared" si="127"/>
        <v>0</v>
      </c>
      <c r="G875" s="1444">
        <f t="shared" si="128"/>
        <v>0</v>
      </c>
      <c r="H875" s="1476">
        <f t="shared" si="129"/>
        <v>0</v>
      </c>
      <c r="I875" s="1444">
        <v>0</v>
      </c>
      <c r="J875" s="1444">
        <v>0</v>
      </c>
      <c r="K875" s="1476"/>
      <c r="L875" s="1476"/>
      <c r="M875" s="1476">
        <f t="shared" si="131"/>
        <v>0</v>
      </c>
      <c r="N875" s="1476">
        <f t="shared" si="130"/>
        <v>0</v>
      </c>
    </row>
    <row r="876" spans="1:14" ht="31" outlineLevel="1">
      <c r="A876" s="1455">
        <f t="shared" ref="A876:E891" si="134">A646</f>
        <v>6.8</v>
      </c>
      <c r="B876" s="1455" t="str">
        <f t="shared" si="134"/>
        <v>Revamping &amp; Upgradation Of Vibration Monitoring Rack From VM7 TO VM7B at BTPS 2X500MW</v>
      </c>
      <c r="C876" s="1475">
        <f t="shared" si="134"/>
        <v>0</v>
      </c>
      <c r="D876" s="1473" t="str">
        <f t="shared" si="134"/>
        <v>-</v>
      </c>
      <c r="E876" s="1476">
        <f t="shared" si="134"/>
        <v>0</v>
      </c>
      <c r="F876" s="1444">
        <f t="shared" si="127"/>
        <v>0</v>
      </c>
      <c r="G876" s="1444">
        <f t="shared" si="128"/>
        <v>0</v>
      </c>
      <c r="H876" s="1476">
        <f t="shared" si="129"/>
        <v>0</v>
      </c>
      <c r="I876" s="1444">
        <v>0</v>
      </c>
      <c r="J876" s="1444">
        <v>0</v>
      </c>
      <c r="K876" s="1476"/>
      <c r="L876" s="1476"/>
      <c r="M876" s="1476">
        <f t="shared" si="131"/>
        <v>0</v>
      </c>
      <c r="N876" s="1476">
        <f t="shared" si="130"/>
        <v>0</v>
      </c>
    </row>
    <row r="877" spans="1:14" ht="15.5" outlineLevel="1">
      <c r="A877" s="1455">
        <f t="shared" si="134"/>
        <v>6.9</v>
      </c>
      <c r="B877" s="1455" t="str">
        <f t="shared" si="134"/>
        <v>Procurement &amp; Installation of High Mast towers in various location in BTPS</v>
      </c>
      <c r="C877" s="1475">
        <f t="shared" si="134"/>
        <v>0</v>
      </c>
      <c r="D877" s="1473" t="str">
        <f t="shared" si="134"/>
        <v>-</v>
      </c>
      <c r="E877" s="1476">
        <f t="shared" si="134"/>
        <v>0</v>
      </c>
      <c r="F877" s="1444">
        <f t="shared" si="127"/>
        <v>0</v>
      </c>
      <c r="G877" s="1444">
        <f t="shared" si="128"/>
        <v>0</v>
      </c>
      <c r="H877" s="1476">
        <f t="shared" si="129"/>
        <v>0</v>
      </c>
      <c r="I877" s="1444">
        <v>0</v>
      </c>
      <c r="J877" s="1444">
        <v>0</v>
      </c>
      <c r="K877" s="1476"/>
      <c r="L877" s="1476"/>
      <c r="M877" s="1476">
        <f t="shared" si="131"/>
        <v>0</v>
      </c>
      <c r="N877" s="1476">
        <f t="shared" si="130"/>
        <v>0</v>
      </c>
    </row>
    <row r="878" spans="1:14" ht="31" outlineLevel="1">
      <c r="A878" s="1455">
        <f t="shared" si="134"/>
        <v>6.1</v>
      </c>
      <c r="B878" s="1455" t="str">
        <f t="shared" si="134"/>
        <v>Renovation and Modification of Colony Electric Supply System to improve availability and reliability of supply system at BTPS Colony, Deepnagar</v>
      </c>
      <c r="C878" s="1475">
        <f t="shared" si="134"/>
        <v>0</v>
      </c>
      <c r="D878" s="1473" t="str">
        <f t="shared" si="134"/>
        <v>-</v>
      </c>
      <c r="E878" s="1476">
        <f t="shared" si="134"/>
        <v>0</v>
      </c>
      <c r="F878" s="1444">
        <f t="shared" si="127"/>
        <v>0</v>
      </c>
      <c r="G878" s="1444">
        <f t="shared" si="128"/>
        <v>0</v>
      </c>
      <c r="H878" s="1476">
        <f t="shared" si="129"/>
        <v>0</v>
      </c>
      <c r="I878" s="1444">
        <v>0</v>
      </c>
      <c r="J878" s="1444">
        <v>0</v>
      </c>
      <c r="K878" s="1476"/>
      <c r="L878" s="1476"/>
      <c r="M878" s="1476">
        <f t="shared" si="131"/>
        <v>0</v>
      </c>
      <c r="N878" s="1476">
        <f t="shared" si="130"/>
        <v>0</v>
      </c>
    </row>
    <row r="879" spans="1:14" ht="31" outlineLevel="1">
      <c r="A879" s="1455">
        <f t="shared" si="134"/>
        <v>6.11</v>
      </c>
      <c r="B879" s="1455" t="str">
        <f t="shared" si="134"/>
        <v>Work of  Overhauling repairs of U-5 350KW BCWP motor of M/s Torishima make at BTPS 2x500MW.</v>
      </c>
      <c r="C879" s="1475">
        <f t="shared" si="134"/>
        <v>0</v>
      </c>
      <c r="D879" s="1473" t="str">
        <f t="shared" si="134"/>
        <v>-</v>
      </c>
      <c r="E879" s="1476">
        <f t="shared" si="134"/>
        <v>0</v>
      </c>
      <c r="F879" s="1444">
        <f t="shared" si="127"/>
        <v>0</v>
      </c>
      <c r="G879" s="1444">
        <f t="shared" si="128"/>
        <v>0</v>
      </c>
      <c r="H879" s="1476">
        <f t="shared" si="129"/>
        <v>0</v>
      </c>
      <c r="I879" s="1444">
        <v>0</v>
      </c>
      <c r="J879" s="1444">
        <v>0</v>
      </c>
      <c r="K879" s="1476"/>
      <c r="L879" s="1476"/>
      <c r="M879" s="1476">
        <f t="shared" si="131"/>
        <v>0</v>
      </c>
      <c r="N879" s="1476">
        <f t="shared" si="130"/>
        <v>0</v>
      </c>
    </row>
    <row r="880" spans="1:14" ht="15.5" outlineLevel="1">
      <c r="A880" s="1457">
        <f t="shared" si="134"/>
        <v>0</v>
      </c>
      <c r="B880" s="1457" t="str">
        <f t="shared" si="134"/>
        <v xml:space="preserve">FY 2028-29 </v>
      </c>
      <c r="C880" s="1475">
        <f t="shared" si="134"/>
        <v>0</v>
      </c>
      <c r="D880" s="1473" t="str">
        <f t="shared" si="134"/>
        <v>-</v>
      </c>
      <c r="E880" s="1476">
        <f t="shared" si="134"/>
        <v>0</v>
      </c>
      <c r="F880" s="1444">
        <f t="shared" si="127"/>
        <v>0</v>
      </c>
      <c r="G880" s="1444">
        <f t="shared" si="128"/>
        <v>0</v>
      </c>
      <c r="H880" s="1476">
        <f t="shared" si="129"/>
        <v>0</v>
      </c>
      <c r="I880" s="1444">
        <v>0</v>
      </c>
      <c r="J880" s="1444">
        <v>0</v>
      </c>
      <c r="K880" s="1476"/>
      <c r="L880" s="1476"/>
      <c r="M880" s="1476">
        <f t="shared" si="131"/>
        <v>0</v>
      </c>
      <c r="N880" s="1476">
        <f t="shared" si="130"/>
        <v>0</v>
      </c>
    </row>
    <row r="881" spans="1:14" ht="31" outlineLevel="1">
      <c r="A881" s="1458">
        <f t="shared" si="134"/>
        <v>1</v>
      </c>
      <c r="B881" s="1459" t="str">
        <f t="shared" si="134"/>
        <v>APH baskets with main drive Gear box and lub oil skids with motor at 2x500MW BTPS</v>
      </c>
      <c r="C881" s="1475">
        <f t="shared" si="134"/>
        <v>0</v>
      </c>
      <c r="D881" s="1473" t="str">
        <f t="shared" si="134"/>
        <v>-</v>
      </c>
      <c r="E881" s="1476">
        <f t="shared" si="134"/>
        <v>0</v>
      </c>
      <c r="F881" s="1444">
        <f t="shared" si="127"/>
        <v>0</v>
      </c>
      <c r="G881" s="1444">
        <f t="shared" si="128"/>
        <v>0</v>
      </c>
      <c r="H881" s="1476">
        <f t="shared" si="129"/>
        <v>0</v>
      </c>
      <c r="I881" s="1444">
        <v>0</v>
      </c>
      <c r="J881" s="1444">
        <v>0</v>
      </c>
      <c r="K881" s="1476"/>
      <c r="L881" s="1476"/>
      <c r="M881" s="1476">
        <f t="shared" si="131"/>
        <v>0</v>
      </c>
      <c r="N881" s="1476">
        <f t="shared" si="130"/>
        <v>0</v>
      </c>
    </row>
    <row r="882" spans="1:14" ht="31" outlineLevel="1">
      <c r="A882" s="1455">
        <f t="shared" si="134"/>
        <v>1.1000000000000001</v>
      </c>
      <c r="B882" s="1455" t="str">
        <f t="shared" si="134"/>
        <v>APH baskets with main drive Gear box and lub oil skids with motor at 2x500MW BTPS</v>
      </c>
      <c r="C882" s="1475">
        <f t="shared" si="134"/>
        <v>0</v>
      </c>
      <c r="D882" s="1473" t="str">
        <f t="shared" si="134"/>
        <v>-</v>
      </c>
      <c r="E882" s="1476">
        <f t="shared" si="134"/>
        <v>0</v>
      </c>
      <c r="F882" s="1444">
        <f t="shared" si="127"/>
        <v>0</v>
      </c>
      <c r="G882" s="1444">
        <f t="shared" si="128"/>
        <v>0</v>
      </c>
      <c r="H882" s="1476">
        <f t="shared" si="129"/>
        <v>0</v>
      </c>
      <c r="I882" s="1444">
        <v>0</v>
      </c>
      <c r="J882" s="1444">
        <v>0</v>
      </c>
      <c r="K882" s="1476"/>
      <c r="L882" s="1476"/>
      <c r="M882" s="1476">
        <f t="shared" si="131"/>
        <v>0</v>
      </c>
      <c r="N882" s="1476">
        <f t="shared" si="130"/>
        <v>0</v>
      </c>
    </row>
    <row r="883" spans="1:14" ht="31" outlineLevel="1">
      <c r="A883" s="1458">
        <f t="shared" si="134"/>
        <v>2</v>
      </c>
      <c r="B883" s="1459" t="str">
        <f t="shared" si="134"/>
        <v>Detail Project Report for  Design, Engineering, Supply, Installation and commissioning of 1500TPH Stacker cum re-claimer in Coal Handling Plant-BTPS.</v>
      </c>
      <c r="C883" s="1475">
        <f t="shared" si="134"/>
        <v>0</v>
      </c>
      <c r="D883" s="1473" t="str">
        <f t="shared" si="134"/>
        <v>-</v>
      </c>
      <c r="E883" s="1476">
        <f t="shared" si="134"/>
        <v>0</v>
      </c>
      <c r="F883" s="1444">
        <f t="shared" si="127"/>
        <v>0</v>
      </c>
      <c r="G883" s="1444">
        <f t="shared" si="128"/>
        <v>0</v>
      </c>
      <c r="H883" s="1476">
        <f t="shared" si="129"/>
        <v>0</v>
      </c>
      <c r="I883" s="1444">
        <v>0</v>
      </c>
      <c r="J883" s="1444">
        <v>0</v>
      </c>
      <c r="K883" s="1476"/>
      <c r="L883" s="1476"/>
      <c r="M883" s="1476">
        <f t="shared" si="131"/>
        <v>0</v>
      </c>
      <c r="N883" s="1476">
        <f t="shared" si="130"/>
        <v>0</v>
      </c>
    </row>
    <row r="884" spans="1:14" ht="31" outlineLevel="1">
      <c r="A884" s="1455">
        <f t="shared" si="134"/>
        <v>2.1</v>
      </c>
      <c r="B884" s="1455" t="str">
        <f t="shared" si="134"/>
        <v>Design, Engineering, Supply, Installation and commissioning of 1500TPH Stacker cum re-claimer in Coal Handling Plant-BTPS.</v>
      </c>
      <c r="C884" s="1475">
        <f t="shared" si="134"/>
        <v>0</v>
      </c>
      <c r="D884" s="1473" t="str">
        <f t="shared" si="134"/>
        <v>-</v>
      </c>
      <c r="E884" s="1476">
        <f t="shared" si="134"/>
        <v>0</v>
      </c>
      <c r="F884" s="1444">
        <f t="shared" si="127"/>
        <v>0</v>
      </c>
      <c r="G884" s="1444">
        <f t="shared" si="128"/>
        <v>0</v>
      </c>
      <c r="H884" s="1476">
        <f t="shared" si="129"/>
        <v>0</v>
      </c>
      <c r="I884" s="1444">
        <v>0</v>
      </c>
      <c r="J884" s="1444">
        <v>0</v>
      </c>
      <c r="K884" s="1476"/>
      <c r="L884" s="1476"/>
      <c r="M884" s="1476">
        <f t="shared" si="131"/>
        <v>0</v>
      </c>
      <c r="N884" s="1476">
        <f t="shared" si="130"/>
        <v>0</v>
      </c>
    </row>
    <row r="885" spans="1:14" ht="15.5" outlineLevel="1">
      <c r="A885" s="1458">
        <f t="shared" si="134"/>
        <v>3</v>
      </c>
      <c r="B885" s="1459" t="str">
        <f t="shared" si="134"/>
        <v>Enhancement of Unloading &amp; Stacking Capacity of CHP.</v>
      </c>
      <c r="C885" s="1475">
        <f t="shared" si="134"/>
        <v>0</v>
      </c>
      <c r="D885" s="1473" t="str">
        <f t="shared" si="134"/>
        <v>-</v>
      </c>
      <c r="E885" s="1476">
        <f t="shared" si="134"/>
        <v>0</v>
      </c>
      <c r="F885" s="1444">
        <f t="shared" si="127"/>
        <v>0</v>
      </c>
      <c r="G885" s="1444">
        <f t="shared" si="128"/>
        <v>0</v>
      </c>
      <c r="H885" s="1476">
        <f t="shared" si="129"/>
        <v>0</v>
      </c>
      <c r="I885" s="1444">
        <v>0</v>
      </c>
      <c r="J885" s="1444">
        <v>0</v>
      </c>
      <c r="K885" s="1476"/>
      <c r="L885" s="1476"/>
      <c r="M885" s="1476">
        <f t="shared" si="131"/>
        <v>0</v>
      </c>
      <c r="N885" s="1476">
        <f t="shared" si="130"/>
        <v>0</v>
      </c>
    </row>
    <row r="886" spans="1:14" ht="31" outlineLevel="1">
      <c r="A886" s="1455">
        <f t="shared" si="134"/>
        <v>3.1</v>
      </c>
      <c r="B886" s="1455" t="str">
        <f t="shared" si="134"/>
        <v>Design Supply errection &amp; Comissioning of Open Wagon Tippler along with stacking and reclaiming yard conveyors at CHP stack yard.</v>
      </c>
      <c r="C886" s="1475">
        <f t="shared" si="134"/>
        <v>0</v>
      </c>
      <c r="D886" s="1473" t="str">
        <f t="shared" si="134"/>
        <v>-</v>
      </c>
      <c r="E886" s="1476">
        <f t="shared" si="134"/>
        <v>0</v>
      </c>
      <c r="F886" s="1444">
        <f t="shared" si="127"/>
        <v>0</v>
      </c>
      <c r="G886" s="1444">
        <f t="shared" si="128"/>
        <v>0</v>
      </c>
      <c r="H886" s="1476">
        <f t="shared" si="129"/>
        <v>0</v>
      </c>
      <c r="I886" s="1444">
        <v>0</v>
      </c>
      <c r="J886" s="1444">
        <v>0</v>
      </c>
      <c r="K886" s="1476"/>
      <c r="L886" s="1476"/>
      <c r="M886" s="1476">
        <f t="shared" si="131"/>
        <v>0</v>
      </c>
      <c r="N886" s="1476">
        <f t="shared" si="130"/>
        <v>0</v>
      </c>
    </row>
    <row r="887" spans="1:14" ht="15.5" outlineLevel="1">
      <c r="A887" s="1457">
        <f t="shared" si="134"/>
        <v>0</v>
      </c>
      <c r="B887" s="1457" t="str">
        <f t="shared" si="134"/>
        <v>FY 2029-30</v>
      </c>
      <c r="C887" s="1475">
        <f t="shared" si="134"/>
        <v>0</v>
      </c>
      <c r="D887" s="1473" t="str">
        <f t="shared" si="134"/>
        <v>-</v>
      </c>
      <c r="E887" s="1476">
        <f t="shared" si="134"/>
        <v>0</v>
      </c>
      <c r="F887" s="1444">
        <f t="shared" si="127"/>
        <v>0</v>
      </c>
      <c r="G887" s="1444">
        <f t="shared" si="128"/>
        <v>0</v>
      </c>
      <c r="H887" s="1476">
        <f t="shared" si="129"/>
        <v>0</v>
      </c>
      <c r="I887" s="1444">
        <v>0</v>
      </c>
      <c r="J887" s="1444">
        <v>0</v>
      </c>
      <c r="K887" s="1476"/>
      <c r="L887" s="1476"/>
      <c r="M887" s="1476">
        <f t="shared" si="131"/>
        <v>0</v>
      </c>
      <c r="N887" s="1476">
        <f t="shared" si="130"/>
        <v>0</v>
      </c>
    </row>
    <row r="888" spans="1:14" ht="31" outlineLevel="1">
      <c r="A888" s="1458">
        <f t="shared" si="134"/>
        <v>1</v>
      </c>
      <c r="B888" s="1459" t="str">
        <f t="shared" si="134"/>
        <v>Coal Mill Performance Improvement and Life Enhancement of BHEL Make XRP-1043 Coal Mills in 2x500 MW BTPS.</v>
      </c>
      <c r="C888" s="1475">
        <f t="shared" si="134"/>
        <v>0</v>
      </c>
      <c r="D888" s="1473" t="str">
        <f t="shared" si="134"/>
        <v>-</v>
      </c>
      <c r="E888" s="1476">
        <f t="shared" si="134"/>
        <v>0</v>
      </c>
      <c r="F888" s="1444">
        <f t="shared" si="127"/>
        <v>0</v>
      </c>
      <c r="G888" s="1444">
        <f t="shared" si="128"/>
        <v>0</v>
      </c>
      <c r="H888" s="1476">
        <f t="shared" si="129"/>
        <v>0</v>
      </c>
      <c r="I888" s="1444">
        <v>0</v>
      </c>
      <c r="J888" s="1444">
        <v>0</v>
      </c>
      <c r="K888" s="1476"/>
      <c r="L888" s="1476"/>
      <c r="M888" s="1476">
        <f t="shared" si="131"/>
        <v>0</v>
      </c>
      <c r="N888" s="1476">
        <f t="shared" si="130"/>
        <v>0</v>
      </c>
    </row>
    <row r="889" spans="1:14" ht="31" outlineLevel="1">
      <c r="A889" s="1455">
        <f t="shared" si="134"/>
        <v>1.1000000000000001</v>
      </c>
      <c r="B889" s="1455" t="str">
        <f t="shared" si="134"/>
        <v>Coal Mill Performance Improvement and Life Enhancement of BHEL Make XRP-1043 Coal Mills in 2x500 MW BTPS.</v>
      </c>
      <c r="C889" s="1475">
        <f t="shared" si="134"/>
        <v>0</v>
      </c>
      <c r="D889" s="1473" t="str">
        <f t="shared" si="134"/>
        <v>-</v>
      </c>
      <c r="E889" s="1476">
        <f t="shared" si="134"/>
        <v>0</v>
      </c>
      <c r="F889" s="1444">
        <f t="shared" si="127"/>
        <v>0</v>
      </c>
      <c r="G889" s="1444">
        <f t="shared" si="128"/>
        <v>0</v>
      </c>
      <c r="H889" s="1476">
        <f t="shared" si="129"/>
        <v>0</v>
      </c>
      <c r="I889" s="1444">
        <v>0</v>
      </c>
      <c r="J889" s="1444">
        <v>0</v>
      </c>
      <c r="K889" s="1476"/>
      <c r="L889" s="1476"/>
      <c r="M889" s="1476">
        <f t="shared" si="131"/>
        <v>0</v>
      </c>
      <c r="N889" s="1476">
        <f t="shared" si="130"/>
        <v>0</v>
      </c>
    </row>
    <row r="890" spans="1:14" ht="15.5" outlineLevel="1">
      <c r="A890" s="1458">
        <f t="shared" si="134"/>
        <v>2</v>
      </c>
      <c r="B890" s="1459" t="str">
        <f t="shared" si="134"/>
        <v>Upgradation rail  track in CHP -BTPS</v>
      </c>
      <c r="C890" s="1475">
        <f t="shared" si="134"/>
        <v>0</v>
      </c>
      <c r="D890" s="1473" t="str">
        <f t="shared" si="134"/>
        <v>-</v>
      </c>
      <c r="E890" s="1476">
        <f t="shared" si="134"/>
        <v>0</v>
      </c>
      <c r="F890" s="1444">
        <f t="shared" si="127"/>
        <v>0</v>
      </c>
      <c r="G890" s="1444">
        <f t="shared" si="128"/>
        <v>0</v>
      </c>
      <c r="H890" s="1476">
        <f t="shared" si="129"/>
        <v>0</v>
      </c>
      <c r="I890" s="1444">
        <v>0</v>
      </c>
      <c r="J890" s="1444">
        <v>0</v>
      </c>
      <c r="K890" s="1476"/>
      <c r="L890" s="1476"/>
      <c r="M890" s="1476">
        <f t="shared" si="131"/>
        <v>0</v>
      </c>
      <c r="N890" s="1476">
        <f t="shared" si="130"/>
        <v>0</v>
      </c>
    </row>
    <row r="891" spans="1:14" ht="15.5" outlineLevel="1">
      <c r="A891" s="1455">
        <f t="shared" si="134"/>
        <v>2.1</v>
      </c>
      <c r="B891" s="1455" t="str">
        <f t="shared" si="134"/>
        <v>Revamping and Upgradation of rail track from 52KG to 60KG in CHP-BTPS.</v>
      </c>
      <c r="C891" s="1475">
        <f t="shared" si="134"/>
        <v>0</v>
      </c>
      <c r="D891" s="1473" t="str">
        <f t="shared" si="134"/>
        <v>-</v>
      </c>
      <c r="E891" s="1476">
        <f t="shared" si="134"/>
        <v>0</v>
      </c>
      <c r="F891" s="1444">
        <f t="shared" si="127"/>
        <v>0</v>
      </c>
      <c r="G891" s="1444">
        <f t="shared" si="128"/>
        <v>0</v>
      </c>
      <c r="H891" s="1476">
        <f t="shared" si="129"/>
        <v>0</v>
      </c>
      <c r="I891" s="1444">
        <v>0</v>
      </c>
      <c r="J891" s="1444">
        <v>0</v>
      </c>
      <c r="K891" s="1476"/>
      <c r="L891" s="1476"/>
      <c r="M891" s="1476">
        <f t="shared" si="131"/>
        <v>0</v>
      </c>
      <c r="N891" s="1476">
        <f t="shared" si="130"/>
        <v>0</v>
      </c>
    </row>
    <row r="892" spans="1:14" ht="15.5" outlineLevel="1">
      <c r="A892" s="1455">
        <f t="shared" ref="A892:E907" si="135">A662</f>
        <v>0</v>
      </c>
      <c r="B892" s="1455">
        <f t="shared" si="135"/>
        <v>0</v>
      </c>
      <c r="C892" s="1475">
        <f t="shared" si="135"/>
        <v>0</v>
      </c>
      <c r="D892" s="1473" t="str">
        <f t="shared" si="135"/>
        <v>-</v>
      </c>
      <c r="E892" s="1476">
        <f t="shared" si="135"/>
        <v>0</v>
      </c>
      <c r="F892" s="1444">
        <f t="shared" ref="F892:F924" si="136">F662+I662</f>
        <v>0</v>
      </c>
      <c r="G892" s="1444">
        <f t="shared" ref="G892:G924" si="137">G662+M662</f>
        <v>0</v>
      </c>
      <c r="H892" s="1476">
        <f t="shared" si="129"/>
        <v>0</v>
      </c>
      <c r="I892" s="1444">
        <v>0</v>
      </c>
      <c r="J892" s="1444">
        <v>0</v>
      </c>
      <c r="K892" s="1476"/>
      <c r="L892" s="1476"/>
      <c r="M892" s="1476">
        <f t="shared" si="131"/>
        <v>0</v>
      </c>
      <c r="N892" s="1476">
        <f t="shared" si="130"/>
        <v>0</v>
      </c>
    </row>
    <row r="893" spans="1:14" ht="15.5" outlineLevel="1">
      <c r="A893" s="1456">
        <f t="shared" si="135"/>
        <v>0</v>
      </c>
      <c r="B893" s="1456" t="str">
        <f t="shared" si="135"/>
        <v>B) Non-DPR Schemes</v>
      </c>
      <c r="C893" s="1475">
        <f t="shared" si="135"/>
        <v>0</v>
      </c>
      <c r="D893" s="1473" t="str">
        <f t="shared" si="135"/>
        <v>-</v>
      </c>
      <c r="E893" s="1476">
        <f t="shared" si="135"/>
        <v>0</v>
      </c>
      <c r="F893" s="1444">
        <f t="shared" si="136"/>
        <v>0</v>
      </c>
      <c r="G893" s="1444">
        <f t="shared" si="137"/>
        <v>0</v>
      </c>
      <c r="H893" s="1476">
        <f t="shared" si="129"/>
        <v>0</v>
      </c>
      <c r="I893" s="1444">
        <v>0</v>
      </c>
      <c r="J893" s="1444">
        <v>0</v>
      </c>
      <c r="K893" s="1476"/>
      <c r="L893" s="1476"/>
      <c r="M893" s="1476">
        <f t="shared" si="131"/>
        <v>0</v>
      </c>
      <c r="N893" s="1476">
        <f t="shared" si="130"/>
        <v>0</v>
      </c>
    </row>
    <row r="894" spans="1:14" ht="15.5" outlineLevel="1">
      <c r="A894" s="1454">
        <f t="shared" si="135"/>
        <v>1</v>
      </c>
      <c r="B894" s="1454" t="str">
        <f t="shared" si="135"/>
        <v>Contract for modification of Wobbler feeder in CHP-2X500MW</v>
      </c>
      <c r="C894" s="1475">
        <f t="shared" si="135"/>
        <v>0</v>
      </c>
      <c r="D894" s="1473" t="str">
        <f t="shared" si="135"/>
        <v>-</v>
      </c>
      <c r="E894" s="1476">
        <f t="shared" si="135"/>
        <v>0</v>
      </c>
      <c r="F894" s="1444">
        <f t="shared" si="136"/>
        <v>1.473342572</v>
      </c>
      <c r="G894" s="1444">
        <f t="shared" si="137"/>
        <v>1.473342572</v>
      </c>
      <c r="H894" s="1476">
        <f t="shared" si="129"/>
        <v>0</v>
      </c>
      <c r="I894" s="1444">
        <v>0</v>
      </c>
      <c r="J894" s="1444">
        <v>0</v>
      </c>
      <c r="K894" s="1476"/>
      <c r="L894" s="1476"/>
      <c r="M894" s="1476">
        <f t="shared" si="131"/>
        <v>0</v>
      </c>
      <c r="N894" s="1476">
        <f t="shared" si="130"/>
        <v>0</v>
      </c>
    </row>
    <row r="895" spans="1:14" ht="15.5" outlineLevel="1">
      <c r="A895" s="1454">
        <f t="shared" si="135"/>
        <v>2</v>
      </c>
      <c r="B895" s="1454" t="str">
        <f t="shared" si="135"/>
        <v>Contract for Revamping of Apron Feeder in CHP-2X500MW</v>
      </c>
      <c r="C895" s="1475">
        <f t="shared" si="135"/>
        <v>0</v>
      </c>
      <c r="D895" s="1473" t="str">
        <f t="shared" si="135"/>
        <v>-</v>
      </c>
      <c r="E895" s="1476">
        <f t="shared" si="135"/>
        <v>0</v>
      </c>
      <c r="F895" s="1444">
        <f t="shared" si="136"/>
        <v>2.3246000000000002</v>
      </c>
      <c r="G895" s="1444">
        <f t="shared" si="137"/>
        <v>2.3246000000000002</v>
      </c>
      <c r="H895" s="1476">
        <f t="shared" si="129"/>
        <v>0</v>
      </c>
      <c r="I895" s="1444">
        <v>0</v>
      </c>
      <c r="J895" s="1444">
        <v>0</v>
      </c>
      <c r="K895" s="1476"/>
      <c r="L895" s="1476"/>
      <c r="M895" s="1476">
        <f t="shared" si="131"/>
        <v>0</v>
      </c>
      <c r="N895" s="1476">
        <f t="shared" si="130"/>
        <v>0</v>
      </c>
    </row>
    <row r="896" spans="1:14" ht="31" outlineLevel="1">
      <c r="A896" s="1454">
        <f t="shared" si="135"/>
        <v>3</v>
      </c>
      <c r="B896" s="1454" t="str">
        <f t="shared" si="135"/>
        <v> Procurement of double lip skirt sealing &amp; tracking idler in CHP at 2x500MW, BTPS</v>
      </c>
      <c r="C896" s="1475">
        <f t="shared" si="135"/>
        <v>0</v>
      </c>
      <c r="D896" s="1473" t="str">
        <f t="shared" si="135"/>
        <v>-</v>
      </c>
      <c r="E896" s="1476">
        <f t="shared" si="135"/>
        <v>0</v>
      </c>
      <c r="F896" s="1444">
        <f t="shared" si="136"/>
        <v>0.57024680000000005</v>
      </c>
      <c r="G896" s="1444">
        <f t="shared" si="137"/>
        <v>0.57024680000000005</v>
      </c>
      <c r="H896" s="1476">
        <f t="shared" si="129"/>
        <v>0</v>
      </c>
      <c r="I896" s="1444">
        <v>0</v>
      </c>
      <c r="J896" s="1444">
        <v>0</v>
      </c>
      <c r="K896" s="1476"/>
      <c r="L896" s="1476"/>
      <c r="M896" s="1476">
        <f t="shared" si="131"/>
        <v>0</v>
      </c>
      <c r="N896" s="1476">
        <f t="shared" si="130"/>
        <v>0</v>
      </c>
    </row>
    <row r="897" spans="1:14" ht="15.5" outlineLevel="1">
      <c r="A897" s="1454">
        <f t="shared" si="135"/>
        <v>4</v>
      </c>
      <c r="B897" s="1454" t="str">
        <f t="shared" si="135"/>
        <v>Supply, erection &amp; commissioning of vibrating feeder in CHP at 2x500MW, BTPS</v>
      </c>
      <c r="C897" s="1475">
        <f t="shared" si="135"/>
        <v>0</v>
      </c>
      <c r="D897" s="1473" t="str">
        <f t="shared" si="135"/>
        <v>-</v>
      </c>
      <c r="E897" s="1476">
        <f t="shared" si="135"/>
        <v>0</v>
      </c>
      <c r="F897" s="1444">
        <f t="shared" si="136"/>
        <v>0.57796400000000003</v>
      </c>
      <c r="G897" s="1444">
        <f t="shared" si="137"/>
        <v>0.57796400000000003</v>
      </c>
      <c r="H897" s="1476">
        <f t="shared" si="129"/>
        <v>0</v>
      </c>
      <c r="I897" s="1444">
        <v>0</v>
      </c>
      <c r="J897" s="1444">
        <v>0</v>
      </c>
      <c r="K897" s="1476"/>
      <c r="L897" s="1476"/>
      <c r="M897" s="1476">
        <f t="shared" si="131"/>
        <v>0</v>
      </c>
      <c r="N897" s="1476">
        <f t="shared" si="130"/>
        <v>0</v>
      </c>
    </row>
    <row r="898" spans="1:14" ht="15.5" outlineLevel="1">
      <c r="A898" s="1454">
        <f t="shared" si="135"/>
        <v>5</v>
      </c>
      <c r="B898" s="1454" t="str">
        <f t="shared" si="135"/>
        <v xml:space="preserve"> Coal chutes with extra life wear resistance plates in CHP at 2X500MW</v>
      </c>
      <c r="C898" s="1475">
        <f t="shared" si="135"/>
        <v>0</v>
      </c>
      <c r="D898" s="1473" t="str">
        <f t="shared" si="135"/>
        <v>-</v>
      </c>
      <c r="E898" s="1476">
        <f t="shared" si="135"/>
        <v>0</v>
      </c>
      <c r="F898" s="1444">
        <f t="shared" si="136"/>
        <v>2.0319305000000001</v>
      </c>
      <c r="G898" s="1444">
        <f t="shared" si="137"/>
        <v>2.0319305000000001</v>
      </c>
      <c r="H898" s="1476">
        <f t="shared" si="129"/>
        <v>0</v>
      </c>
      <c r="I898" s="1444">
        <v>0</v>
      </c>
      <c r="J898" s="1444">
        <v>0</v>
      </c>
      <c r="K898" s="1476"/>
      <c r="L898" s="1476"/>
      <c r="M898" s="1476">
        <f t="shared" si="131"/>
        <v>0</v>
      </c>
      <c r="N898" s="1476">
        <f t="shared" si="130"/>
        <v>0</v>
      </c>
    </row>
    <row r="899" spans="1:14" ht="31" outlineLevel="1">
      <c r="A899" s="1454">
        <f t="shared" si="135"/>
        <v>6</v>
      </c>
      <c r="B899" s="1454" t="str">
        <f t="shared" si="135"/>
        <v xml:space="preserve">Epoxy Painting upto all height to structural steel work in main plant boiler side area and CHP area </v>
      </c>
      <c r="C899" s="1475">
        <f t="shared" si="135"/>
        <v>0</v>
      </c>
      <c r="D899" s="1473" t="str">
        <f t="shared" si="135"/>
        <v>-</v>
      </c>
      <c r="E899" s="1476">
        <f t="shared" si="135"/>
        <v>0</v>
      </c>
      <c r="F899" s="1444">
        <f t="shared" si="136"/>
        <v>5.8625346629999999</v>
      </c>
      <c r="G899" s="1444">
        <f t="shared" si="137"/>
        <v>5.8625346629999999</v>
      </c>
      <c r="H899" s="1476">
        <f t="shared" si="129"/>
        <v>0</v>
      </c>
      <c r="I899" s="1444">
        <v>0</v>
      </c>
      <c r="J899" s="1444">
        <v>0</v>
      </c>
      <c r="K899" s="1476"/>
      <c r="L899" s="1476"/>
      <c r="M899" s="1476">
        <f t="shared" si="131"/>
        <v>0</v>
      </c>
      <c r="N899" s="1476">
        <f t="shared" si="130"/>
        <v>0</v>
      </c>
    </row>
    <row r="900" spans="1:14" ht="15.5" outlineLevel="1">
      <c r="A900" s="1454">
        <f t="shared" si="135"/>
        <v>7</v>
      </c>
      <c r="B900" s="1454" t="str">
        <f t="shared" si="135"/>
        <v xml:space="preserve"> Rectification of Belt feeder &amp; Gravity Take-up  in CHP-2X500MW.</v>
      </c>
      <c r="C900" s="1475">
        <f t="shared" si="135"/>
        <v>0</v>
      </c>
      <c r="D900" s="1473" t="str">
        <f t="shared" si="135"/>
        <v>-</v>
      </c>
      <c r="E900" s="1476">
        <f t="shared" si="135"/>
        <v>0</v>
      </c>
      <c r="F900" s="1444">
        <f t="shared" si="136"/>
        <v>1.6478699999999999</v>
      </c>
      <c r="G900" s="1444">
        <f t="shared" si="137"/>
        <v>1.6478699999999999</v>
      </c>
      <c r="H900" s="1476">
        <f t="shared" si="129"/>
        <v>0</v>
      </c>
      <c r="I900" s="1444">
        <v>0</v>
      </c>
      <c r="J900" s="1444">
        <v>0</v>
      </c>
      <c r="K900" s="1476"/>
      <c r="L900" s="1476"/>
      <c r="M900" s="1476">
        <f t="shared" si="131"/>
        <v>0</v>
      </c>
      <c r="N900" s="1476">
        <f t="shared" si="130"/>
        <v>0</v>
      </c>
    </row>
    <row r="901" spans="1:14" ht="15.5" outlineLevel="1">
      <c r="A901" s="1454">
        <f t="shared" si="135"/>
        <v>8</v>
      </c>
      <c r="B901" s="1454" t="str">
        <f t="shared" si="135"/>
        <v>Coal diverting chutes in CHP at 2X500MW.</v>
      </c>
      <c r="C901" s="1475">
        <f t="shared" si="135"/>
        <v>0</v>
      </c>
      <c r="D901" s="1473" t="str">
        <f t="shared" si="135"/>
        <v>-</v>
      </c>
      <c r="E901" s="1476">
        <f t="shared" si="135"/>
        <v>0</v>
      </c>
      <c r="F901" s="1444">
        <f t="shared" si="136"/>
        <v>2.218399056</v>
      </c>
      <c r="G901" s="1444">
        <f t="shared" si="137"/>
        <v>2.218399056</v>
      </c>
      <c r="H901" s="1476">
        <f t="shared" si="129"/>
        <v>0</v>
      </c>
      <c r="I901" s="1444">
        <v>0</v>
      </c>
      <c r="J901" s="1444">
        <v>0</v>
      </c>
      <c r="K901" s="1476"/>
      <c r="L901" s="1476"/>
      <c r="M901" s="1476">
        <f t="shared" si="131"/>
        <v>0</v>
      </c>
      <c r="N901" s="1476">
        <f t="shared" si="130"/>
        <v>0</v>
      </c>
    </row>
    <row r="902" spans="1:14" ht="31" outlineLevel="1">
      <c r="A902" s="1454">
        <f t="shared" si="135"/>
        <v>9</v>
      </c>
      <c r="B902" s="1454" t="str">
        <f t="shared" si="135"/>
        <v>Supply of Conveyor Pulleys with Ceramic lagging at CHP-2X500MW, BTPS, Bhusawal</v>
      </c>
      <c r="C902" s="1475">
        <f t="shared" si="135"/>
        <v>0</v>
      </c>
      <c r="D902" s="1473" t="str">
        <f t="shared" si="135"/>
        <v>-</v>
      </c>
      <c r="E902" s="1476">
        <f t="shared" si="135"/>
        <v>0</v>
      </c>
      <c r="F902" s="1444">
        <f t="shared" si="136"/>
        <v>0.58051280000000005</v>
      </c>
      <c r="G902" s="1444">
        <f t="shared" si="137"/>
        <v>0.58051280000000005</v>
      </c>
      <c r="H902" s="1476">
        <f t="shared" si="129"/>
        <v>0</v>
      </c>
      <c r="I902" s="1444">
        <v>0</v>
      </c>
      <c r="J902" s="1444">
        <v>0</v>
      </c>
      <c r="K902" s="1476"/>
      <c r="L902" s="1476"/>
      <c r="M902" s="1476">
        <f t="shared" si="131"/>
        <v>0</v>
      </c>
      <c r="N902" s="1476">
        <f t="shared" si="130"/>
        <v>0</v>
      </c>
    </row>
    <row r="903" spans="1:14" ht="31" outlineLevel="1">
      <c r="A903" s="1454">
        <f t="shared" si="135"/>
        <v>10</v>
      </c>
      <c r="B903" s="1454" t="str">
        <f t="shared" si="135"/>
        <v xml:space="preserve">Non-DPR Project Report for  Design, Supply,Erection &amp; Commissioning of High Performance Energy Chain System for Side Arm Charger at 2x500 at CHP </v>
      </c>
      <c r="C903" s="1475">
        <f t="shared" si="135"/>
        <v>0</v>
      </c>
      <c r="D903" s="1473" t="str">
        <f t="shared" si="135"/>
        <v>-</v>
      </c>
      <c r="E903" s="1476">
        <f t="shared" si="135"/>
        <v>0</v>
      </c>
      <c r="F903" s="1444">
        <f t="shared" si="136"/>
        <v>1.50150162</v>
      </c>
      <c r="G903" s="1444">
        <f t="shared" si="137"/>
        <v>1.50150162</v>
      </c>
      <c r="H903" s="1476">
        <f t="shared" si="129"/>
        <v>0</v>
      </c>
      <c r="I903" s="1444">
        <v>0</v>
      </c>
      <c r="J903" s="1444">
        <v>0</v>
      </c>
      <c r="K903" s="1476"/>
      <c r="L903" s="1476"/>
      <c r="M903" s="1476">
        <f t="shared" ref="M903:M924" si="138">SUM(J903:L903)</f>
        <v>0</v>
      </c>
      <c r="N903" s="1476">
        <f t="shared" si="130"/>
        <v>0</v>
      </c>
    </row>
    <row r="904" spans="1:14" ht="31" outlineLevel="1">
      <c r="A904" s="1454">
        <f t="shared" si="135"/>
        <v>11</v>
      </c>
      <c r="B904" s="1454" t="str">
        <f t="shared" si="135"/>
        <v>Implementation of Energy Conservation Demonstration Project in buildings of BTPS 2x500MW</v>
      </c>
      <c r="C904" s="1475">
        <f t="shared" si="135"/>
        <v>0</v>
      </c>
      <c r="D904" s="1473" t="str">
        <f t="shared" si="135"/>
        <v>-</v>
      </c>
      <c r="E904" s="1476">
        <f t="shared" si="135"/>
        <v>0</v>
      </c>
      <c r="F904" s="1444">
        <f t="shared" si="136"/>
        <v>0</v>
      </c>
      <c r="G904" s="1444">
        <f t="shared" si="137"/>
        <v>0</v>
      </c>
      <c r="H904" s="1476">
        <f t="shared" si="129"/>
        <v>0</v>
      </c>
      <c r="I904" s="1444">
        <v>0</v>
      </c>
      <c r="J904" s="1444">
        <v>0</v>
      </c>
      <c r="K904" s="1476"/>
      <c r="L904" s="1476"/>
      <c r="M904" s="1476">
        <f t="shared" si="138"/>
        <v>0</v>
      </c>
      <c r="N904" s="1476">
        <f t="shared" si="130"/>
        <v>0</v>
      </c>
    </row>
    <row r="905" spans="1:14" ht="15.5" outlineLevel="1">
      <c r="A905" s="1454">
        <f t="shared" si="135"/>
        <v>12</v>
      </c>
      <c r="B905" s="1454" t="str">
        <f t="shared" si="135"/>
        <v>Installation of Fire &amp; Explosion Prevention system at Bhusawal 500MW Unit-4.</v>
      </c>
      <c r="C905" s="1475">
        <f t="shared" si="135"/>
        <v>0</v>
      </c>
      <c r="D905" s="1473" t="str">
        <f t="shared" si="135"/>
        <v>-</v>
      </c>
      <c r="E905" s="1476">
        <f t="shared" si="135"/>
        <v>0</v>
      </c>
      <c r="F905" s="1444">
        <f t="shared" si="136"/>
        <v>2.4539</v>
      </c>
      <c r="G905" s="1444">
        <f t="shared" si="137"/>
        <v>2.4539</v>
      </c>
      <c r="H905" s="1476">
        <f t="shared" si="129"/>
        <v>0</v>
      </c>
      <c r="I905" s="1444">
        <v>0</v>
      </c>
      <c r="J905" s="1444">
        <v>0</v>
      </c>
      <c r="K905" s="1476"/>
      <c r="L905" s="1476"/>
      <c r="M905" s="1476">
        <f t="shared" si="138"/>
        <v>0</v>
      </c>
      <c r="N905" s="1476">
        <f t="shared" si="130"/>
        <v>0</v>
      </c>
    </row>
    <row r="906" spans="1:14" ht="15.5" outlineLevel="1">
      <c r="A906" s="1454">
        <f t="shared" si="135"/>
        <v>13</v>
      </c>
      <c r="B906" s="1454" t="str">
        <f t="shared" si="135"/>
        <v>Fixtures &amp; Fitting (10801)</v>
      </c>
      <c r="C906" s="1475">
        <f t="shared" si="135"/>
        <v>0</v>
      </c>
      <c r="D906" s="1473" t="str">
        <f t="shared" si="135"/>
        <v>-</v>
      </c>
      <c r="E906" s="1476">
        <f t="shared" si="135"/>
        <v>0</v>
      </c>
      <c r="F906" s="1444">
        <f t="shared" si="136"/>
        <v>0.21333523199999999</v>
      </c>
      <c r="G906" s="1444">
        <f t="shared" si="137"/>
        <v>0.21333523199999999</v>
      </c>
      <c r="H906" s="1476">
        <f t="shared" si="129"/>
        <v>0</v>
      </c>
      <c r="I906" s="1444">
        <v>0</v>
      </c>
      <c r="J906" s="1444">
        <v>0</v>
      </c>
      <c r="K906" s="1476"/>
      <c r="L906" s="1476"/>
      <c r="M906" s="1476">
        <f t="shared" si="138"/>
        <v>0</v>
      </c>
      <c r="N906" s="1476">
        <f t="shared" si="130"/>
        <v>0</v>
      </c>
    </row>
    <row r="907" spans="1:14" ht="15.5" outlineLevel="1">
      <c r="A907" s="1454">
        <f t="shared" si="135"/>
        <v>14</v>
      </c>
      <c r="B907" s="1454" t="str">
        <f t="shared" si="135"/>
        <v>Office equpment (10901)</v>
      </c>
      <c r="C907" s="1475">
        <f t="shared" si="135"/>
        <v>0</v>
      </c>
      <c r="D907" s="1473" t="str">
        <f t="shared" si="135"/>
        <v>-</v>
      </c>
      <c r="E907" s="1476">
        <f t="shared" si="135"/>
        <v>0</v>
      </c>
      <c r="F907" s="1444">
        <f t="shared" si="136"/>
        <v>0.22996406</v>
      </c>
      <c r="G907" s="1444">
        <f t="shared" si="137"/>
        <v>0.22996406</v>
      </c>
      <c r="H907" s="1476">
        <f t="shared" si="129"/>
        <v>0</v>
      </c>
      <c r="I907" s="1444">
        <v>0</v>
      </c>
      <c r="J907" s="1444">
        <v>0</v>
      </c>
      <c r="K907" s="1476"/>
      <c r="L907" s="1476"/>
      <c r="M907" s="1476">
        <f t="shared" si="138"/>
        <v>0</v>
      </c>
      <c r="N907" s="1476">
        <f t="shared" si="130"/>
        <v>0</v>
      </c>
    </row>
    <row r="908" spans="1:14" ht="15.5" outlineLevel="1">
      <c r="A908" s="1454">
        <f t="shared" ref="A908:E923" si="139">A678</f>
        <v>15</v>
      </c>
      <c r="B908" s="1454" t="str">
        <f t="shared" si="139"/>
        <v>150 W &amp; 40 W LED FIXTURES AT TG HOUSE BUILDING 2X500MW</v>
      </c>
      <c r="C908" s="1475">
        <f t="shared" si="139"/>
        <v>0</v>
      </c>
      <c r="D908" s="1473" t="str">
        <f t="shared" si="139"/>
        <v>-</v>
      </c>
      <c r="E908" s="1476">
        <f t="shared" si="139"/>
        <v>0</v>
      </c>
      <c r="F908" s="1444">
        <f t="shared" si="136"/>
        <v>0.5280705</v>
      </c>
      <c r="G908" s="1444">
        <f t="shared" si="137"/>
        <v>0.2780705</v>
      </c>
      <c r="H908" s="1476">
        <f t="shared" si="129"/>
        <v>0.25</v>
      </c>
      <c r="I908" s="1444">
        <v>0</v>
      </c>
      <c r="J908" s="1444">
        <v>0</v>
      </c>
      <c r="K908" s="1476"/>
      <c r="L908" s="1476"/>
      <c r="M908" s="1476">
        <f t="shared" si="138"/>
        <v>0</v>
      </c>
      <c r="N908" s="1476">
        <f t="shared" si="130"/>
        <v>0.25</v>
      </c>
    </row>
    <row r="909" spans="1:14" ht="15.5" outlineLevel="1">
      <c r="A909" s="1454">
        <f t="shared" si="139"/>
        <v>16</v>
      </c>
      <c r="B909" s="1454" t="str">
        <f t="shared" si="139"/>
        <v>JUMBO DEESERT AIR COOLERS FOR POWER TRANSFORERS</v>
      </c>
      <c r="C909" s="1475">
        <f t="shared" si="139"/>
        <v>0</v>
      </c>
      <c r="D909" s="1473" t="str">
        <f t="shared" si="139"/>
        <v>-</v>
      </c>
      <c r="E909" s="1476">
        <f t="shared" si="139"/>
        <v>0</v>
      </c>
      <c r="F909" s="1444">
        <f t="shared" si="136"/>
        <v>0.1014328</v>
      </c>
      <c r="G909" s="1444">
        <f t="shared" si="137"/>
        <v>0.1014328</v>
      </c>
      <c r="H909" s="1476">
        <f t="shared" si="129"/>
        <v>0</v>
      </c>
      <c r="I909" s="1444">
        <v>0</v>
      </c>
      <c r="J909" s="1444">
        <v>0</v>
      </c>
      <c r="K909" s="1476"/>
      <c r="L909" s="1476"/>
      <c r="M909" s="1476">
        <f t="shared" si="138"/>
        <v>0</v>
      </c>
      <c r="N909" s="1476">
        <f t="shared" si="130"/>
        <v>0</v>
      </c>
    </row>
    <row r="910" spans="1:14" ht="15.5" outlineLevel="1">
      <c r="A910" s="1454">
        <f t="shared" si="139"/>
        <v>17</v>
      </c>
      <c r="B910" s="1454" t="str">
        <f t="shared" si="139"/>
        <v>GEN ASSET (ALMIRAH,TABLE &amp; CHAIR) (10801)</v>
      </c>
      <c r="C910" s="1475">
        <f t="shared" si="139"/>
        <v>0</v>
      </c>
      <c r="D910" s="1473" t="str">
        <f t="shared" si="139"/>
        <v>-</v>
      </c>
      <c r="E910" s="1476">
        <f t="shared" si="139"/>
        <v>0</v>
      </c>
      <c r="F910" s="1444">
        <f t="shared" si="136"/>
        <v>0.23453750000000001</v>
      </c>
      <c r="G910" s="1444">
        <f t="shared" si="137"/>
        <v>0.23453750000000001</v>
      </c>
      <c r="H910" s="1476">
        <f t="shared" si="129"/>
        <v>0</v>
      </c>
      <c r="I910" s="1444">
        <v>0</v>
      </c>
      <c r="J910" s="1444">
        <v>0</v>
      </c>
      <c r="K910" s="1476"/>
      <c r="L910" s="1476"/>
      <c r="M910" s="1476">
        <f t="shared" si="138"/>
        <v>0</v>
      </c>
      <c r="N910" s="1476">
        <f t="shared" si="130"/>
        <v>0</v>
      </c>
    </row>
    <row r="911" spans="1:14" ht="15.5" outlineLevel="1">
      <c r="A911" s="1454">
        <f t="shared" si="139"/>
        <v>18</v>
      </c>
      <c r="B911" s="1454" t="str">
        <f t="shared" si="139"/>
        <v>LAPTOP, 50 INCH TV,PRINTER,PROJECTOR,DESKTOP,UPS &amp; ETS. (10901)</v>
      </c>
      <c r="C911" s="1475">
        <f t="shared" si="139"/>
        <v>0</v>
      </c>
      <c r="D911" s="1473" t="str">
        <f t="shared" si="139"/>
        <v>-</v>
      </c>
      <c r="E911" s="1476">
        <f t="shared" si="139"/>
        <v>0</v>
      </c>
      <c r="F911" s="1444">
        <f t="shared" si="136"/>
        <v>0.55035469999999997</v>
      </c>
      <c r="G911" s="1444">
        <f t="shared" si="137"/>
        <v>0.55035469999999997</v>
      </c>
      <c r="H911" s="1476">
        <f t="shared" si="129"/>
        <v>0</v>
      </c>
      <c r="I911" s="1444">
        <v>0</v>
      </c>
      <c r="J911" s="1444">
        <v>0</v>
      </c>
      <c r="K911" s="1476"/>
      <c r="L911" s="1476"/>
      <c r="M911" s="1476">
        <f t="shared" si="138"/>
        <v>0</v>
      </c>
      <c r="N911" s="1476">
        <f t="shared" si="130"/>
        <v>0</v>
      </c>
    </row>
    <row r="912" spans="1:14" ht="15.5" outlineLevel="1">
      <c r="A912" s="1454">
        <f t="shared" si="139"/>
        <v>19</v>
      </c>
      <c r="B912" s="1454" t="str">
        <f t="shared" si="139"/>
        <v>RESTAURANT EQUIP COMPOSTING MACHINE</v>
      </c>
      <c r="C912" s="1475">
        <f t="shared" si="139"/>
        <v>0</v>
      </c>
      <c r="D912" s="1473" t="str">
        <f t="shared" si="139"/>
        <v>-</v>
      </c>
      <c r="E912" s="1476">
        <f t="shared" si="139"/>
        <v>0</v>
      </c>
      <c r="F912" s="1444">
        <f t="shared" si="136"/>
        <v>5.0490047999999996E-2</v>
      </c>
      <c r="G912" s="1444">
        <f t="shared" si="137"/>
        <v>5.0490047999999996E-2</v>
      </c>
      <c r="H912" s="1476">
        <f t="shared" ref="H912:H924" si="140">F912-G912</f>
        <v>0</v>
      </c>
      <c r="I912" s="1444">
        <v>0</v>
      </c>
      <c r="J912" s="1444">
        <v>0</v>
      </c>
      <c r="K912" s="1476"/>
      <c r="L912" s="1476"/>
      <c r="M912" s="1476">
        <f t="shared" si="138"/>
        <v>0</v>
      </c>
      <c r="N912" s="1476"/>
    </row>
    <row r="913" spans="1:14" ht="15.5" outlineLevel="1">
      <c r="A913" s="1454">
        <f t="shared" si="139"/>
        <v>20</v>
      </c>
      <c r="B913" s="1454" t="str">
        <f t="shared" si="139"/>
        <v>OFFICE TABLE,STORGE RACK,FAN</v>
      </c>
      <c r="C913" s="1475">
        <f t="shared" si="139"/>
        <v>0</v>
      </c>
      <c r="D913" s="1473" t="str">
        <f t="shared" si="139"/>
        <v>-</v>
      </c>
      <c r="E913" s="1476">
        <f t="shared" si="139"/>
        <v>0</v>
      </c>
      <c r="F913" s="1444">
        <f t="shared" si="136"/>
        <v>0.57868969999999997</v>
      </c>
      <c r="G913" s="1444">
        <f t="shared" si="137"/>
        <v>0.57868969999999997</v>
      </c>
      <c r="H913" s="1476">
        <f t="shared" si="140"/>
        <v>0</v>
      </c>
      <c r="I913" s="1444">
        <v>0</v>
      </c>
      <c r="J913" s="1444">
        <v>0</v>
      </c>
      <c r="K913" s="1476"/>
      <c r="L913" s="1476"/>
      <c r="M913" s="1476">
        <f t="shared" si="138"/>
        <v>0</v>
      </c>
      <c r="N913" s="1476"/>
    </row>
    <row r="914" spans="1:14" ht="15.5" outlineLevel="1">
      <c r="A914" s="1454">
        <f t="shared" si="139"/>
        <v>21</v>
      </c>
      <c r="B914" s="1454" t="str">
        <f t="shared" si="139"/>
        <v>CAMERAS</v>
      </c>
      <c r="C914" s="1475">
        <f t="shared" si="139"/>
        <v>0</v>
      </c>
      <c r="D914" s="1473" t="str">
        <f t="shared" si="139"/>
        <v>-</v>
      </c>
      <c r="E914" s="1476">
        <f t="shared" si="139"/>
        <v>0</v>
      </c>
      <c r="F914" s="1444">
        <f t="shared" si="136"/>
        <v>3.8467899999999999E-2</v>
      </c>
      <c r="G914" s="1444">
        <f t="shared" si="137"/>
        <v>3.8467899999999999E-2</v>
      </c>
      <c r="H914" s="1476">
        <f t="shared" si="140"/>
        <v>0</v>
      </c>
      <c r="I914" s="1444">
        <v>0</v>
      </c>
      <c r="J914" s="1444">
        <v>0</v>
      </c>
      <c r="K914" s="1476"/>
      <c r="L914" s="1476"/>
      <c r="M914" s="1476">
        <f t="shared" si="138"/>
        <v>0</v>
      </c>
      <c r="N914" s="1476"/>
    </row>
    <row r="915" spans="1:14" ht="15.5" outlineLevel="1">
      <c r="A915" s="1454">
        <f t="shared" si="139"/>
        <v>22</v>
      </c>
      <c r="B915" s="1454" t="str">
        <f t="shared" si="139"/>
        <v>VELHALA ASH BUND RD WORK</v>
      </c>
      <c r="C915" s="1475">
        <f t="shared" si="139"/>
        <v>0</v>
      </c>
      <c r="D915" s="1473" t="str">
        <f t="shared" si="139"/>
        <v>-</v>
      </c>
      <c r="E915" s="1476">
        <f t="shared" si="139"/>
        <v>0</v>
      </c>
      <c r="F915" s="1444">
        <f t="shared" si="136"/>
        <v>2.4644665859999999</v>
      </c>
      <c r="G915" s="1444">
        <f t="shared" si="137"/>
        <v>2.4644665859999999</v>
      </c>
      <c r="H915" s="1476">
        <f t="shared" si="140"/>
        <v>0</v>
      </c>
      <c r="I915" s="1444">
        <v>0</v>
      </c>
      <c r="J915" s="1444">
        <v>0</v>
      </c>
      <c r="K915" s="1476"/>
      <c r="L915" s="1476"/>
      <c r="M915" s="1476">
        <f t="shared" si="138"/>
        <v>0</v>
      </c>
      <c r="N915" s="1476"/>
    </row>
    <row r="916" spans="1:14" ht="15.5" outlineLevel="1">
      <c r="A916" s="1454">
        <f t="shared" si="139"/>
        <v>23</v>
      </c>
      <c r="B916" s="1454" t="str">
        <f t="shared" si="139"/>
        <v>CONCERETE ROAD FROM DIESEL PUMP TO 500MW FACTORY G</v>
      </c>
      <c r="C916" s="1475">
        <f t="shared" si="139"/>
        <v>0</v>
      </c>
      <c r="D916" s="1473" t="str">
        <f t="shared" si="139"/>
        <v>-</v>
      </c>
      <c r="E916" s="1476">
        <f t="shared" si="139"/>
        <v>0</v>
      </c>
      <c r="F916" s="1444">
        <f t="shared" si="136"/>
        <v>0.98448907899999993</v>
      </c>
      <c r="G916" s="1444">
        <f t="shared" si="137"/>
        <v>0.98448907899999993</v>
      </c>
      <c r="H916" s="1476">
        <f t="shared" si="140"/>
        <v>0</v>
      </c>
      <c r="I916" s="1444">
        <v>0</v>
      </c>
      <c r="J916" s="1444">
        <v>0</v>
      </c>
      <c r="K916" s="1476"/>
      <c r="L916" s="1476"/>
      <c r="M916" s="1476">
        <f t="shared" si="138"/>
        <v>0</v>
      </c>
      <c r="N916" s="1476"/>
    </row>
    <row r="917" spans="1:14" ht="15.5" outlineLevel="1">
      <c r="A917" s="1454">
        <f t="shared" si="139"/>
        <v>24</v>
      </c>
      <c r="B917" s="1454" t="str">
        <f t="shared" si="139"/>
        <v>Admin Building</v>
      </c>
      <c r="C917" s="1475">
        <f t="shared" si="139"/>
        <v>0</v>
      </c>
      <c r="D917" s="1473" t="str">
        <f t="shared" si="139"/>
        <v>-</v>
      </c>
      <c r="E917" s="1476">
        <f t="shared" si="139"/>
        <v>0</v>
      </c>
      <c r="F917" s="1444">
        <f t="shared" si="136"/>
        <v>5.1749999999999997E-2</v>
      </c>
      <c r="G917" s="1444">
        <f t="shared" si="137"/>
        <v>0</v>
      </c>
      <c r="H917" s="1476">
        <f t="shared" si="140"/>
        <v>5.1749999999999997E-2</v>
      </c>
      <c r="I917" s="1444">
        <v>0</v>
      </c>
      <c r="J917" s="1444">
        <v>0</v>
      </c>
      <c r="K917" s="1476"/>
      <c r="L917" s="1476"/>
      <c r="M917" s="1476">
        <f t="shared" si="138"/>
        <v>0</v>
      </c>
      <c r="N917" s="1476"/>
    </row>
    <row r="918" spans="1:14" ht="15.5" outlineLevel="1">
      <c r="A918" s="1455">
        <f t="shared" si="139"/>
        <v>25</v>
      </c>
      <c r="B918" s="1455" t="str">
        <f t="shared" si="139"/>
        <v>Furniture &amp; Fixture</v>
      </c>
      <c r="C918" s="1475">
        <f t="shared" si="139"/>
        <v>0</v>
      </c>
      <c r="D918" s="1473" t="str">
        <f t="shared" si="139"/>
        <v>-</v>
      </c>
      <c r="E918" s="1476">
        <f t="shared" si="139"/>
        <v>0</v>
      </c>
      <c r="F918" s="1444">
        <f t="shared" si="136"/>
        <v>0.13712089999999999</v>
      </c>
      <c r="G918" s="1444">
        <f t="shared" si="137"/>
        <v>0.13712089999999999</v>
      </c>
      <c r="H918" s="1476">
        <f t="shared" si="140"/>
        <v>0</v>
      </c>
      <c r="I918" s="1444">
        <v>0</v>
      </c>
      <c r="J918" s="1444">
        <v>0</v>
      </c>
      <c r="K918" s="1476"/>
      <c r="L918" s="1476"/>
      <c r="M918" s="1476">
        <f t="shared" si="138"/>
        <v>0</v>
      </c>
      <c r="N918" s="1476"/>
    </row>
    <row r="919" spans="1:14" ht="15.5" outlineLevel="1">
      <c r="A919" s="1455">
        <f t="shared" si="139"/>
        <v>26</v>
      </c>
      <c r="B919" s="1455" t="str">
        <f t="shared" si="139"/>
        <v>Office Equipment</v>
      </c>
      <c r="C919" s="1475">
        <f t="shared" si="139"/>
        <v>0</v>
      </c>
      <c r="D919" s="1473" t="str">
        <f t="shared" si="139"/>
        <v>-</v>
      </c>
      <c r="E919" s="1476">
        <f t="shared" si="139"/>
        <v>0</v>
      </c>
      <c r="F919" s="1444">
        <f t="shared" si="136"/>
        <v>0.14423554</v>
      </c>
      <c r="G919" s="1444">
        <f t="shared" si="137"/>
        <v>0.14423554</v>
      </c>
      <c r="H919" s="1476">
        <f t="shared" si="140"/>
        <v>0</v>
      </c>
      <c r="I919" s="1444">
        <v>0</v>
      </c>
      <c r="J919" s="1444">
        <v>0</v>
      </c>
      <c r="K919" s="1476"/>
      <c r="L919" s="1476"/>
      <c r="M919" s="1476">
        <f t="shared" si="138"/>
        <v>0</v>
      </c>
      <c r="N919" s="1476"/>
    </row>
    <row r="920" spans="1:14" ht="15.5" outlineLevel="1">
      <c r="A920" s="1455">
        <f t="shared" si="139"/>
        <v>27</v>
      </c>
      <c r="B920" s="1455" t="str">
        <f t="shared" si="139"/>
        <v>Furniture &amp; Fixture</v>
      </c>
      <c r="C920" s="1475">
        <f t="shared" si="139"/>
        <v>0</v>
      </c>
      <c r="D920" s="1473" t="str">
        <f t="shared" si="139"/>
        <v>-</v>
      </c>
      <c r="E920" s="1476">
        <f t="shared" si="139"/>
        <v>0</v>
      </c>
      <c r="F920" s="1444">
        <f t="shared" si="136"/>
        <v>7.3968300000000001E-2</v>
      </c>
      <c r="G920" s="1444">
        <f t="shared" si="137"/>
        <v>7.3968300000000001E-2</v>
      </c>
      <c r="H920" s="1476">
        <f t="shared" si="140"/>
        <v>0</v>
      </c>
      <c r="I920" s="1444">
        <v>0</v>
      </c>
      <c r="J920" s="1444">
        <v>0</v>
      </c>
      <c r="K920" s="1476"/>
      <c r="L920" s="1476"/>
      <c r="M920" s="1476">
        <f t="shared" si="138"/>
        <v>0</v>
      </c>
      <c r="N920" s="1476"/>
    </row>
    <row r="921" spans="1:14" ht="15.5" outlineLevel="1">
      <c r="A921" s="1455">
        <f t="shared" si="139"/>
        <v>28</v>
      </c>
      <c r="B921" s="1455" t="str">
        <f t="shared" si="139"/>
        <v>Office Equipment</v>
      </c>
      <c r="C921" s="1475">
        <f t="shared" si="139"/>
        <v>0</v>
      </c>
      <c r="D921" s="1473" t="str">
        <f t="shared" si="139"/>
        <v>-</v>
      </c>
      <c r="E921" s="1476">
        <f t="shared" si="139"/>
        <v>0</v>
      </c>
      <c r="F921" s="1444">
        <f t="shared" si="136"/>
        <v>0.15890559299999998</v>
      </c>
      <c r="G921" s="1444">
        <f t="shared" si="137"/>
        <v>0.15890559299999998</v>
      </c>
      <c r="H921" s="1476">
        <f t="shared" si="140"/>
        <v>0</v>
      </c>
      <c r="I921" s="1444">
        <v>0</v>
      </c>
      <c r="J921" s="1444">
        <v>0</v>
      </c>
      <c r="K921" s="1476"/>
      <c r="L921" s="1476"/>
      <c r="M921" s="1476">
        <f t="shared" si="138"/>
        <v>0</v>
      </c>
      <c r="N921" s="1476"/>
    </row>
    <row r="922" spans="1:14" ht="31" outlineLevel="1">
      <c r="A922" s="1455">
        <f t="shared" si="139"/>
        <v>29</v>
      </c>
      <c r="B922" s="1455" t="str">
        <f t="shared" si="139"/>
        <v>Work of repairs of 350 KW BCWP-4B &amp; BCWP-5B motor of M/s. Torishima make at BTPS 2x500 MW</v>
      </c>
      <c r="C922" s="1475">
        <f t="shared" si="139"/>
        <v>0</v>
      </c>
      <c r="D922" s="1473" t="str">
        <f t="shared" si="139"/>
        <v>-</v>
      </c>
      <c r="E922" s="1476">
        <f t="shared" si="139"/>
        <v>0</v>
      </c>
      <c r="F922" s="1444">
        <f t="shared" si="136"/>
        <v>4.8465386759999998</v>
      </c>
      <c r="G922" s="1444">
        <f t="shared" si="137"/>
        <v>4.8465386759999998</v>
      </c>
      <c r="H922" s="1476">
        <f t="shared" si="140"/>
        <v>0</v>
      </c>
      <c r="I922" s="1444">
        <v>0</v>
      </c>
      <c r="J922" s="1444">
        <v>0</v>
      </c>
      <c r="K922" s="1476"/>
      <c r="L922" s="1476"/>
      <c r="M922" s="1476">
        <f t="shared" si="138"/>
        <v>0</v>
      </c>
      <c r="N922" s="1476"/>
    </row>
    <row r="923" spans="1:14" ht="15.5" outlineLevel="1">
      <c r="A923" s="1455">
        <f t="shared" si="139"/>
        <v>30</v>
      </c>
      <c r="B923" s="1455" t="str">
        <f t="shared" si="139"/>
        <v>ABC Powder Type and Foam Type Composite Fire Extinguisher</v>
      </c>
      <c r="C923" s="1475">
        <f t="shared" si="139"/>
        <v>0</v>
      </c>
      <c r="D923" s="1473" t="str">
        <f t="shared" si="139"/>
        <v>-</v>
      </c>
      <c r="E923" s="1476">
        <f t="shared" si="139"/>
        <v>0</v>
      </c>
      <c r="F923" s="1444">
        <f t="shared" si="136"/>
        <v>0.58547995599999991</v>
      </c>
      <c r="G923" s="1444">
        <f t="shared" si="137"/>
        <v>0.58547995599999991</v>
      </c>
      <c r="H923" s="1476">
        <f t="shared" si="140"/>
        <v>0</v>
      </c>
      <c r="I923" s="1444">
        <v>0</v>
      </c>
      <c r="J923" s="1444">
        <v>0</v>
      </c>
      <c r="K923" s="1476"/>
      <c r="L923" s="1476"/>
      <c r="M923" s="1476">
        <f t="shared" si="138"/>
        <v>0</v>
      </c>
      <c r="N923" s="1476"/>
    </row>
    <row r="924" spans="1:14" ht="16" outlineLevel="1" thickBot="1">
      <c r="A924" s="1455">
        <f t="shared" ref="A924:E925" si="141">A694</f>
        <v>31</v>
      </c>
      <c r="B924" s="1455" t="str">
        <f t="shared" si="141"/>
        <v>Withdrawal of capex from Project (LD - Passenger Lifts)</v>
      </c>
      <c r="C924" s="1475">
        <f t="shared" si="141"/>
        <v>0</v>
      </c>
      <c r="D924" s="1473" t="str">
        <f t="shared" si="141"/>
        <v>-</v>
      </c>
      <c r="E924" s="1476">
        <f t="shared" si="141"/>
        <v>0</v>
      </c>
      <c r="F924" s="1444">
        <f t="shared" si="136"/>
        <v>0</v>
      </c>
      <c r="G924" s="1444">
        <f t="shared" si="137"/>
        <v>-0.138988</v>
      </c>
      <c r="H924" s="1476">
        <f t="shared" si="140"/>
        <v>0.138988</v>
      </c>
      <c r="I924" s="1444">
        <v>0</v>
      </c>
      <c r="J924" s="1444">
        <v>0</v>
      </c>
      <c r="K924" s="1476"/>
      <c r="L924" s="1476"/>
      <c r="M924" s="1476">
        <f t="shared" si="138"/>
        <v>0</v>
      </c>
      <c r="N924" s="1476"/>
    </row>
    <row r="925" spans="1:14" ht="15.5" thickBot="1">
      <c r="A925" s="1379"/>
      <c r="B925" s="1484" t="str">
        <f t="shared" si="141"/>
        <v>Total</v>
      </c>
      <c r="C925" s="1380"/>
      <c r="D925" s="1381"/>
      <c r="E925" s="1485"/>
      <c r="F925" s="1485">
        <f>SUM(F700:F924)</f>
        <v>374.50045324965953</v>
      </c>
      <c r="G925" s="1485">
        <f t="shared" ref="G925:N925" si="142">SUM(G700:G924)</f>
        <v>238.9996935786595</v>
      </c>
      <c r="H925" s="1485">
        <f t="shared" si="142"/>
        <v>135.500759671</v>
      </c>
      <c r="I925" s="1485">
        <f t="shared" si="142"/>
        <v>811.30999999999983</v>
      </c>
      <c r="J925" s="1485">
        <f t="shared" si="142"/>
        <v>601.30999999999983</v>
      </c>
      <c r="K925" s="1485">
        <f t="shared" si="142"/>
        <v>0</v>
      </c>
      <c r="L925" s="1485">
        <f t="shared" si="142"/>
        <v>0</v>
      </c>
      <c r="M925" s="1485">
        <f t="shared" si="142"/>
        <v>601.30999999999983</v>
      </c>
      <c r="N925" s="1485">
        <f t="shared" si="142"/>
        <v>345.31002167100007</v>
      </c>
    </row>
    <row r="927" spans="1:14">
      <c r="A927" s="1434"/>
      <c r="B927" s="574" t="s">
        <v>1703</v>
      </c>
      <c r="C927" s="1435"/>
      <c r="D927" s="1436"/>
      <c r="E927" s="318"/>
      <c r="F927" s="318"/>
      <c r="G927" s="318"/>
      <c r="H927" s="318"/>
      <c r="I927" s="318"/>
      <c r="J927" s="318"/>
      <c r="K927" s="318"/>
      <c r="L927" s="318"/>
      <c r="M927" s="318"/>
      <c r="N927" s="318"/>
    </row>
    <row r="928" spans="1:14" outlineLevel="1">
      <c r="A928" s="131"/>
      <c r="B928" s="1288" t="str">
        <f t="shared" ref="B928:E943" si="143">B698</f>
        <v>a) DPR Schemes</v>
      </c>
      <c r="C928" s="1435"/>
      <c r="D928" s="1436"/>
      <c r="E928" s="318"/>
      <c r="F928" s="318"/>
      <c r="G928" s="318"/>
      <c r="H928" s="318"/>
      <c r="I928" s="318"/>
      <c r="J928" s="318"/>
      <c r="K928" s="318"/>
      <c r="L928" s="318"/>
      <c r="M928" s="318"/>
      <c r="N928" s="318"/>
    </row>
    <row r="929" spans="1:16" outlineLevel="1">
      <c r="A929" s="131"/>
      <c r="B929" s="1437" t="str">
        <f t="shared" si="143"/>
        <v>(i) Submitted to MERC</v>
      </c>
      <c r="C929" s="1438"/>
      <c r="D929" s="1439"/>
      <c r="E929" s="318"/>
      <c r="F929" s="318"/>
      <c r="G929" s="318"/>
      <c r="H929" s="318"/>
      <c r="I929" s="318"/>
      <c r="J929" s="318"/>
      <c r="K929" s="318"/>
      <c r="L929" s="318"/>
      <c r="M929" s="318"/>
      <c r="N929" s="318"/>
    </row>
    <row r="930" spans="1:16" ht="31" outlineLevel="1">
      <c r="A930" s="1440">
        <f t="shared" ref="A930:E945" si="144">A700</f>
        <v>7</v>
      </c>
      <c r="B930" s="1441" t="str">
        <f t="shared" si="143"/>
        <v>Interconnection of 210 MW CHP to 500 MW CHP through Conveyors BC-02 &amp; BC-03 having capacity of 500 TPH</v>
      </c>
      <c r="C930" s="1442" t="str">
        <f t="shared" si="143"/>
        <v>MERC/CAPEX/20162017/00227</v>
      </c>
      <c r="D930" s="1443">
        <f t="shared" si="143"/>
        <v>42514</v>
      </c>
      <c r="E930" s="1444">
        <f t="shared" si="143"/>
        <v>24</v>
      </c>
      <c r="F930" s="1444">
        <f t="shared" ref="F930:F993" si="145">F700+I700</f>
        <v>0</v>
      </c>
      <c r="G930" s="1444">
        <f t="shared" ref="G930:G993" si="146">G700+M700</f>
        <v>0</v>
      </c>
      <c r="H930" s="1444">
        <f t="shared" ref="H930:H993" si="147">F930-G930</f>
        <v>0</v>
      </c>
      <c r="I930" s="1444">
        <v>0</v>
      </c>
      <c r="J930" s="1444">
        <v>0</v>
      </c>
      <c r="K930" s="1444"/>
      <c r="L930" s="1444"/>
      <c r="M930" s="1444">
        <f t="shared" ref="M930" si="148">SUM(J930:L930)</f>
        <v>0</v>
      </c>
      <c r="N930" s="1444">
        <f t="shared" ref="N930:N993" si="149">H930+I930-M930</f>
        <v>0</v>
      </c>
      <c r="O930" s="1445">
        <f t="shared" ref="O930:O993" si="150">MAX(0,IF(M930=0,0,IF(G930+M930&lt;E930,M930,E930-G930)))</f>
        <v>0</v>
      </c>
      <c r="P930" s="1377">
        <f t="shared" ref="P930:P993" si="151">M930-O930</f>
        <v>0</v>
      </c>
    </row>
    <row r="931" spans="1:16" ht="31" outlineLevel="1">
      <c r="A931" s="1446">
        <f t="shared" si="144"/>
        <v>7.1</v>
      </c>
      <c r="B931" s="1447" t="str">
        <f t="shared" si="143"/>
        <v>Interconnection of 210 MW CHP to 500 MW CHP through Conveyors BC-02 &amp; BC-03 having capacity of 500 TPH</v>
      </c>
      <c r="C931" s="1472" t="str">
        <f t="shared" si="143"/>
        <v>MERC/CAPEX/20162017/00227</v>
      </c>
      <c r="D931" s="1473">
        <f t="shared" si="143"/>
        <v>42514</v>
      </c>
      <c r="E931" s="1474">
        <f t="shared" si="143"/>
        <v>22.73</v>
      </c>
      <c r="F931" s="1444">
        <f t="shared" si="145"/>
        <v>19.106691754</v>
      </c>
      <c r="G931" s="1444">
        <f t="shared" si="146"/>
        <v>19.106691754</v>
      </c>
      <c r="H931" s="1474">
        <f t="shared" si="147"/>
        <v>0</v>
      </c>
      <c r="I931" s="1444">
        <v>0</v>
      </c>
      <c r="J931" s="1444">
        <v>0</v>
      </c>
      <c r="K931" s="1474"/>
      <c r="L931" s="1474"/>
      <c r="M931" s="1474">
        <f t="shared" ref="M931:M994" si="152">SUM(J931:L931)</f>
        <v>0</v>
      </c>
      <c r="N931" s="1474">
        <f t="shared" si="149"/>
        <v>0</v>
      </c>
      <c r="O931" s="1445">
        <f t="shared" si="150"/>
        <v>0</v>
      </c>
      <c r="P931" s="1377">
        <f t="shared" si="151"/>
        <v>0</v>
      </c>
    </row>
    <row r="932" spans="1:16" ht="15.5" outlineLevel="1">
      <c r="A932" s="1446">
        <f t="shared" si="144"/>
        <v>0</v>
      </c>
      <c r="B932" s="1447" t="str">
        <f t="shared" si="143"/>
        <v>IDC</v>
      </c>
      <c r="C932" s="1472" t="str">
        <f t="shared" si="143"/>
        <v>MERC/CAPEX/20162017/00227</v>
      </c>
      <c r="D932" s="1473">
        <f t="shared" si="143"/>
        <v>42514</v>
      </c>
      <c r="E932" s="1474">
        <f t="shared" si="143"/>
        <v>1.27</v>
      </c>
      <c r="F932" s="1444">
        <f t="shared" si="145"/>
        <v>0</v>
      </c>
      <c r="G932" s="1444">
        <f t="shared" si="146"/>
        <v>0</v>
      </c>
      <c r="H932" s="1474">
        <f t="shared" si="147"/>
        <v>0</v>
      </c>
      <c r="I932" s="1444">
        <v>0</v>
      </c>
      <c r="J932" s="1444">
        <v>0</v>
      </c>
      <c r="K932" s="1474"/>
      <c r="L932" s="1474"/>
      <c r="M932" s="1474">
        <f t="shared" si="152"/>
        <v>0</v>
      </c>
      <c r="N932" s="1474">
        <f t="shared" si="149"/>
        <v>0</v>
      </c>
      <c r="O932" s="1445">
        <f t="shared" si="150"/>
        <v>0</v>
      </c>
      <c r="P932" s="1377">
        <f t="shared" si="151"/>
        <v>0</v>
      </c>
    </row>
    <row r="933" spans="1:16" ht="31" outlineLevel="1">
      <c r="A933" s="1440">
        <f t="shared" si="144"/>
        <v>8</v>
      </c>
      <c r="B933" s="1441" t="str">
        <f t="shared" si="143"/>
        <v>Stack management by procurement of Bulldozer &amp; LOCO and CHP area schemes for performance &amp; unloading improvement</v>
      </c>
      <c r="C933" s="1442" t="str">
        <f t="shared" si="143"/>
        <v>MERC/CAPEX/20162017/01426</v>
      </c>
      <c r="D933" s="1443">
        <f t="shared" si="143"/>
        <v>42768</v>
      </c>
      <c r="E933" s="1444">
        <f t="shared" si="143"/>
        <v>9.9669421487603316</v>
      </c>
      <c r="F933" s="1444">
        <f t="shared" si="145"/>
        <v>0</v>
      </c>
      <c r="G933" s="1444">
        <f t="shared" si="146"/>
        <v>0</v>
      </c>
      <c r="H933" s="1444">
        <f t="shared" si="147"/>
        <v>0</v>
      </c>
      <c r="I933" s="1444">
        <v>0</v>
      </c>
      <c r="J933" s="1444">
        <v>0</v>
      </c>
      <c r="K933" s="1444"/>
      <c r="L933" s="1444"/>
      <c r="M933" s="1444">
        <f t="shared" si="152"/>
        <v>0</v>
      </c>
      <c r="N933" s="1444">
        <f t="shared" si="149"/>
        <v>0</v>
      </c>
      <c r="O933" s="1445">
        <f t="shared" si="150"/>
        <v>0</v>
      </c>
      <c r="P933" s="1377">
        <f t="shared" si="151"/>
        <v>0</v>
      </c>
    </row>
    <row r="934" spans="1:16" ht="15.5" outlineLevel="1">
      <c r="A934" s="1446">
        <f t="shared" si="144"/>
        <v>8.1</v>
      </c>
      <c r="B934" s="1447" t="str">
        <f t="shared" si="143"/>
        <v>Procurement of Locomotive 800 HP (2 No.’s)</v>
      </c>
      <c r="C934" s="1472" t="str">
        <f t="shared" si="143"/>
        <v>MERC/CAPEX/20162017/01426</v>
      </c>
      <c r="D934" s="1473">
        <f t="shared" si="143"/>
        <v>42768</v>
      </c>
      <c r="E934" s="1474">
        <f t="shared" si="143"/>
        <v>4.9504132231404956</v>
      </c>
      <c r="F934" s="1444">
        <f t="shared" si="145"/>
        <v>4.8260800000000001</v>
      </c>
      <c r="G934" s="1444">
        <f t="shared" si="146"/>
        <v>4.8260800000000001</v>
      </c>
      <c r="H934" s="1474">
        <f t="shared" si="147"/>
        <v>0</v>
      </c>
      <c r="I934" s="1444">
        <v>0</v>
      </c>
      <c r="J934" s="1444">
        <v>0</v>
      </c>
      <c r="K934" s="1474"/>
      <c r="L934" s="1474"/>
      <c r="M934" s="1474">
        <f t="shared" si="152"/>
        <v>0</v>
      </c>
      <c r="N934" s="1474">
        <f t="shared" si="149"/>
        <v>0</v>
      </c>
      <c r="O934" s="1445">
        <f t="shared" si="150"/>
        <v>0</v>
      </c>
      <c r="P934" s="1377">
        <f t="shared" si="151"/>
        <v>0</v>
      </c>
    </row>
    <row r="935" spans="1:16" ht="15.5" outlineLevel="1">
      <c r="A935" s="1446">
        <f t="shared" si="144"/>
        <v>8.1999999999999993</v>
      </c>
      <c r="B935" s="1447" t="str">
        <f t="shared" si="143"/>
        <v>Procurement of 2 No’s of Bulldozer Model D-155(2 No.’s)</v>
      </c>
      <c r="C935" s="1472" t="str">
        <f t="shared" si="143"/>
        <v>MERC/CAPEX/20162017/01426</v>
      </c>
      <c r="D935" s="1473">
        <f t="shared" si="143"/>
        <v>42768</v>
      </c>
      <c r="E935" s="1474">
        <f t="shared" si="143"/>
        <v>2.5619834710743801</v>
      </c>
      <c r="F935" s="1444">
        <f t="shared" si="145"/>
        <v>3.4747105785123966</v>
      </c>
      <c r="G935" s="1444">
        <f t="shared" si="146"/>
        <v>3.4747105785123966</v>
      </c>
      <c r="H935" s="1474">
        <f t="shared" si="147"/>
        <v>0</v>
      </c>
      <c r="I935" s="1444">
        <v>0</v>
      </c>
      <c r="J935" s="1444">
        <v>0</v>
      </c>
      <c r="K935" s="1474"/>
      <c r="L935" s="1474"/>
      <c r="M935" s="1474">
        <f t="shared" si="152"/>
        <v>0</v>
      </c>
      <c r="N935" s="1474">
        <f t="shared" si="149"/>
        <v>0</v>
      </c>
      <c r="O935" s="1445">
        <f t="shared" si="150"/>
        <v>0</v>
      </c>
      <c r="P935" s="1377">
        <f t="shared" si="151"/>
        <v>0</v>
      </c>
    </row>
    <row r="936" spans="1:16" ht="15.5" outlineLevel="1">
      <c r="A936" s="1446">
        <f t="shared" si="144"/>
        <v>8.3000000000000007</v>
      </c>
      <c r="B936" s="1447" t="str">
        <f t="shared" si="143"/>
        <v>Modification below primary crusher chutes 15A/B &amp; Conv.02</v>
      </c>
      <c r="C936" s="1472" t="str">
        <f t="shared" si="143"/>
        <v>MERC/CAPEX/20162017/01426</v>
      </c>
      <c r="D936" s="1473">
        <f t="shared" si="143"/>
        <v>42768</v>
      </c>
      <c r="E936" s="1474">
        <f t="shared" si="143"/>
        <v>0.42975206611570249</v>
      </c>
      <c r="F936" s="1444">
        <f t="shared" si="145"/>
        <v>0.38033057851239671</v>
      </c>
      <c r="G936" s="1444">
        <f t="shared" si="146"/>
        <v>0.38033057851239671</v>
      </c>
      <c r="H936" s="1474">
        <f t="shared" si="147"/>
        <v>0</v>
      </c>
      <c r="I936" s="1444">
        <v>0</v>
      </c>
      <c r="J936" s="1444">
        <v>0</v>
      </c>
      <c r="K936" s="1474"/>
      <c r="L936" s="1474"/>
      <c r="M936" s="1474">
        <f t="shared" si="152"/>
        <v>0</v>
      </c>
      <c r="N936" s="1474">
        <f t="shared" si="149"/>
        <v>0</v>
      </c>
      <c r="O936" s="1445">
        <f t="shared" si="150"/>
        <v>0</v>
      </c>
      <c r="P936" s="1377">
        <f t="shared" si="151"/>
        <v>0</v>
      </c>
    </row>
    <row r="937" spans="1:16" ht="15.5" outlineLevel="1">
      <c r="A937" s="1446">
        <f t="shared" si="144"/>
        <v>8.4</v>
      </c>
      <c r="B937" s="1447" t="str">
        <f t="shared" si="143"/>
        <v>New helical gear box for various conveyors</v>
      </c>
      <c r="C937" s="1472" t="str">
        <f t="shared" si="143"/>
        <v>MERC/CAPEX/20162017/01426</v>
      </c>
      <c r="D937" s="1473">
        <f t="shared" si="143"/>
        <v>42768</v>
      </c>
      <c r="E937" s="1474">
        <f t="shared" si="143"/>
        <v>0.79338842975206614</v>
      </c>
      <c r="F937" s="1444">
        <f t="shared" si="145"/>
        <v>0</v>
      </c>
      <c r="G937" s="1444">
        <f t="shared" si="146"/>
        <v>0</v>
      </c>
      <c r="H937" s="1474">
        <f t="shared" si="147"/>
        <v>0</v>
      </c>
      <c r="I937" s="1444">
        <v>0</v>
      </c>
      <c r="J937" s="1444">
        <v>0</v>
      </c>
      <c r="K937" s="1474"/>
      <c r="L937" s="1474"/>
      <c r="M937" s="1474">
        <f t="shared" si="152"/>
        <v>0</v>
      </c>
      <c r="N937" s="1474">
        <f t="shared" si="149"/>
        <v>0</v>
      </c>
      <c r="O937" s="1445">
        <f t="shared" si="150"/>
        <v>0</v>
      </c>
      <c r="P937" s="1377">
        <f t="shared" si="151"/>
        <v>0</v>
      </c>
    </row>
    <row r="938" spans="1:16" ht="15.5" outlineLevel="1">
      <c r="A938" s="1446">
        <f t="shared" si="144"/>
        <v>8.5</v>
      </c>
      <c r="B938" s="1447" t="str">
        <f t="shared" si="143"/>
        <v xml:space="preserve">Procurement of Elecon Make Ring Granulator Type TK-09-38B </v>
      </c>
      <c r="C938" s="1472" t="str">
        <f t="shared" si="143"/>
        <v>MERC/CAPEX/20162017/01426</v>
      </c>
      <c r="D938" s="1473">
        <f t="shared" si="143"/>
        <v>42768</v>
      </c>
      <c r="E938" s="1474">
        <f t="shared" si="143"/>
        <v>0.53719008264462809</v>
      </c>
      <c r="F938" s="1444">
        <f t="shared" si="145"/>
        <v>0</v>
      </c>
      <c r="G938" s="1444">
        <f t="shared" si="146"/>
        <v>0</v>
      </c>
      <c r="H938" s="1474">
        <f t="shared" si="147"/>
        <v>0</v>
      </c>
      <c r="I938" s="1444">
        <v>0</v>
      </c>
      <c r="J938" s="1444">
        <v>0</v>
      </c>
      <c r="K938" s="1474"/>
      <c r="L938" s="1474"/>
      <c r="M938" s="1474">
        <f t="shared" si="152"/>
        <v>0</v>
      </c>
      <c r="N938" s="1474">
        <f t="shared" si="149"/>
        <v>0</v>
      </c>
      <c r="O938" s="1445">
        <f t="shared" si="150"/>
        <v>0</v>
      </c>
      <c r="P938" s="1377">
        <f t="shared" si="151"/>
        <v>0</v>
      </c>
    </row>
    <row r="939" spans="1:16" ht="15.5" outlineLevel="1">
      <c r="A939" s="1446">
        <f t="shared" si="144"/>
        <v>8.6</v>
      </c>
      <c r="B939" s="1447" t="str">
        <f t="shared" si="143"/>
        <v>Procurement of Elecon Make Ring Granulator Type TK6 32B Ring Granulator</v>
      </c>
      <c r="C939" s="1472" t="str">
        <f t="shared" si="143"/>
        <v>MERC/CAPEX/20162017/01426</v>
      </c>
      <c r="D939" s="1473">
        <f t="shared" si="143"/>
        <v>42768</v>
      </c>
      <c r="E939" s="1474">
        <f t="shared" si="143"/>
        <v>0.33884297520661155</v>
      </c>
      <c r="F939" s="1444">
        <f t="shared" si="145"/>
        <v>0</v>
      </c>
      <c r="G939" s="1444">
        <f t="shared" si="146"/>
        <v>0</v>
      </c>
      <c r="H939" s="1474">
        <f t="shared" si="147"/>
        <v>0</v>
      </c>
      <c r="I939" s="1444">
        <v>0</v>
      </c>
      <c r="J939" s="1444">
        <v>0</v>
      </c>
      <c r="K939" s="1474"/>
      <c r="L939" s="1474"/>
      <c r="M939" s="1474">
        <f t="shared" si="152"/>
        <v>0</v>
      </c>
      <c r="N939" s="1474">
        <f t="shared" si="149"/>
        <v>0</v>
      </c>
      <c r="O939" s="1445">
        <f t="shared" si="150"/>
        <v>0</v>
      </c>
      <c r="P939" s="1377">
        <f t="shared" si="151"/>
        <v>0</v>
      </c>
    </row>
    <row r="940" spans="1:16" ht="15.5" outlineLevel="1">
      <c r="A940" s="1446">
        <f t="shared" si="144"/>
        <v>0</v>
      </c>
      <c r="B940" s="1447" t="str">
        <f t="shared" si="143"/>
        <v>IDC</v>
      </c>
      <c r="C940" s="1472" t="str">
        <f t="shared" si="143"/>
        <v>MERC/CAPEX/20162017/01426</v>
      </c>
      <c r="D940" s="1473">
        <f t="shared" si="143"/>
        <v>42768</v>
      </c>
      <c r="E940" s="1474">
        <f t="shared" si="143"/>
        <v>0.35537190082644626</v>
      </c>
      <c r="F940" s="1444">
        <f t="shared" si="145"/>
        <v>0</v>
      </c>
      <c r="G940" s="1444">
        <f t="shared" si="146"/>
        <v>0</v>
      </c>
      <c r="H940" s="1474">
        <f t="shared" si="147"/>
        <v>0</v>
      </c>
      <c r="I940" s="1444">
        <v>0</v>
      </c>
      <c r="J940" s="1444">
        <v>0</v>
      </c>
      <c r="K940" s="1474"/>
      <c r="L940" s="1474"/>
      <c r="M940" s="1474">
        <f t="shared" si="152"/>
        <v>0</v>
      </c>
      <c r="N940" s="1474">
        <f t="shared" si="149"/>
        <v>0</v>
      </c>
      <c r="O940" s="1445">
        <f t="shared" si="150"/>
        <v>0</v>
      </c>
      <c r="P940" s="1377">
        <f t="shared" si="151"/>
        <v>0</v>
      </c>
    </row>
    <row r="941" spans="1:16" ht="15.5" outlineLevel="1">
      <c r="A941" s="1440">
        <f t="shared" si="144"/>
        <v>9</v>
      </c>
      <c r="B941" s="1441" t="str">
        <f t="shared" si="143"/>
        <v>Construction of 1st raising of Ash bund from T.B.L. 258M to 264M at Bhusawal TPS</v>
      </c>
      <c r="C941" s="1442" t="str">
        <f t="shared" si="143"/>
        <v>MERC/CAPEX/20172018/4267</v>
      </c>
      <c r="D941" s="1443">
        <f t="shared" si="143"/>
        <v>43006</v>
      </c>
      <c r="E941" s="1444">
        <f t="shared" si="143"/>
        <v>64.22</v>
      </c>
      <c r="F941" s="1444">
        <f t="shared" si="145"/>
        <v>0</v>
      </c>
      <c r="G941" s="1444">
        <f t="shared" si="146"/>
        <v>0</v>
      </c>
      <c r="H941" s="1444">
        <f t="shared" si="147"/>
        <v>0</v>
      </c>
      <c r="I941" s="1444">
        <v>0</v>
      </c>
      <c r="J941" s="1444">
        <v>0</v>
      </c>
      <c r="K941" s="1444"/>
      <c r="L941" s="1444"/>
      <c r="M941" s="1444">
        <f t="shared" si="152"/>
        <v>0</v>
      </c>
      <c r="N941" s="1444">
        <f t="shared" si="149"/>
        <v>0</v>
      </c>
      <c r="O941" s="1445">
        <f t="shared" si="150"/>
        <v>0</v>
      </c>
      <c r="P941" s="1377">
        <f t="shared" si="151"/>
        <v>0</v>
      </c>
    </row>
    <row r="942" spans="1:16" ht="31" outlineLevel="1">
      <c r="A942" s="1446">
        <f t="shared" si="144"/>
        <v>9.1</v>
      </c>
      <c r="B942" s="1447" t="str">
        <f t="shared" si="143"/>
        <v>Construction of 1st raising of Ash bund from T.B.L. 258M to 264M at Bhusawal TPS</v>
      </c>
      <c r="C942" s="1472" t="str">
        <f t="shared" si="143"/>
        <v>MERC/CAPEX/20172018/4267</v>
      </c>
      <c r="D942" s="1473">
        <f t="shared" si="143"/>
        <v>43006</v>
      </c>
      <c r="E942" s="1474">
        <f t="shared" si="143"/>
        <v>64.22</v>
      </c>
      <c r="F942" s="1444">
        <f t="shared" si="145"/>
        <v>64.498238246301369</v>
      </c>
      <c r="G942" s="1444">
        <f t="shared" si="146"/>
        <v>64.498238246301369</v>
      </c>
      <c r="H942" s="1474">
        <f t="shared" si="147"/>
        <v>0</v>
      </c>
      <c r="I942" s="1444">
        <v>0</v>
      </c>
      <c r="J942" s="1444">
        <v>0</v>
      </c>
      <c r="K942" s="1474"/>
      <c r="L942" s="1474"/>
      <c r="M942" s="1474">
        <f t="shared" si="152"/>
        <v>0</v>
      </c>
      <c r="N942" s="1474">
        <f t="shared" si="149"/>
        <v>0</v>
      </c>
      <c r="O942" s="1445">
        <f t="shared" si="150"/>
        <v>0</v>
      </c>
      <c r="P942" s="1377">
        <f t="shared" si="151"/>
        <v>0</v>
      </c>
    </row>
    <row r="943" spans="1:16" ht="31" outlineLevel="1">
      <c r="A943" s="1440">
        <f t="shared" si="144"/>
        <v>10</v>
      </c>
      <c r="B943" s="1441" t="str">
        <f t="shared" si="143"/>
        <v>Augmentation of Ash Evacuation System &amp; Procurement of BCW Pump Motors at Bhusawal &amp; Khaperkheda TPS 500 MW Units</v>
      </c>
      <c r="C943" s="1442" t="str">
        <f t="shared" si="143"/>
        <v>MERC/CAPEX/20172018/4782</v>
      </c>
      <c r="D943" s="1443">
        <f t="shared" si="143"/>
        <v>43067</v>
      </c>
      <c r="E943" s="1444">
        <f t="shared" si="143"/>
        <v>17.439999999999998</v>
      </c>
      <c r="F943" s="1444">
        <f t="shared" si="145"/>
        <v>0</v>
      </c>
      <c r="G943" s="1444">
        <f t="shared" si="146"/>
        <v>0</v>
      </c>
      <c r="H943" s="1444">
        <f t="shared" si="147"/>
        <v>0</v>
      </c>
      <c r="I943" s="1444">
        <v>0</v>
      </c>
      <c r="J943" s="1444">
        <v>0</v>
      </c>
      <c r="K943" s="1444"/>
      <c r="L943" s="1444"/>
      <c r="M943" s="1444">
        <f t="shared" si="152"/>
        <v>0</v>
      </c>
      <c r="N943" s="1444">
        <f t="shared" si="149"/>
        <v>0</v>
      </c>
      <c r="O943" s="1445">
        <f t="shared" si="150"/>
        <v>0</v>
      </c>
      <c r="P943" s="1377">
        <f t="shared" si="151"/>
        <v>0</v>
      </c>
    </row>
    <row r="944" spans="1:16" ht="15.5" outlineLevel="1">
      <c r="A944" s="1446">
        <f t="shared" si="144"/>
        <v>10.1</v>
      </c>
      <c r="B944" s="1447" t="str">
        <f t="shared" si="144"/>
        <v>Installation of standby Buffer Hopper parallel to existing pair of buffer hoppers</v>
      </c>
      <c r="C944" s="1472" t="str">
        <f t="shared" si="144"/>
        <v>MERC/CAPEX/20172018/4782</v>
      </c>
      <c r="D944" s="1473">
        <f t="shared" si="144"/>
        <v>43067</v>
      </c>
      <c r="E944" s="1474">
        <f t="shared" si="144"/>
        <v>11.5</v>
      </c>
      <c r="F944" s="1444">
        <f t="shared" si="145"/>
        <v>0</v>
      </c>
      <c r="G944" s="1444">
        <f t="shared" si="146"/>
        <v>0</v>
      </c>
      <c r="H944" s="1474">
        <f t="shared" si="147"/>
        <v>0</v>
      </c>
      <c r="I944" s="1444">
        <v>0</v>
      </c>
      <c r="J944" s="1444">
        <v>0</v>
      </c>
      <c r="K944" s="1474"/>
      <c r="L944" s="1474"/>
      <c r="M944" s="1474">
        <f t="shared" si="152"/>
        <v>0</v>
      </c>
      <c r="N944" s="1474">
        <f t="shared" si="149"/>
        <v>0</v>
      </c>
      <c r="O944" s="1445">
        <f t="shared" si="150"/>
        <v>0</v>
      </c>
      <c r="P944" s="1377">
        <f t="shared" si="151"/>
        <v>0</v>
      </c>
    </row>
    <row r="945" spans="1:16" ht="31" outlineLevel="1">
      <c r="A945" s="1446">
        <f t="shared" si="144"/>
        <v>10.199999999999999</v>
      </c>
      <c r="B945" s="1447" t="str">
        <f t="shared" si="144"/>
        <v>Installation of additional vacuum pump for every two passes, near to intermediate hopper.</v>
      </c>
      <c r="C945" s="1472" t="str">
        <f t="shared" si="144"/>
        <v>MERC/CAPEX/20172018/4782</v>
      </c>
      <c r="D945" s="1473">
        <f t="shared" si="144"/>
        <v>43067</v>
      </c>
      <c r="E945" s="1474">
        <f t="shared" si="144"/>
        <v>0.6</v>
      </c>
      <c r="F945" s="1444">
        <f t="shared" si="145"/>
        <v>0</v>
      </c>
      <c r="G945" s="1444">
        <f t="shared" si="146"/>
        <v>0</v>
      </c>
      <c r="H945" s="1474">
        <f t="shared" si="147"/>
        <v>0</v>
      </c>
      <c r="I945" s="1444">
        <v>0</v>
      </c>
      <c r="J945" s="1444">
        <v>0</v>
      </c>
      <c r="K945" s="1474"/>
      <c r="L945" s="1474"/>
      <c r="M945" s="1474">
        <f t="shared" si="152"/>
        <v>0</v>
      </c>
      <c r="N945" s="1474">
        <f t="shared" si="149"/>
        <v>0</v>
      </c>
      <c r="O945" s="1445">
        <f t="shared" si="150"/>
        <v>0</v>
      </c>
      <c r="P945" s="1377">
        <f t="shared" si="151"/>
        <v>0</v>
      </c>
    </row>
    <row r="946" spans="1:16" ht="62" outlineLevel="1">
      <c r="A946" s="1446">
        <f t="shared" ref="A946:E961" si="153">A716</f>
        <v>10.3</v>
      </c>
      <c r="B946" s="1447" t="str">
        <f t="shared" si="153"/>
        <v>Procurement of 02 Nos of M/s Torishima, Japan make, 350 KW, 6.6KV, Boiler Circulating Water (BCW) Pump Motors (without pump casing) with 02 lots of recommended Electrical &amp; C&amp;I spares for Bhusawal and Khaparkheda TPS 500MW.</v>
      </c>
      <c r="C946" s="1472" t="str">
        <f t="shared" si="153"/>
        <v>MERC/CAPEX/20172018/4782</v>
      </c>
      <c r="D946" s="1473">
        <f t="shared" si="153"/>
        <v>43067</v>
      </c>
      <c r="E946" s="1474">
        <f t="shared" si="153"/>
        <v>4.24</v>
      </c>
      <c r="F946" s="1444">
        <f t="shared" si="145"/>
        <v>4.6696428000000001</v>
      </c>
      <c r="G946" s="1444">
        <f t="shared" si="146"/>
        <v>4.6696428000000001</v>
      </c>
      <c r="H946" s="1474">
        <f t="shared" si="147"/>
        <v>0</v>
      </c>
      <c r="I946" s="1444">
        <v>0</v>
      </c>
      <c r="J946" s="1444">
        <v>0</v>
      </c>
      <c r="K946" s="1474"/>
      <c r="L946" s="1474"/>
      <c r="M946" s="1474">
        <f t="shared" si="152"/>
        <v>0</v>
      </c>
      <c r="N946" s="1474">
        <f t="shared" si="149"/>
        <v>0</v>
      </c>
      <c r="O946" s="1445">
        <f t="shared" si="150"/>
        <v>0</v>
      </c>
      <c r="P946" s="1377">
        <f t="shared" si="151"/>
        <v>0</v>
      </c>
    </row>
    <row r="947" spans="1:16" ht="31" outlineLevel="1">
      <c r="A947" s="1446">
        <f t="shared" si="153"/>
        <v>10.4</v>
      </c>
      <c r="B947" s="1447" t="str">
        <f t="shared" si="153"/>
        <v>Procurement of complete ACVF drive module comprising of 2 Nos. of Supply and 3 Nos. of  Inverter modules for GEHO pumps</v>
      </c>
      <c r="C947" s="1472" t="str">
        <f t="shared" si="153"/>
        <v>MERC/CAPEX/20172018/4782</v>
      </c>
      <c r="D947" s="1473">
        <f t="shared" si="153"/>
        <v>43067</v>
      </c>
      <c r="E947" s="1474">
        <f t="shared" si="153"/>
        <v>0.95</v>
      </c>
      <c r="F947" s="1444">
        <f t="shared" si="145"/>
        <v>0.92864275500000004</v>
      </c>
      <c r="G947" s="1444">
        <f t="shared" si="146"/>
        <v>0.92864275500000004</v>
      </c>
      <c r="H947" s="1474">
        <f t="shared" si="147"/>
        <v>0</v>
      </c>
      <c r="I947" s="1444">
        <v>0</v>
      </c>
      <c r="J947" s="1444">
        <v>0</v>
      </c>
      <c r="K947" s="1474"/>
      <c r="L947" s="1474"/>
      <c r="M947" s="1474">
        <f t="shared" si="152"/>
        <v>0</v>
      </c>
      <c r="N947" s="1474">
        <f t="shared" si="149"/>
        <v>0</v>
      </c>
      <c r="O947" s="1445">
        <f t="shared" si="150"/>
        <v>0</v>
      </c>
      <c r="P947" s="1377">
        <f t="shared" si="151"/>
        <v>0</v>
      </c>
    </row>
    <row r="948" spans="1:16" ht="31" outlineLevel="1">
      <c r="A948" s="1446">
        <f t="shared" si="153"/>
        <v>10.5</v>
      </c>
      <c r="B948" s="1447" t="str">
        <f t="shared" si="153"/>
        <v>Supply, erection and commissioning of 24VDC, 100A Float &amp; Float cum Boost Battery Charger with 325Ah Battery Bank for CWPH at BTPS 2x500 MW.</v>
      </c>
      <c r="C948" s="1472" t="str">
        <f t="shared" si="153"/>
        <v>MERC/CAPEX/20172018/4782</v>
      </c>
      <c r="D948" s="1473">
        <f t="shared" si="153"/>
        <v>43067</v>
      </c>
      <c r="E948" s="1474">
        <f t="shared" si="153"/>
        <v>0.15</v>
      </c>
      <c r="F948" s="1444">
        <f t="shared" si="145"/>
        <v>0.157884</v>
      </c>
      <c r="G948" s="1444">
        <f t="shared" si="146"/>
        <v>0.157884</v>
      </c>
      <c r="H948" s="1474">
        <f t="shared" si="147"/>
        <v>0</v>
      </c>
      <c r="I948" s="1444">
        <v>0</v>
      </c>
      <c r="J948" s="1444">
        <v>0</v>
      </c>
      <c r="K948" s="1474"/>
      <c r="L948" s="1474"/>
      <c r="M948" s="1474">
        <f t="shared" si="152"/>
        <v>0</v>
      </c>
      <c r="N948" s="1474">
        <f t="shared" si="149"/>
        <v>0</v>
      </c>
      <c r="O948" s="1445">
        <f t="shared" si="150"/>
        <v>0</v>
      </c>
      <c r="P948" s="1377">
        <f t="shared" si="151"/>
        <v>0</v>
      </c>
    </row>
    <row r="949" spans="1:16" ht="15.5" outlineLevel="1">
      <c r="A949" s="1446">
        <f t="shared" si="153"/>
        <v>0</v>
      </c>
      <c r="B949" s="1447" t="str">
        <f t="shared" si="153"/>
        <v xml:space="preserve">IDC </v>
      </c>
      <c r="C949" s="1472" t="str">
        <f t="shared" si="153"/>
        <v>MERC/CAPEX/20172018/4782</v>
      </c>
      <c r="D949" s="1473">
        <f t="shared" si="153"/>
        <v>43067</v>
      </c>
      <c r="E949" s="1474">
        <f t="shared" si="153"/>
        <v>0</v>
      </c>
      <c r="F949" s="1444">
        <f t="shared" si="145"/>
        <v>0</v>
      </c>
      <c r="G949" s="1444">
        <f t="shared" si="146"/>
        <v>0</v>
      </c>
      <c r="H949" s="1474">
        <f t="shared" si="147"/>
        <v>0</v>
      </c>
      <c r="I949" s="1444">
        <v>0</v>
      </c>
      <c r="J949" s="1444">
        <v>0</v>
      </c>
      <c r="K949" s="1474"/>
      <c r="L949" s="1474"/>
      <c r="M949" s="1474">
        <f t="shared" si="152"/>
        <v>0</v>
      </c>
      <c r="N949" s="1474">
        <f t="shared" si="149"/>
        <v>0</v>
      </c>
      <c r="O949" s="1445">
        <f t="shared" si="150"/>
        <v>0</v>
      </c>
      <c r="P949" s="1377">
        <f t="shared" si="151"/>
        <v>0</v>
      </c>
    </row>
    <row r="950" spans="1:16" ht="15.5" outlineLevel="1">
      <c r="A950" s="1440">
        <f t="shared" si="153"/>
        <v>11</v>
      </c>
      <c r="B950" s="1441" t="str">
        <f t="shared" si="153"/>
        <v>Various schemes for renovation of colony at Bhusawal TPS</v>
      </c>
      <c r="C950" s="1442" t="str">
        <f t="shared" si="153"/>
        <v>MERC/CAPEX/20172018/0221</v>
      </c>
      <c r="D950" s="1443">
        <f t="shared" si="153"/>
        <v>43143</v>
      </c>
      <c r="E950" s="1444">
        <f t="shared" si="153"/>
        <v>19.334125999999998</v>
      </c>
      <c r="F950" s="1444">
        <f t="shared" si="145"/>
        <v>0</v>
      </c>
      <c r="G950" s="1444">
        <f t="shared" si="146"/>
        <v>0</v>
      </c>
      <c r="H950" s="1444">
        <f t="shared" si="147"/>
        <v>0</v>
      </c>
      <c r="I950" s="1444">
        <v>0</v>
      </c>
      <c r="J950" s="1444">
        <v>0</v>
      </c>
      <c r="K950" s="1444"/>
      <c r="L950" s="1444"/>
      <c r="M950" s="1444">
        <f t="shared" si="152"/>
        <v>0</v>
      </c>
      <c r="N950" s="1444">
        <f t="shared" si="149"/>
        <v>0</v>
      </c>
      <c r="O950" s="1445">
        <f t="shared" si="150"/>
        <v>0</v>
      </c>
      <c r="P950" s="1377">
        <f t="shared" si="151"/>
        <v>0</v>
      </c>
    </row>
    <row r="951" spans="1:16" ht="15.5" outlineLevel="1">
      <c r="A951" s="1446">
        <f t="shared" si="153"/>
        <v>11.1</v>
      </c>
      <c r="B951" s="1447" t="str">
        <f t="shared" si="153"/>
        <v>Renovation of staff quarters &amp; related work at BTPS Deepnagar</v>
      </c>
      <c r="C951" s="1472" t="str">
        <f t="shared" si="153"/>
        <v>MERC/CAPEX/20172018/0221</v>
      </c>
      <c r="D951" s="1473">
        <f t="shared" si="153"/>
        <v>43143</v>
      </c>
      <c r="E951" s="1474">
        <f t="shared" si="153"/>
        <v>7.0209999999999999</v>
      </c>
      <c r="F951" s="1444">
        <f t="shared" si="145"/>
        <v>5.45837182</v>
      </c>
      <c r="G951" s="1444">
        <f t="shared" si="146"/>
        <v>5.45837182</v>
      </c>
      <c r="H951" s="1474">
        <f t="shared" si="147"/>
        <v>0</v>
      </c>
      <c r="I951" s="1444">
        <v>0</v>
      </c>
      <c r="J951" s="1444">
        <v>0</v>
      </c>
      <c r="K951" s="1474"/>
      <c r="L951" s="1474"/>
      <c r="M951" s="1474">
        <f t="shared" si="152"/>
        <v>0</v>
      </c>
      <c r="N951" s="1474">
        <f t="shared" si="149"/>
        <v>0</v>
      </c>
      <c r="O951" s="1445">
        <f t="shared" si="150"/>
        <v>0</v>
      </c>
      <c r="P951" s="1377">
        <f t="shared" si="151"/>
        <v>0</v>
      </c>
    </row>
    <row r="952" spans="1:16" ht="15.5" outlineLevel="1">
      <c r="A952" s="1446">
        <f t="shared" si="153"/>
        <v>11.2</v>
      </c>
      <c r="B952" s="1447" t="str">
        <f t="shared" si="153"/>
        <v>Colony Internal Roads at BTPS, Deepnagar</v>
      </c>
      <c r="C952" s="1472" t="str">
        <f t="shared" si="153"/>
        <v>MERC/CAPEX/20172018/0221</v>
      </c>
      <c r="D952" s="1473">
        <f t="shared" si="153"/>
        <v>43143</v>
      </c>
      <c r="E952" s="1474">
        <f t="shared" si="153"/>
        <v>3.85</v>
      </c>
      <c r="F952" s="1444">
        <f t="shared" si="145"/>
        <v>3.2500731940000001</v>
      </c>
      <c r="G952" s="1444">
        <f t="shared" si="146"/>
        <v>3.2514022229999999</v>
      </c>
      <c r="H952" s="1474">
        <f t="shared" si="147"/>
        <v>-1.3290289999998706E-3</v>
      </c>
      <c r="I952" s="1444">
        <v>0</v>
      </c>
      <c r="J952" s="1444">
        <v>0</v>
      </c>
      <c r="K952" s="1474"/>
      <c r="L952" s="1474"/>
      <c r="M952" s="1474">
        <f t="shared" si="152"/>
        <v>0</v>
      </c>
      <c r="N952" s="1474">
        <f t="shared" si="149"/>
        <v>-1.3290289999998706E-3</v>
      </c>
      <c r="O952" s="1445">
        <f t="shared" si="150"/>
        <v>0</v>
      </c>
      <c r="P952" s="1377">
        <f t="shared" si="151"/>
        <v>0</v>
      </c>
    </row>
    <row r="953" spans="1:16" ht="15.5" outlineLevel="1">
      <c r="A953" s="1446">
        <f t="shared" si="153"/>
        <v>11.3</v>
      </c>
      <c r="B953" s="1447" t="str">
        <f t="shared" si="153"/>
        <v>Water supply , sanitary &amp; drainage works at BTPS, Deepnagar</v>
      </c>
      <c r="C953" s="1472" t="str">
        <f t="shared" si="153"/>
        <v>MERC/CAPEX/20172018/0221</v>
      </c>
      <c r="D953" s="1473">
        <f t="shared" si="153"/>
        <v>43143</v>
      </c>
      <c r="E953" s="1474">
        <f t="shared" si="153"/>
        <v>7.3</v>
      </c>
      <c r="F953" s="1444">
        <f t="shared" si="145"/>
        <v>5.8360794</v>
      </c>
      <c r="G953" s="1444">
        <f t="shared" si="146"/>
        <v>5.8108501159999992</v>
      </c>
      <c r="H953" s="1474">
        <f t="shared" si="147"/>
        <v>2.5229284000000796E-2</v>
      </c>
      <c r="I953" s="1444">
        <v>0</v>
      </c>
      <c r="J953" s="1444">
        <v>0</v>
      </c>
      <c r="K953" s="1474"/>
      <c r="L953" s="1474"/>
      <c r="M953" s="1474">
        <f t="shared" si="152"/>
        <v>0</v>
      </c>
      <c r="N953" s="1474">
        <f t="shared" si="149"/>
        <v>2.5229284000000796E-2</v>
      </c>
      <c r="O953" s="1445">
        <f t="shared" si="150"/>
        <v>0</v>
      </c>
      <c r="P953" s="1377">
        <f t="shared" si="151"/>
        <v>0</v>
      </c>
    </row>
    <row r="954" spans="1:16" ht="15.5" outlineLevel="1">
      <c r="A954" s="1446">
        <f t="shared" si="153"/>
        <v>11.4</v>
      </c>
      <c r="B954" s="1447" t="str">
        <f t="shared" si="153"/>
        <v>Plinth protection to existing buildings at BTPS, Deepnagar</v>
      </c>
      <c r="C954" s="1472" t="str">
        <f t="shared" si="153"/>
        <v>MERC/CAPEX/20172018/0221</v>
      </c>
      <c r="D954" s="1473">
        <f t="shared" si="153"/>
        <v>43143</v>
      </c>
      <c r="E954" s="1474">
        <f t="shared" si="153"/>
        <v>1.1631259999999999</v>
      </c>
      <c r="F954" s="1444">
        <f t="shared" si="145"/>
        <v>0.91823160000000004</v>
      </c>
      <c r="G954" s="1444">
        <f t="shared" si="146"/>
        <v>0.91823162200000008</v>
      </c>
      <c r="H954" s="1474">
        <f t="shared" si="147"/>
        <v>-2.2000000043931323E-8</v>
      </c>
      <c r="I954" s="1444">
        <v>0</v>
      </c>
      <c r="J954" s="1444">
        <v>0</v>
      </c>
      <c r="K954" s="1474"/>
      <c r="L954" s="1474"/>
      <c r="M954" s="1474">
        <f t="shared" si="152"/>
        <v>0</v>
      </c>
      <c r="N954" s="1474">
        <f t="shared" si="149"/>
        <v>-2.2000000043931323E-8</v>
      </c>
      <c r="O954" s="1445">
        <f t="shared" si="150"/>
        <v>0</v>
      </c>
      <c r="P954" s="1377">
        <f t="shared" si="151"/>
        <v>0</v>
      </c>
    </row>
    <row r="955" spans="1:16" ht="31" outlineLevel="1">
      <c r="A955" s="1440">
        <f t="shared" si="153"/>
        <v>12</v>
      </c>
      <c r="B955" s="1441" t="str">
        <f t="shared" si="153"/>
        <v>Pipeline from River Water Pump House (RWPH) to aquaduct over Bhogawati River and Other allied power house road works under DPR scheme at BTPS, Bhusawal</v>
      </c>
      <c r="C955" s="1442" t="str">
        <f t="shared" si="153"/>
        <v>MERC/CAPEX/2018-2019/0104</v>
      </c>
      <c r="D955" s="1443">
        <f t="shared" si="153"/>
        <v>43559</v>
      </c>
      <c r="E955" s="1444">
        <f t="shared" si="153"/>
        <v>13.1172</v>
      </c>
      <c r="F955" s="1444">
        <f t="shared" si="145"/>
        <v>0</v>
      </c>
      <c r="G955" s="1444">
        <f t="shared" si="146"/>
        <v>0</v>
      </c>
      <c r="H955" s="1444">
        <f t="shared" si="147"/>
        <v>0</v>
      </c>
      <c r="I955" s="1444">
        <v>0</v>
      </c>
      <c r="J955" s="1444">
        <v>0</v>
      </c>
      <c r="K955" s="1444"/>
      <c r="L955" s="1444"/>
      <c r="M955" s="1444">
        <f t="shared" si="152"/>
        <v>0</v>
      </c>
      <c r="N955" s="1444">
        <f t="shared" si="149"/>
        <v>0</v>
      </c>
      <c r="O955" s="1445">
        <f t="shared" si="150"/>
        <v>0</v>
      </c>
      <c r="P955" s="1377">
        <f t="shared" si="151"/>
        <v>0</v>
      </c>
    </row>
    <row r="956" spans="1:16" ht="46.5" outlineLevel="1">
      <c r="A956" s="1448">
        <f t="shared" si="153"/>
        <v>12.1</v>
      </c>
      <c r="B956" s="1449" t="str">
        <f t="shared" si="153"/>
        <v>Providing supplying laying, jointing, testing and commissioning of 1650 mm Ø ID 8 mm thick M.S. pipeline for raw water supply from RWPH to aquaduct over Bhogawati river at, BTPS, Bhusawal.</v>
      </c>
      <c r="C956" s="1472" t="str">
        <f t="shared" si="153"/>
        <v>MERC/CAPEX/2018-2019/0104</v>
      </c>
      <c r="D956" s="1473">
        <f t="shared" si="153"/>
        <v>43559</v>
      </c>
      <c r="E956" s="1474">
        <f t="shared" si="153"/>
        <v>7.2569999999999997</v>
      </c>
      <c r="F956" s="1444">
        <f t="shared" si="145"/>
        <v>0</v>
      </c>
      <c r="G956" s="1444">
        <f t="shared" si="146"/>
        <v>0</v>
      </c>
      <c r="H956" s="1474">
        <f t="shared" si="147"/>
        <v>0</v>
      </c>
      <c r="I956" s="1444">
        <v>0</v>
      </c>
      <c r="J956" s="1444">
        <v>0</v>
      </c>
      <c r="K956" s="1474"/>
      <c r="L956" s="1474"/>
      <c r="M956" s="1474">
        <f t="shared" si="152"/>
        <v>0</v>
      </c>
      <c r="N956" s="1474">
        <f t="shared" si="149"/>
        <v>0</v>
      </c>
      <c r="O956" s="1445">
        <f t="shared" si="150"/>
        <v>0</v>
      </c>
      <c r="P956" s="1377">
        <f t="shared" si="151"/>
        <v>0</v>
      </c>
    </row>
    <row r="957" spans="1:16" ht="31" outlineLevel="1">
      <c r="A957" s="1448">
        <f t="shared" si="153"/>
        <v>12.2</v>
      </c>
      <c r="B957" s="1449" t="str">
        <f t="shared" si="153"/>
        <v>Construction of WBM and Bituminous road along inlet &amp; outlet canals and concreate road along periphery of Major store at BTPS, Bhusawal.</v>
      </c>
      <c r="C957" s="1472" t="str">
        <f t="shared" si="153"/>
        <v>MERC/CAPEX/2018-2019/0104</v>
      </c>
      <c r="D957" s="1473">
        <f t="shared" si="153"/>
        <v>43559</v>
      </c>
      <c r="E957" s="1474">
        <f t="shared" si="153"/>
        <v>4.22</v>
      </c>
      <c r="F957" s="1444">
        <f t="shared" si="145"/>
        <v>3.8304708600000001</v>
      </c>
      <c r="G957" s="1444">
        <f t="shared" si="146"/>
        <v>3.8304708869999997</v>
      </c>
      <c r="H957" s="1474">
        <f t="shared" si="147"/>
        <v>-2.6999999569454758E-8</v>
      </c>
      <c r="I957" s="1444">
        <v>0</v>
      </c>
      <c r="J957" s="1444">
        <v>0</v>
      </c>
      <c r="K957" s="1474"/>
      <c r="L957" s="1474"/>
      <c r="M957" s="1474">
        <f t="shared" si="152"/>
        <v>0</v>
      </c>
      <c r="N957" s="1474">
        <f t="shared" si="149"/>
        <v>-2.6999999569454758E-8</v>
      </c>
      <c r="O957" s="1445">
        <f t="shared" si="150"/>
        <v>0</v>
      </c>
      <c r="P957" s="1377">
        <f t="shared" si="151"/>
        <v>0</v>
      </c>
    </row>
    <row r="958" spans="1:16" ht="31" outlineLevel="1">
      <c r="A958" s="1446">
        <f t="shared" si="153"/>
        <v>12.3</v>
      </c>
      <c r="B958" s="1447" t="str">
        <f t="shared" si="153"/>
        <v>Work of construction of self-supporting steel roofing system for a major store godown shed of span 25M at BTPS, Deepnagar.</v>
      </c>
      <c r="C958" s="1472" t="str">
        <f t="shared" si="153"/>
        <v>MERC/CAPEX/2018-2019/0104</v>
      </c>
      <c r="D958" s="1473">
        <f t="shared" si="153"/>
        <v>43559</v>
      </c>
      <c r="E958" s="1474">
        <f t="shared" si="153"/>
        <v>1.6401999999999999</v>
      </c>
      <c r="F958" s="1444">
        <f t="shared" si="145"/>
        <v>0.27</v>
      </c>
      <c r="G958" s="1444">
        <f t="shared" si="146"/>
        <v>1.6376399460000002</v>
      </c>
      <c r="H958" s="1474">
        <f t="shared" si="147"/>
        <v>-1.3676399460000002</v>
      </c>
      <c r="I958" s="1444">
        <v>0</v>
      </c>
      <c r="J958" s="1444">
        <v>0</v>
      </c>
      <c r="K958" s="1474"/>
      <c r="L958" s="1474"/>
      <c r="M958" s="1474">
        <f t="shared" si="152"/>
        <v>0</v>
      </c>
      <c r="N958" s="1474">
        <f t="shared" si="149"/>
        <v>-1.3676399460000002</v>
      </c>
      <c r="O958" s="1445">
        <f t="shared" si="150"/>
        <v>0</v>
      </c>
      <c r="P958" s="1377">
        <f t="shared" si="151"/>
        <v>0</v>
      </c>
    </row>
    <row r="959" spans="1:16" ht="15.5" outlineLevel="1">
      <c r="A959" s="1448">
        <f t="shared" si="153"/>
        <v>0</v>
      </c>
      <c r="B959" s="1449" t="str">
        <f t="shared" si="153"/>
        <v>IDC</v>
      </c>
      <c r="C959" s="1472" t="str">
        <f t="shared" si="153"/>
        <v>MERC/CAPEX/2018-2019/0104</v>
      </c>
      <c r="D959" s="1473">
        <f t="shared" si="153"/>
        <v>43559</v>
      </c>
      <c r="E959" s="1474">
        <f t="shared" si="153"/>
        <v>0</v>
      </c>
      <c r="F959" s="1444">
        <f t="shared" si="145"/>
        <v>0.14917520000000001</v>
      </c>
      <c r="G959" s="1444">
        <f t="shared" si="146"/>
        <v>0.14917520000000001</v>
      </c>
      <c r="H959" s="1474">
        <f t="shared" si="147"/>
        <v>0</v>
      </c>
      <c r="I959" s="1444">
        <v>0</v>
      </c>
      <c r="J959" s="1444">
        <v>0</v>
      </c>
      <c r="K959" s="1474"/>
      <c r="L959" s="1474"/>
      <c r="M959" s="1474">
        <f t="shared" si="152"/>
        <v>0</v>
      </c>
      <c r="N959" s="1474">
        <f t="shared" si="149"/>
        <v>0</v>
      </c>
      <c r="O959" s="1445">
        <f t="shared" si="150"/>
        <v>0</v>
      </c>
      <c r="P959" s="1377">
        <f t="shared" si="151"/>
        <v>0</v>
      </c>
    </row>
    <row r="960" spans="1:16" ht="46.5" outlineLevel="1">
      <c r="A960" s="1440">
        <f t="shared" si="153"/>
        <v>13</v>
      </c>
      <c r="B960" s="1441" t="str">
        <f t="shared" si="153"/>
        <v>Supply, erection, commissioning &amp; site testing of 220 V, 2035 AH, Station Battery Sets (4 Nos.) and 24 V, 2250 AH, SG/TG &amp; BOP Battery Sets (8 Nos.) for U# 4 &amp; 5 along with accessories at 2 x 500 MW BTPS, Bhusawal</v>
      </c>
      <c r="C960" s="1442" t="str">
        <f t="shared" si="153"/>
        <v>MERC/CAPEX/2017-2018/1226</v>
      </c>
      <c r="D960" s="1443">
        <f t="shared" si="153"/>
        <v>43322</v>
      </c>
      <c r="E960" s="1444">
        <f t="shared" si="153"/>
        <v>11.59</v>
      </c>
      <c r="F960" s="1444">
        <f t="shared" si="145"/>
        <v>0</v>
      </c>
      <c r="G960" s="1444">
        <f t="shared" si="146"/>
        <v>0</v>
      </c>
      <c r="H960" s="1444">
        <f t="shared" si="147"/>
        <v>0</v>
      </c>
      <c r="I960" s="1444">
        <v>0</v>
      </c>
      <c r="J960" s="1444">
        <v>0</v>
      </c>
      <c r="K960" s="1444"/>
      <c r="L960" s="1444"/>
      <c r="M960" s="1444">
        <f t="shared" si="152"/>
        <v>0</v>
      </c>
      <c r="N960" s="1444">
        <f t="shared" si="149"/>
        <v>0</v>
      </c>
      <c r="O960" s="1445">
        <f t="shared" si="150"/>
        <v>0</v>
      </c>
      <c r="P960" s="1377">
        <f t="shared" si="151"/>
        <v>0</v>
      </c>
    </row>
    <row r="961" spans="1:16" ht="46.5" outlineLevel="1">
      <c r="A961" s="1446">
        <f t="shared" si="153"/>
        <v>13.1</v>
      </c>
      <c r="B961" s="1447" t="str">
        <f t="shared" si="153"/>
        <v>Supply, erection, commissioning &amp; site testing of 220V, 2035 AH Station Battery Sets (02 Nos.) and 24V, 2250AH, SG/TG &amp; BOP Battery Set (04 Nos.) along with accessories for Unit No.5 at BTPS 2x500MW.</v>
      </c>
      <c r="C961" s="1472" t="str">
        <f t="shared" si="153"/>
        <v>MERC/CAPEX/2017-2018/1226</v>
      </c>
      <c r="D961" s="1473">
        <f t="shared" si="153"/>
        <v>43322</v>
      </c>
      <c r="E961" s="1474">
        <f t="shared" si="153"/>
        <v>5.7949999999999999</v>
      </c>
      <c r="F961" s="1444">
        <f t="shared" si="145"/>
        <v>6.3739579500000003</v>
      </c>
      <c r="G961" s="1444">
        <f t="shared" si="146"/>
        <v>6.3739579500000003</v>
      </c>
      <c r="H961" s="1474">
        <f t="shared" si="147"/>
        <v>0</v>
      </c>
      <c r="I961" s="1444">
        <v>0</v>
      </c>
      <c r="J961" s="1444">
        <v>0</v>
      </c>
      <c r="K961" s="1474"/>
      <c r="L961" s="1474"/>
      <c r="M961" s="1474">
        <f t="shared" si="152"/>
        <v>0</v>
      </c>
      <c r="N961" s="1474">
        <f t="shared" si="149"/>
        <v>0</v>
      </c>
      <c r="O961" s="1445">
        <f t="shared" si="150"/>
        <v>0</v>
      </c>
      <c r="P961" s="1377">
        <f t="shared" si="151"/>
        <v>0</v>
      </c>
    </row>
    <row r="962" spans="1:16" ht="46.5" outlineLevel="1">
      <c r="A962" s="1446">
        <f t="shared" ref="A962:E977" si="154">A732</f>
        <v>13.2</v>
      </c>
      <c r="B962" s="1447" t="str">
        <f t="shared" si="154"/>
        <v>Supply, erection, commissioning &amp; site testing of 220V, 2035 AH Station Battery Sets (02 Nos.) and 24V, 2250AH, SG/TG &amp; BOP Battery Set (04 Nos.) along with accessories for Unit No.4 at BTPS 2x500MW.</v>
      </c>
      <c r="C962" s="1472" t="str">
        <f t="shared" si="154"/>
        <v>MERC/CAPEX/2017-2018/1226</v>
      </c>
      <c r="D962" s="1473">
        <f t="shared" si="154"/>
        <v>43322</v>
      </c>
      <c r="E962" s="1474">
        <f t="shared" si="154"/>
        <v>5.7949999999999999</v>
      </c>
      <c r="F962" s="1444">
        <f t="shared" si="145"/>
        <v>6.3227326000000001</v>
      </c>
      <c r="G962" s="1444">
        <f t="shared" si="146"/>
        <v>6.3227326000000001</v>
      </c>
      <c r="H962" s="1474">
        <f t="shared" si="147"/>
        <v>0</v>
      </c>
      <c r="I962" s="1444">
        <v>0</v>
      </c>
      <c r="J962" s="1444">
        <v>0</v>
      </c>
      <c r="K962" s="1474"/>
      <c r="L962" s="1474"/>
      <c r="M962" s="1474">
        <f t="shared" si="152"/>
        <v>0</v>
      </c>
      <c r="N962" s="1474">
        <f t="shared" si="149"/>
        <v>0</v>
      </c>
      <c r="O962" s="1445">
        <f t="shared" si="150"/>
        <v>0</v>
      </c>
      <c r="P962" s="1377">
        <f t="shared" si="151"/>
        <v>0</v>
      </c>
    </row>
    <row r="963" spans="1:16" ht="31" outlineLevel="1">
      <c r="A963" s="1440">
        <f t="shared" si="154"/>
        <v>15</v>
      </c>
      <c r="B963" s="1441" t="str">
        <f t="shared" si="154"/>
        <v>Flue Gas Desulphurization (FGD) System for 500 MW Units (Total 8 Nos) of MSPGCL</v>
      </c>
      <c r="C963" s="1442" t="str">
        <f t="shared" si="154"/>
        <v>MERC/CAPEX/2020-2021/WFH/SBR/45</v>
      </c>
      <c r="D963" s="1443">
        <f t="shared" si="154"/>
        <v>44232</v>
      </c>
      <c r="E963" s="1444">
        <f t="shared" si="154"/>
        <v>869.5</v>
      </c>
      <c r="F963" s="1444">
        <f t="shared" si="145"/>
        <v>0</v>
      </c>
      <c r="G963" s="1444">
        <f t="shared" si="146"/>
        <v>0</v>
      </c>
      <c r="H963" s="1444">
        <f t="shared" si="147"/>
        <v>0</v>
      </c>
      <c r="I963" s="1444">
        <v>0</v>
      </c>
      <c r="J963" s="1444">
        <v>0</v>
      </c>
      <c r="K963" s="1444"/>
      <c r="L963" s="1444"/>
      <c r="M963" s="1444">
        <f t="shared" si="152"/>
        <v>0</v>
      </c>
      <c r="N963" s="1444">
        <f t="shared" si="149"/>
        <v>0</v>
      </c>
      <c r="O963" s="1445">
        <f t="shared" si="150"/>
        <v>0</v>
      </c>
      <c r="P963" s="1377">
        <f t="shared" si="151"/>
        <v>0</v>
      </c>
    </row>
    <row r="964" spans="1:16" ht="15.5" outlineLevel="1">
      <c r="A964" s="1450">
        <f t="shared" si="154"/>
        <v>15.1</v>
      </c>
      <c r="B964" s="1451" t="str">
        <f t="shared" si="154"/>
        <v>Flue Gas Desulphurization (FGD) System for Bhusawal Unit 4-5</v>
      </c>
      <c r="C964" s="1475" t="str">
        <f t="shared" si="154"/>
        <v>MERC/CAPEX/2020-2021/WFH/SBR/45</v>
      </c>
      <c r="D964" s="1473">
        <f t="shared" si="154"/>
        <v>44232</v>
      </c>
      <c r="E964" s="1476">
        <f t="shared" si="154"/>
        <v>830.4</v>
      </c>
      <c r="F964" s="1444">
        <f t="shared" si="145"/>
        <v>594.41000000000008</v>
      </c>
      <c r="G964" s="1444">
        <f t="shared" si="146"/>
        <v>424.58</v>
      </c>
      <c r="H964" s="1476">
        <f t="shared" si="147"/>
        <v>169.8300000000001</v>
      </c>
      <c r="I964" s="1444">
        <v>254.75</v>
      </c>
      <c r="J964" s="1444">
        <v>424.58</v>
      </c>
      <c r="K964" s="1476"/>
      <c r="L964" s="1476"/>
      <c r="M964" s="1476">
        <f t="shared" si="152"/>
        <v>424.58</v>
      </c>
      <c r="N964" s="1476">
        <f t="shared" si="149"/>
        <v>0</v>
      </c>
      <c r="O964" s="1445">
        <f t="shared" si="150"/>
        <v>405.82</v>
      </c>
      <c r="P964" s="1377">
        <f t="shared" si="151"/>
        <v>18.759999999999991</v>
      </c>
    </row>
    <row r="965" spans="1:16" ht="15.5" outlineLevel="1">
      <c r="A965" s="1450">
        <f t="shared" si="154"/>
        <v>0</v>
      </c>
      <c r="B965" s="1452" t="str">
        <f t="shared" si="154"/>
        <v>IDC</v>
      </c>
      <c r="C965" s="1475" t="str">
        <f t="shared" si="154"/>
        <v>MERC/CAPEX/2020-2021/WFH/SBR/45</v>
      </c>
      <c r="D965" s="1473">
        <f t="shared" si="154"/>
        <v>44232</v>
      </c>
      <c r="E965" s="1476">
        <f t="shared" si="154"/>
        <v>39.1</v>
      </c>
      <c r="F965" s="1444">
        <f t="shared" si="145"/>
        <v>0</v>
      </c>
      <c r="G965" s="1444">
        <f t="shared" si="146"/>
        <v>0</v>
      </c>
      <c r="H965" s="1476">
        <f t="shared" si="147"/>
        <v>0</v>
      </c>
      <c r="I965" s="1444">
        <v>0</v>
      </c>
      <c r="J965" s="1444">
        <v>0</v>
      </c>
      <c r="K965" s="1476"/>
      <c r="L965" s="1476"/>
      <c r="M965" s="1476">
        <f t="shared" si="152"/>
        <v>0</v>
      </c>
      <c r="N965" s="1476">
        <f t="shared" si="149"/>
        <v>0</v>
      </c>
      <c r="O965" s="1445">
        <f t="shared" si="150"/>
        <v>0</v>
      </c>
      <c r="P965" s="1377">
        <f t="shared" si="151"/>
        <v>0</v>
      </c>
    </row>
    <row r="966" spans="1:16" ht="31" outlineLevel="1">
      <c r="A966" s="1440">
        <f t="shared" si="154"/>
        <v>16</v>
      </c>
      <c r="B966" s="1441" t="str">
        <f t="shared" si="154"/>
        <v>Procurement of two BFP Cartridges &amp; one rotor of Turbine driven BFP &amp; at 500MW BTPS, Bhusawal</v>
      </c>
      <c r="C966" s="1442" t="str">
        <f t="shared" si="154"/>
        <v>MERC/CAPEX/2020-2021/WFO/SBR/49</v>
      </c>
      <c r="D966" s="1443">
        <f t="shared" si="154"/>
        <v>44263</v>
      </c>
      <c r="E966" s="1444">
        <f t="shared" si="154"/>
        <v>10.520000000000001</v>
      </c>
      <c r="F966" s="1444">
        <f t="shared" si="145"/>
        <v>0</v>
      </c>
      <c r="G966" s="1444">
        <f t="shared" si="146"/>
        <v>0</v>
      </c>
      <c r="H966" s="1444">
        <f t="shared" si="147"/>
        <v>0</v>
      </c>
      <c r="I966" s="1444">
        <v>0</v>
      </c>
      <c r="J966" s="1444">
        <v>0</v>
      </c>
      <c r="K966" s="1444"/>
      <c r="L966" s="1444"/>
      <c r="M966" s="1444">
        <f t="shared" si="152"/>
        <v>0</v>
      </c>
      <c r="N966" s="1444">
        <f t="shared" si="149"/>
        <v>0</v>
      </c>
      <c r="O966" s="1445">
        <f t="shared" si="150"/>
        <v>0</v>
      </c>
      <c r="P966" s="1377">
        <f t="shared" si="151"/>
        <v>0</v>
      </c>
    </row>
    <row r="967" spans="1:16" ht="15.5" outlineLevel="1">
      <c r="A967" s="1450">
        <f t="shared" si="154"/>
        <v>16.100000000000001</v>
      </c>
      <c r="B967" s="1452" t="str">
        <f t="shared" si="154"/>
        <v>Procurement of two BFP Cartridges at 500MW BTPS, Bhusawal</v>
      </c>
      <c r="C967" s="1475" t="str">
        <f t="shared" si="154"/>
        <v>MERC/CAPEX/2020-2021/WFO/SBR/49</v>
      </c>
      <c r="D967" s="1473">
        <f t="shared" si="154"/>
        <v>44263</v>
      </c>
      <c r="E967" s="1476">
        <f t="shared" si="154"/>
        <v>3.84</v>
      </c>
      <c r="F967" s="1444">
        <f t="shared" si="145"/>
        <v>2.2399997760000003</v>
      </c>
      <c r="G967" s="1444">
        <f t="shared" si="146"/>
        <v>2.2399997760000003</v>
      </c>
      <c r="H967" s="1476">
        <f t="shared" si="147"/>
        <v>0</v>
      </c>
      <c r="I967" s="1444">
        <v>0</v>
      </c>
      <c r="J967" s="1444">
        <v>0</v>
      </c>
      <c r="K967" s="1476"/>
      <c r="L967" s="1476"/>
      <c r="M967" s="1476">
        <f t="shared" si="152"/>
        <v>0</v>
      </c>
      <c r="N967" s="1476">
        <f t="shared" si="149"/>
        <v>0</v>
      </c>
      <c r="O967" s="1445">
        <f t="shared" si="150"/>
        <v>0</v>
      </c>
      <c r="P967" s="1377">
        <f t="shared" si="151"/>
        <v>0</v>
      </c>
    </row>
    <row r="968" spans="1:16" ht="15.5" outlineLevel="1">
      <c r="A968" s="1450">
        <f t="shared" si="154"/>
        <v>16.2</v>
      </c>
      <c r="B968" s="1452" t="str">
        <f t="shared" si="154"/>
        <v>Procurement of one rotor of Turbine driven BFP at 500MW BTPS, Bhusawal</v>
      </c>
      <c r="C968" s="1475" t="str">
        <f t="shared" si="154"/>
        <v>MERC/CAPEX/2020-2021/WFO/SBR/49</v>
      </c>
      <c r="D968" s="1473">
        <f t="shared" si="154"/>
        <v>44263</v>
      </c>
      <c r="E968" s="1476">
        <f t="shared" si="154"/>
        <v>6.46</v>
      </c>
      <c r="F968" s="1444">
        <f t="shared" si="145"/>
        <v>7.6135872999999998</v>
      </c>
      <c r="G968" s="1444">
        <f t="shared" si="146"/>
        <v>7.6135872999999998</v>
      </c>
      <c r="H968" s="1476">
        <f t="shared" si="147"/>
        <v>0</v>
      </c>
      <c r="I968" s="1444">
        <v>0</v>
      </c>
      <c r="J968" s="1444">
        <v>0</v>
      </c>
      <c r="K968" s="1476"/>
      <c r="L968" s="1476"/>
      <c r="M968" s="1476">
        <f t="shared" si="152"/>
        <v>0</v>
      </c>
      <c r="N968" s="1476">
        <f t="shared" si="149"/>
        <v>0</v>
      </c>
      <c r="O968" s="1445">
        <f t="shared" si="150"/>
        <v>0</v>
      </c>
      <c r="P968" s="1377">
        <f t="shared" si="151"/>
        <v>0</v>
      </c>
    </row>
    <row r="969" spans="1:16" ht="15.5" outlineLevel="1">
      <c r="A969" s="1450">
        <f t="shared" si="154"/>
        <v>0</v>
      </c>
      <c r="B969" s="1452" t="str">
        <f t="shared" si="154"/>
        <v>IDC</v>
      </c>
      <c r="C969" s="1475" t="str">
        <f t="shared" si="154"/>
        <v>MERC/CAPEX/2020-2021/WFO/SBR/49</v>
      </c>
      <c r="D969" s="1473">
        <f t="shared" si="154"/>
        <v>44263</v>
      </c>
      <c r="E969" s="1476">
        <f t="shared" si="154"/>
        <v>0.22</v>
      </c>
      <c r="F969" s="1444">
        <f t="shared" si="145"/>
        <v>0</v>
      </c>
      <c r="G969" s="1444">
        <f t="shared" si="146"/>
        <v>0</v>
      </c>
      <c r="H969" s="1476">
        <f t="shared" si="147"/>
        <v>0</v>
      </c>
      <c r="I969" s="1444">
        <v>0</v>
      </c>
      <c r="J969" s="1444">
        <v>0</v>
      </c>
      <c r="K969" s="1476"/>
      <c r="L969" s="1476"/>
      <c r="M969" s="1476">
        <f t="shared" si="152"/>
        <v>0</v>
      </c>
      <c r="N969" s="1476">
        <f t="shared" si="149"/>
        <v>0</v>
      </c>
      <c r="O969" s="1445">
        <f t="shared" si="150"/>
        <v>0</v>
      </c>
      <c r="P969" s="1377">
        <f t="shared" si="151"/>
        <v>0</v>
      </c>
    </row>
    <row r="970" spans="1:16" ht="31" outlineLevel="1">
      <c r="A970" s="1440">
        <f t="shared" si="154"/>
        <v>17</v>
      </c>
      <c r="B970" s="1441" t="str">
        <f t="shared" si="154"/>
        <v>CHP Improvement Schemes at 2X500MW, BTPS, Bhusawal</v>
      </c>
      <c r="C970" s="1442" t="str">
        <f t="shared" si="154"/>
        <v>MERC/CAPEX/2020-2021/WFH/SBR/09</v>
      </c>
      <c r="D970" s="1443">
        <f t="shared" si="154"/>
        <v>44357</v>
      </c>
      <c r="E970" s="1444">
        <f t="shared" si="154"/>
        <v>21.22</v>
      </c>
      <c r="F970" s="1444">
        <f t="shared" si="145"/>
        <v>0</v>
      </c>
      <c r="G970" s="1444">
        <f t="shared" si="146"/>
        <v>0</v>
      </c>
      <c r="H970" s="1444">
        <f t="shared" si="147"/>
        <v>0</v>
      </c>
      <c r="I970" s="1444">
        <v>0</v>
      </c>
      <c r="J970" s="1444">
        <v>0</v>
      </c>
      <c r="K970" s="1444"/>
      <c r="L970" s="1444"/>
      <c r="M970" s="1444">
        <f t="shared" si="152"/>
        <v>0</v>
      </c>
      <c r="N970" s="1444">
        <f t="shared" si="149"/>
        <v>0</v>
      </c>
      <c r="O970" s="1445">
        <f t="shared" si="150"/>
        <v>0</v>
      </c>
      <c r="P970" s="1377">
        <f t="shared" si="151"/>
        <v>0</v>
      </c>
    </row>
    <row r="971" spans="1:16" ht="15.5" outlineLevel="1">
      <c r="A971" s="1450">
        <f t="shared" si="154"/>
        <v>17.100000000000001</v>
      </c>
      <c r="B971" s="1452" t="str">
        <f t="shared" si="154"/>
        <v>Revamping of Apron Feeder in CHP at 2X500MW, BTPS</v>
      </c>
      <c r="C971" s="1475" t="str">
        <f t="shared" si="154"/>
        <v>MERC/CAPEX/2020-2021/WFH/SBR/09</v>
      </c>
      <c r="D971" s="1473">
        <f t="shared" si="154"/>
        <v>44357</v>
      </c>
      <c r="E971" s="1476">
        <f t="shared" si="154"/>
        <v>4.67</v>
      </c>
      <c r="F971" s="1444">
        <f t="shared" si="145"/>
        <v>4.6492000000000004</v>
      </c>
      <c r="G971" s="1444">
        <f t="shared" si="146"/>
        <v>4.6492000000000004</v>
      </c>
      <c r="H971" s="1476">
        <f t="shared" si="147"/>
        <v>0</v>
      </c>
      <c r="I971" s="1444">
        <v>0</v>
      </c>
      <c r="J971" s="1444">
        <v>0</v>
      </c>
      <c r="K971" s="1476"/>
      <c r="L971" s="1476"/>
      <c r="M971" s="1476">
        <f t="shared" si="152"/>
        <v>0</v>
      </c>
      <c r="N971" s="1476">
        <f t="shared" si="149"/>
        <v>0</v>
      </c>
      <c r="O971" s="1445">
        <f t="shared" si="150"/>
        <v>0</v>
      </c>
      <c r="P971" s="1377">
        <f t="shared" si="151"/>
        <v>0</v>
      </c>
    </row>
    <row r="972" spans="1:16" ht="31" outlineLevel="1">
      <c r="A972" s="1450">
        <f t="shared" si="154"/>
        <v>17.2</v>
      </c>
      <c r="B972" s="1452" t="str">
        <f t="shared" si="154"/>
        <v>Design, engineering, manufacturing, supply, Erection and commissioning of short conveyor from stack yard to belt feeder 112 in CHP 2x500MW BTPS.</v>
      </c>
      <c r="C972" s="1475" t="str">
        <f t="shared" si="154"/>
        <v>MERC/CAPEX/2020-2021/WFH/SBR/09</v>
      </c>
      <c r="D972" s="1473">
        <f t="shared" si="154"/>
        <v>44357</v>
      </c>
      <c r="E972" s="1476">
        <f t="shared" si="154"/>
        <v>3.53</v>
      </c>
      <c r="F972" s="1444">
        <f t="shared" si="145"/>
        <v>3.9647536259999998</v>
      </c>
      <c r="G972" s="1444">
        <f t="shared" si="146"/>
        <v>3.9647536259999998</v>
      </c>
      <c r="H972" s="1476">
        <f t="shared" si="147"/>
        <v>0</v>
      </c>
      <c r="I972" s="1444">
        <v>0</v>
      </c>
      <c r="J972" s="1444">
        <v>0</v>
      </c>
      <c r="K972" s="1476"/>
      <c r="L972" s="1476"/>
      <c r="M972" s="1476">
        <f t="shared" si="152"/>
        <v>0</v>
      </c>
      <c r="N972" s="1476">
        <f t="shared" si="149"/>
        <v>0</v>
      </c>
      <c r="O972" s="1445">
        <f t="shared" si="150"/>
        <v>0</v>
      </c>
      <c r="P972" s="1377">
        <f t="shared" si="151"/>
        <v>0</v>
      </c>
    </row>
    <row r="973" spans="1:16" ht="31" outlineLevel="1">
      <c r="A973" s="1450">
        <f t="shared" si="154"/>
        <v>17.3</v>
      </c>
      <c r="B973" s="1452" t="str">
        <f t="shared" si="154"/>
        <v>Design, engineering, manufacturing, supply, Erection and commissioning of stone grappler at Wagon Tippler No.3 in CHP 2x500MW BTPS.</v>
      </c>
      <c r="C973" s="1475" t="str">
        <f t="shared" si="154"/>
        <v>MERC/CAPEX/2020-2021/WFH/SBR/09</v>
      </c>
      <c r="D973" s="1473">
        <f t="shared" si="154"/>
        <v>44357</v>
      </c>
      <c r="E973" s="1476">
        <f t="shared" si="154"/>
        <v>0.84</v>
      </c>
      <c r="F973" s="1444">
        <f t="shared" si="145"/>
        <v>0.84</v>
      </c>
      <c r="G973" s="1444">
        <f t="shared" si="146"/>
        <v>0.84</v>
      </c>
      <c r="H973" s="1476">
        <f t="shared" si="147"/>
        <v>0</v>
      </c>
      <c r="I973" s="1444">
        <v>0</v>
      </c>
      <c r="J973" s="1444">
        <v>0</v>
      </c>
      <c r="K973" s="1476"/>
      <c r="L973" s="1476"/>
      <c r="M973" s="1476">
        <f t="shared" si="152"/>
        <v>0</v>
      </c>
      <c r="N973" s="1476">
        <f t="shared" si="149"/>
        <v>0</v>
      </c>
      <c r="O973" s="1445">
        <f t="shared" si="150"/>
        <v>0</v>
      </c>
      <c r="P973" s="1377">
        <f t="shared" si="151"/>
        <v>0</v>
      </c>
    </row>
    <row r="974" spans="1:16" ht="15.5" outlineLevel="1">
      <c r="A974" s="1450">
        <f t="shared" si="154"/>
        <v>17.399999999999999</v>
      </c>
      <c r="B974" s="1452" t="str">
        <f t="shared" si="154"/>
        <v>Procurement of suspended magnets in CHP 2x500MW BTPS.</v>
      </c>
      <c r="C974" s="1475" t="str">
        <f t="shared" si="154"/>
        <v>MERC/CAPEX/2020-2021/WFH/SBR/09</v>
      </c>
      <c r="D974" s="1473">
        <f t="shared" si="154"/>
        <v>44357</v>
      </c>
      <c r="E974" s="1476">
        <f t="shared" si="154"/>
        <v>2.95</v>
      </c>
      <c r="F974" s="1444">
        <f t="shared" si="145"/>
        <v>2.9470499999999999</v>
      </c>
      <c r="G974" s="1444">
        <f t="shared" si="146"/>
        <v>2.9470499999999999</v>
      </c>
      <c r="H974" s="1476">
        <f t="shared" si="147"/>
        <v>0</v>
      </c>
      <c r="I974" s="1444">
        <v>0</v>
      </c>
      <c r="J974" s="1444">
        <v>0</v>
      </c>
      <c r="K974" s="1476"/>
      <c r="L974" s="1476"/>
      <c r="M974" s="1476">
        <f t="shared" si="152"/>
        <v>0</v>
      </c>
      <c r="N974" s="1476">
        <f t="shared" si="149"/>
        <v>0</v>
      </c>
      <c r="O974" s="1445">
        <f t="shared" si="150"/>
        <v>0</v>
      </c>
      <c r="P974" s="1377">
        <f t="shared" si="151"/>
        <v>0</v>
      </c>
    </row>
    <row r="975" spans="1:16" ht="31" outlineLevel="1">
      <c r="A975" s="1450">
        <f t="shared" si="154"/>
        <v>17.5</v>
      </c>
      <c r="B975" s="1452" t="str">
        <f t="shared" si="154"/>
        <v>Supply, Erection And Commissioning of Electro-Mechanical Drive to Apron Feeder at CHP 500MW</v>
      </c>
      <c r="C975" s="1475" t="str">
        <f t="shared" si="154"/>
        <v>MERC/CAPEX/2020-2021/WFH/SBR/09</v>
      </c>
      <c r="D975" s="1473">
        <f t="shared" si="154"/>
        <v>44357</v>
      </c>
      <c r="E975" s="1476">
        <f t="shared" si="154"/>
        <v>7.57</v>
      </c>
      <c r="F975" s="1444">
        <f t="shared" si="145"/>
        <v>7.57</v>
      </c>
      <c r="G975" s="1444">
        <f t="shared" si="146"/>
        <v>0</v>
      </c>
      <c r="H975" s="1476">
        <f t="shared" si="147"/>
        <v>7.57</v>
      </c>
      <c r="I975" s="1444">
        <v>0</v>
      </c>
      <c r="J975" s="1444">
        <v>0</v>
      </c>
      <c r="K975" s="1476"/>
      <c r="L975" s="1476"/>
      <c r="M975" s="1476">
        <f t="shared" si="152"/>
        <v>0</v>
      </c>
      <c r="N975" s="1476">
        <f t="shared" si="149"/>
        <v>7.57</v>
      </c>
      <c r="O975" s="1445">
        <f t="shared" si="150"/>
        <v>0</v>
      </c>
      <c r="P975" s="1377">
        <f t="shared" si="151"/>
        <v>0</v>
      </c>
    </row>
    <row r="976" spans="1:16" ht="15.5" outlineLevel="1">
      <c r="A976" s="1450">
        <f t="shared" si="154"/>
        <v>0</v>
      </c>
      <c r="B976" s="1453" t="str">
        <f t="shared" si="154"/>
        <v>IDC</v>
      </c>
      <c r="C976" s="1475" t="str">
        <f t="shared" si="154"/>
        <v>MERC/CAPEX/2020-2021/WFH/SBR/09</v>
      </c>
      <c r="D976" s="1473">
        <f t="shared" si="154"/>
        <v>44357</v>
      </c>
      <c r="E976" s="1476">
        <f t="shared" si="154"/>
        <v>1.66</v>
      </c>
      <c r="F976" s="1444">
        <f t="shared" si="145"/>
        <v>6.7524100000000004E-2</v>
      </c>
      <c r="G976" s="1444">
        <f t="shared" si="146"/>
        <v>6.7524100000000004E-2</v>
      </c>
      <c r="H976" s="1476">
        <f t="shared" si="147"/>
        <v>0</v>
      </c>
      <c r="I976" s="1444">
        <v>0</v>
      </c>
      <c r="J976" s="1444">
        <v>0</v>
      </c>
      <c r="K976" s="1476"/>
      <c r="L976" s="1476"/>
      <c r="M976" s="1476">
        <f t="shared" si="152"/>
        <v>0</v>
      </c>
      <c r="N976" s="1476">
        <f t="shared" si="149"/>
        <v>0</v>
      </c>
      <c r="O976" s="1445">
        <f t="shared" si="150"/>
        <v>0</v>
      </c>
      <c r="P976" s="1377">
        <f t="shared" si="151"/>
        <v>0</v>
      </c>
    </row>
    <row r="977" spans="1:16" ht="31" outlineLevel="1">
      <c r="A977" s="1440" t="str">
        <f t="shared" si="154"/>
        <v>HO
DPR 6</v>
      </c>
      <c r="B977" s="1441" t="str">
        <f t="shared" si="154"/>
        <v>Supply, Installation, Commissioning and Operation &amp; Maintenance Services of Continuous Ambient Air Quality Monitoring Stations (CAAQMS) at various TPS</v>
      </c>
      <c r="C977" s="1442" t="str">
        <f t="shared" si="154"/>
        <v>MERC/CAPEX/20162017/00423</v>
      </c>
      <c r="D977" s="1443">
        <f t="shared" si="154"/>
        <v>42585</v>
      </c>
      <c r="E977" s="1444">
        <f t="shared" si="154"/>
        <v>3.9772580142857143</v>
      </c>
      <c r="F977" s="1444">
        <f t="shared" si="145"/>
        <v>0</v>
      </c>
      <c r="G977" s="1444">
        <f t="shared" si="146"/>
        <v>0</v>
      </c>
      <c r="H977" s="1444">
        <f t="shared" si="147"/>
        <v>0</v>
      </c>
      <c r="I977" s="1444">
        <v>0</v>
      </c>
      <c r="J977" s="1444">
        <v>0</v>
      </c>
      <c r="K977" s="1444"/>
      <c r="L977" s="1444"/>
      <c r="M977" s="1444">
        <f t="shared" si="152"/>
        <v>0</v>
      </c>
      <c r="N977" s="1444">
        <f t="shared" si="149"/>
        <v>0</v>
      </c>
      <c r="O977" s="1445">
        <f t="shared" si="150"/>
        <v>0</v>
      </c>
      <c r="P977" s="1377">
        <f t="shared" si="151"/>
        <v>0</v>
      </c>
    </row>
    <row r="978" spans="1:16" ht="15.5" outlineLevel="1">
      <c r="A978" s="1450">
        <f t="shared" ref="A978:E993" si="155">A748</f>
        <v>1</v>
      </c>
      <c r="B978" s="1452" t="str">
        <f t="shared" si="155"/>
        <v>Bhusawal: Unit 4-5 (3 Nos.)</v>
      </c>
      <c r="C978" s="1475" t="str">
        <f t="shared" si="155"/>
        <v>MERC/CAPEX/20162017/00423</v>
      </c>
      <c r="D978" s="1473">
        <f t="shared" si="155"/>
        <v>42585</v>
      </c>
      <c r="E978" s="1476">
        <f t="shared" si="155"/>
        <v>3.9772580142857143</v>
      </c>
      <c r="F978" s="1444">
        <f t="shared" si="145"/>
        <v>1.9467999333333335</v>
      </c>
      <c r="G978" s="1444">
        <f t="shared" si="146"/>
        <v>1.9457999143333333</v>
      </c>
      <c r="H978" s="1476">
        <f t="shared" si="147"/>
        <v>1.0000190000001297E-3</v>
      </c>
      <c r="I978" s="1444">
        <v>0</v>
      </c>
      <c r="J978" s="1444">
        <v>0</v>
      </c>
      <c r="K978" s="1476"/>
      <c r="L978" s="1476"/>
      <c r="M978" s="1476">
        <f t="shared" si="152"/>
        <v>0</v>
      </c>
      <c r="N978" s="1476">
        <f t="shared" si="149"/>
        <v>1.0000190000001297E-3</v>
      </c>
      <c r="O978" s="1445">
        <f t="shared" si="150"/>
        <v>0</v>
      </c>
      <c r="P978" s="1377">
        <f t="shared" si="151"/>
        <v>0</v>
      </c>
    </row>
    <row r="979" spans="1:16" ht="31" outlineLevel="1">
      <c r="A979" s="1440" t="str">
        <f t="shared" si="155"/>
        <v>HO
DPR 7</v>
      </c>
      <c r="B979" s="1441" t="str">
        <f t="shared" si="155"/>
        <v>Installation of Real Time Online Coal-Ash Analyzer at various TPS</v>
      </c>
      <c r="C979" s="1442" t="str">
        <f t="shared" si="155"/>
        <v>MERC/CAPEX/20162017/00774</v>
      </c>
      <c r="D979" s="1443">
        <f t="shared" si="155"/>
        <v>42643</v>
      </c>
      <c r="E979" s="1444">
        <f t="shared" si="155"/>
        <v>4.0552000000000001</v>
      </c>
      <c r="F979" s="1444">
        <f t="shared" si="145"/>
        <v>0</v>
      </c>
      <c r="G979" s="1444">
        <f t="shared" si="146"/>
        <v>0</v>
      </c>
      <c r="H979" s="1444">
        <f t="shared" si="147"/>
        <v>0</v>
      </c>
      <c r="I979" s="1444">
        <v>0</v>
      </c>
      <c r="J979" s="1444">
        <v>0</v>
      </c>
      <c r="K979" s="1444"/>
      <c r="L979" s="1444"/>
      <c r="M979" s="1444">
        <f t="shared" si="152"/>
        <v>0</v>
      </c>
      <c r="N979" s="1444">
        <f t="shared" si="149"/>
        <v>0</v>
      </c>
      <c r="O979" s="1445">
        <f t="shared" si="150"/>
        <v>0</v>
      </c>
      <c r="P979" s="1377">
        <f t="shared" si="151"/>
        <v>0</v>
      </c>
    </row>
    <row r="980" spans="1:16" ht="15.5" outlineLevel="1">
      <c r="A980" s="1450">
        <f t="shared" si="155"/>
        <v>1</v>
      </c>
      <c r="B980" s="1452" t="str">
        <f t="shared" si="155"/>
        <v>Bhusawal: Unit 4-5</v>
      </c>
      <c r="C980" s="1475" t="str">
        <f t="shared" si="155"/>
        <v>MERC/CAPEX/20162017/00774</v>
      </c>
      <c r="D980" s="1473">
        <f t="shared" si="155"/>
        <v>42643</v>
      </c>
      <c r="E980" s="1476">
        <f t="shared" si="155"/>
        <v>4.0552000000000001</v>
      </c>
      <c r="F980" s="1444">
        <f t="shared" si="145"/>
        <v>0</v>
      </c>
      <c r="G980" s="1444">
        <f t="shared" si="146"/>
        <v>0</v>
      </c>
      <c r="H980" s="1476">
        <f t="shared" si="147"/>
        <v>0</v>
      </c>
      <c r="I980" s="1444">
        <v>0</v>
      </c>
      <c r="J980" s="1444">
        <v>0</v>
      </c>
      <c r="K980" s="1476"/>
      <c r="L980" s="1476"/>
      <c r="M980" s="1476">
        <f t="shared" si="152"/>
        <v>0</v>
      </c>
      <c r="N980" s="1476">
        <f t="shared" si="149"/>
        <v>0</v>
      </c>
      <c r="O980" s="1445">
        <f t="shared" si="150"/>
        <v>0</v>
      </c>
      <c r="P980" s="1377">
        <f t="shared" si="151"/>
        <v>0</v>
      </c>
    </row>
    <row r="981" spans="1:16" ht="31" outlineLevel="1">
      <c r="A981" s="1440" t="str">
        <f t="shared" si="155"/>
        <v>HO
DPR 8</v>
      </c>
      <c r="B981" s="1441" t="str">
        <f t="shared" si="155"/>
        <v>Replacement of Fire Tenders at Various Power Stations of Mahagenco</v>
      </c>
      <c r="C981" s="1442" t="str">
        <f t="shared" si="155"/>
        <v>MERC/CAPEX/20172018/4653</v>
      </c>
      <c r="D981" s="1443">
        <f t="shared" si="155"/>
        <v>43052</v>
      </c>
      <c r="E981" s="1444">
        <f t="shared" si="155"/>
        <v>3.95</v>
      </c>
      <c r="F981" s="1444">
        <f t="shared" si="145"/>
        <v>0</v>
      </c>
      <c r="G981" s="1444">
        <f t="shared" si="146"/>
        <v>0</v>
      </c>
      <c r="H981" s="1444">
        <f t="shared" si="147"/>
        <v>0</v>
      </c>
      <c r="I981" s="1444">
        <v>0</v>
      </c>
      <c r="J981" s="1444">
        <v>0</v>
      </c>
      <c r="K981" s="1444"/>
      <c r="L981" s="1444"/>
      <c r="M981" s="1444">
        <f t="shared" si="152"/>
        <v>0</v>
      </c>
      <c r="N981" s="1444">
        <f t="shared" si="149"/>
        <v>0</v>
      </c>
      <c r="O981" s="1445">
        <f t="shared" si="150"/>
        <v>0</v>
      </c>
      <c r="P981" s="1377">
        <f t="shared" si="151"/>
        <v>0</v>
      </c>
    </row>
    <row r="982" spans="1:16" ht="15.5" outlineLevel="1">
      <c r="A982" s="1450">
        <f t="shared" si="155"/>
        <v>1</v>
      </c>
      <c r="B982" s="1452" t="str">
        <f t="shared" si="155"/>
        <v>Advance Multipurpose Fire Tender for BTPS 4-5</v>
      </c>
      <c r="C982" s="1477" t="str">
        <f t="shared" si="155"/>
        <v>MERC/CAPEX/20172018/4653</v>
      </c>
      <c r="D982" s="1473">
        <f t="shared" si="155"/>
        <v>43052</v>
      </c>
      <c r="E982" s="1476">
        <f t="shared" si="155"/>
        <v>1.45</v>
      </c>
      <c r="F982" s="1444">
        <f t="shared" si="145"/>
        <v>1.7765</v>
      </c>
      <c r="G982" s="1444">
        <f t="shared" si="146"/>
        <v>1.7765</v>
      </c>
      <c r="H982" s="1476">
        <f t="shared" si="147"/>
        <v>0</v>
      </c>
      <c r="I982" s="1444">
        <v>0</v>
      </c>
      <c r="J982" s="1444">
        <v>0</v>
      </c>
      <c r="K982" s="1476"/>
      <c r="L982" s="1476"/>
      <c r="M982" s="1476">
        <f t="shared" si="152"/>
        <v>0</v>
      </c>
      <c r="N982" s="1476">
        <f t="shared" si="149"/>
        <v>0</v>
      </c>
      <c r="O982" s="1445">
        <f t="shared" si="150"/>
        <v>0</v>
      </c>
      <c r="P982" s="1377">
        <f t="shared" si="151"/>
        <v>0</v>
      </c>
    </row>
    <row r="983" spans="1:16" ht="15.5" outlineLevel="1">
      <c r="A983" s="1450">
        <f t="shared" si="155"/>
        <v>2</v>
      </c>
      <c r="B983" s="1452" t="str">
        <f t="shared" si="155"/>
        <v>Normal Multipurpose Fire Tender for BTPS 4-5</v>
      </c>
      <c r="C983" s="1477" t="str">
        <f t="shared" si="155"/>
        <v>MERC/CAPEX/20172018/4653</v>
      </c>
      <c r="D983" s="1473">
        <f t="shared" si="155"/>
        <v>43052</v>
      </c>
      <c r="E983" s="1476">
        <f t="shared" si="155"/>
        <v>2.5</v>
      </c>
      <c r="F983" s="1444">
        <f t="shared" si="145"/>
        <v>2.1846524010000001</v>
      </c>
      <c r="G983" s="1444">
        <f t="shared" si="146"/>
        <v>2.1846524010000001</v>
      </c>
      <c r="H983" s="1476">
        <f t="shared" si="147"/>
        <v>0</v>
      </c>
      <c r="I983" s="1444">
        <v>0</v>
      </c>
      <c r="J983" s="1444">
        <v>0</v>
      </c>
      <c r="K983" s="1476"/>
      <c r="L983" s="1476"/>
      <c r="M983" s="1476">
        <f t="shared" si="152"/>
        <v>0</v>
      </c>
      <c r="N983" s="1476">
        <f t="shared" si="149"/>
        <v>0</v>
      </c>
      <c r="O983" s="1445">
        <f t="shared" si="150"/>
        <v>0</v>
      </c>
      <c r="P983" s="1377">
        <f t="shared" si="151"/>
        <v>0</v>
      </c>
    </row>
    <row r="984" spans="1:16" ht="15.5" outlineLevel="1">
      <c r="A984" s="1450">
        <f t="shared" si="155"/>
        <v>0</v>
      </c>
      <c r="B984" s="1452" t="str">
        <f t="shared" si="155"/>
        <v>IDC</v>
      </c>
      <c r="C984" s="1477" t="str">
        <f t="shared" si="155"/>
        <v>MERC/CAPEX/20172018/4653</v>
      </c>
      <c r="D984" s="1473">
        <f t="shared" si="155"/>
        <v>43052</v>
      </c>
      <c r="E984" s="1476">
        <f t="shared" si="155"/>
        <v>0</v>
      </c>
      <c r="F984" s="1444">
        <f t="shared" si="145"/>
        <v>0</v>
      </c>
      <c r="G984" s="1444">
        <f t="shared" si="146"/>
        <v>0</v>
      </c>
      <c r="H984" s="1476">
        <f t="shared" si="147"/>
        <v>0</v>
      </c>
      <c r="I984" s="1444">
        <v>0</v>
      </c>
      <c r="J984" s="1444">
        <v>0</v>
      </c>
      <c r="K984" s="1476"/>
      <c r="L984" s="1476"/>
      <c r="M984" s="1476">
        <f t="shared" si="152"/>
        <v>0</v>
      </c>
      <c r="N984" s="1476">
        <f t="shared" si="149"/>
        <v>0</v>
      </c>
      <c r="O984" s="1445">
        <f t="shared" si="150"/>
        <v>0</v>
      </c>
      <c r="P984" s="1377">
        <f t="shared" si="151"/>
        <v>0</v>
      </c>
    </row>
    <row r="985" spans="1:16" ht="31" outlineLevel="1">
      <c r="A985" s="1440" t="str">
        <f t="shared" si="155"/>
        <v>HO
DPR 10</v>
      </c>
      <c r="B985" s="1441" t="str">
        <f t="shared" si="155"/>
        <v>Implementation of IB recommendations- Civil works at various TPS of Mahagenco</v>
      </c>
      <c r="C985" s="1442" t="str">
        <f t="shared" si="155"/>
        <v>MERC/CAPEX/20172018/0177</v>
      </c>
      <c r="D985" s="1443">
        <f t="shared" si="155"/>
        <v>43137</v>
      </c>
      <c r="E985" s="1444">
        <f t="shared" si="155"/>
        <v>10.065399999999999</v>
      </c>
      <c r="F985" s="1444">
        <f t="shared" si="145"/>
        <v>0</v>
      </c>
      <c r="G985" s="1444">
        <f t="shared" si="146"/>
        <v>0</v>
      </c>
      <c r="H985" s="1444">
        <f t="shared" si="147"/>
        <v>0</v>
      </c>
      <c r="I985" s="1444">
        <v>0</v>
      </c>
      <c r="J985" s="1444">
        <v>0</v>
      </c>
      <c r="K985" s="1444"/>
      <c r="L985" s="1444"/>
      <c r="M985" s="1444">
        <f t="shared" si="152"/>
        <v>0</v>
      </c>
      <c r="N985" s="1444">
        <f t="shared" si="149"/>
        <v>0</v>
      </c>
      <c r="O985" s="1445">
        <f t="shared" si="150"/>
        <v>0</v>
      </c>
      <c r="P985" s="1377">
        <f t="shared" si="151"/>
        <v>0</v>
      </c>
    </row>
    <row r="986" spans="1:16" ht="15.5" outlineLevel="1">
      <c r="A986" s="1450">
        <f t="shared" si="155"/>
        <v>1</v>
      </c>
      <c r="B986" s="1452" t="str">
        <f t="shared" si="155"/>
        <v>Bhusawal: Unit 4-5</v>
      </c>
      <c r="C986" s="1478" t="str">
        <f t="shared" si="155"/>
        <v>MERC/CAPEX/20172018/0177</v>
      </c>
      <c r="D986" s="1473">
        <f t="shared" si="155"/>
        <v>43137</v>
      </c>
      <c r="E986" s="1476">
        <f t="shared" si="155"/>
        <v>10.065399999999999</v>
      </c>
      <c r="F986" s="1444">
        <f t="shared" si="145"/>
        <v>9.1854371740000005</v>
      </c>
      <c r="G986" s="1444">
        <f t="shared" si="146"/>
        <v>9.1836757359999996</v>
      </c>
      <c r="H986" s="1476">
        <f t="shared" si="147"/>
        <v>1.7614380000008367E-3</v>
      </c>
      <c r="I986" s="1444">
        <v>0</v>
      </c>
      <c r="J986" s="1444">
        <v>0</v>
      </c>
      <c r="K986" s="1476"/>
      <c r="L986" s="1476"/>
      <c r="M986" s="1476">
        <f t="shared" si="152"/>
        <v>0</v>
      </c>
      <c r="N986" s="1476">
        <f t="shared" si="149"/>
        <v>1.7614380000008367E-3</v>
      </c>
      <c r="O986" s="1445">
        <f t="shared" si="150"/>
        <v>0</v>
      </c>
      <c r="P986" s="1377">
        <f t="shared" si="151"/>
        <v>0</v>
      </c>
    </row>
    <row r="987" spans="1:16" ht="46.5" outlineLevel="1">
      <c r="A987" s="1440">
        <f t="shared" si="155"/>
        <v>18</v>
      </c>
      <c r="B987" s="1441" t="str">
        <f t="shared" si="155"/>
        <v>Procurement of assembly of baskets for Air Pre-heater of type 31.5 VIM 2000 (72° PA), Replacement of thermal insulation of Boiler, Ducts &amp; Steam Pipelines and Coal Mill Gear Box in 2x500MW at BTPS, Bhusawal</v>
      </c>
      <c r="C987" s="1442" t="str">
        <f t="shared" si="155"/>
        <v>MERC/CAPEX/2021-2022/ SBR/ 15</v>
      </c>
      <c r="D987" s="1443">
        <f t="shared" si="155"/>
        <v>44461</v>
      </c>
      <c r="E987" s="1444">
        <f t="shared" si="155"/>
        <v>14.96</v>
      </c>
      <c r="F987" s="1444">
        <f t="shared" si="145"/>
        <v>0</v>
      </c>
      <c r="G987" s="1444">
        <f t="shared" si="146"/>
        <v>0</v>
      </c>
      <c r="H987" s="1444">
        <f t="shared" si="147"/>
        <v>0</v>
      </c>
      <c r="I987" s="1444">
        <v>0</v>
      </c>
      <c r="J987" s="1444">
        <v>0</v>
      </c>
      <c r="K987" s="1444"/>
      <c r="L987" s="1444"/>
      <c r="M987" s="1444">
        <f t="shared" si="152"/>
        <v>0</v>
      </c>
      <c r="N987" s="1444">
        <f t="shared" si="149"/>
        <v>0</v>
      </c>
      <c r="O987" s="1445">
        <f t="shared" si="150"/>
        <v>0</v>
      </c>
      <c r="P987" s="1377">
        <f t="shared" si="151"/>
        <v>0</v>
      </c>
    </row>
    <row r="988" spans="1:16" ht="31" outlineLevel="1">
      <c r="A988" s="1314">
        <f t="shared" si="155"/>
        <v>18.100000000000001</v>
      </c>
      <c r="B988" s="1447" t="str">
        <f t="shared" si="155"/>
        <v>Procurement of assembly of baskets for Air Preheater of type 31.5 VIM 2000 (72° PA) for Unit-4&amp;5</v>
      </c>
      <c r="C988" s="1378" t="str">
        <f t="shared" si="155"/>
        <v>MERC/CAPEX/2021-2022/ SBR/ 15</v>
      </c>
      <c r="D988" s="1473">
        <f t="shared" si="155"/>
        <v>44461</v>
      </c>
      <c r="E988" s="305">
        <f t="shared" si="155"/>
        <v>5.53</v>
      </c>
      <c r="F988" s="1444">
        <f t="shared" si="145"/>
        <v>8.4110399999999998</v>
      </c>
      <c r="G988" s="1444">
        <f t="shared" si="146"/>
        <v>8.4110399999999998</v>
      </c>
      <c r="H988" s="305">
        <f t="shared" si="147"/>
        <v>0</v>
      </c>
      <c r="I988" s="1444">
        <v>0</v>
      </c>
      <c r="J988" s="1444">
        <v>0</v>
      </c>
      <c r="K988" s="305"/>
      <c r="L988" s="305"/>
      <c r="M988" s="305">
        <f t="shared" si="152"/>
        <v>0</v>
      </c>
      <c r="N988" s="305">
        <f t="shared" si="149"/>
        <v>0</v>
      </c>
      <c r="O988" s="1445">
        <f t="shared" si="150"/>
        <v>0</v>
      </c>
      <c r="P988" s="1377">
        <f t="shared" si="151"/>
        <v>0</v>
      </c>
    </row>
    <row r="989" spans="1:16" ht="31" outlineLevel="1">
      <c r="A989" s="1450">
        <f t="shared" si="155"/>
        <v>18.2</v>
      </c>
      <c r="B989" s="1452" t="str">
        <f t="shared" si="155"/>
        <v>Replacement of thermal insulation of Boiler, Ducts &amp; Steam Pipelines along with supply</v>
      </c>
      <c r="C989" s="1378" t="str">
        <f t="shared" si="155"/>
        <v>MERC/CAPEX/2021-2022/ SBR/ 15</v>
      </c>
      <c r="D989" s="1473">
        <f t="shared" si="155"/>
        <v>44461</v>
      </c>
      <c r="E989" s="305">
        <f t="shared" si="155"/>
        <v>3.52</v>
      </c>
      <c r="F989" s="1444">
        <f t="shared" si="145"/>
        <v>3.52</v>
      </c>
      <c r="G989" s="1444">
        <f t="shared" si="146"/>
        <v>2</v>
      </c>
      <c r="H989" s="305">
        <f t="shared" si="147"/>
        <v>1.52</v>
      </c>
      <c r="I989" s="1444">
        <v>0</v>
      </c>
      <c r="J989" s="1444">
        <v>0</v>
      </c>
      <c r="K989" s="305"/>
      <c r="L989" s="305"/>
      <c r="M989" s="305">
        <f t="shared" si="152"/>
        <v>0</v>
      </c>
      <c r="N989" s="305">
        <f t="shared" si="149"/>
        <v>1.52</v>
      </c>
      <c r="O989" s="1445">
        <f t="shared" si="150"/>
        <v>0</v>
      </c>
      <c r="P989" s="1377">
        <f t="shared" si="151"/>
        <v>0</v>
      </c>
    </row>
    <row r="990" spans="1:16" ht="15.5" outlineLevel="1">
      <c r="A990" s="1450">
        <f t="shared" si="155"/>
        <v>18.3</v>
      </c>
      <c r="B990" s="1452" t="str">
        <f t="shared" si="155"/>
        <v>Supply of XRP-1043 coal mill gearbox spares in unit-4&amp;5.</v>
      </c>
      <c r="C990" s="1378" t="str">
        <f t="shared" si="155"/>
        <v>MERC/CAPEX/2021-2022/ SBR/ 15</v>
      </c>
      <c r="D990" s="1473">
        <f t="shared" si="155"/>
        <v>44461</v>
      </c>
      <c r="E990" s="305">
        <f t="shared" si="155"/>
        <v>5.39</v>
      </c>
      <c r="F990" s="1444">
        <f t="shared" si="145"/>
        <v>3.7043508740000002</v>
      </c>
      <c r="G990" s="1444">
        <f t="shared" si="146"/>
        <v>3.7043509000000001</v>
      </c>
      <c r="H990" s="305">
        <f t="shared" si="147"/>
        <v>-2.5999999930803597E-8</v>
      </c>
      <c r="I990" s="1444">
        <v>0</v>
      </c>
      <c r="J990" s="1444">
        <v>0</v>
      </c>
      <c r="K990" s="305"/>
      <c r="L990" s="305"/>
      <c r="M990" s="305">
        <f t="shared" si="152"/>
        <v>0</v>
      </c>
      <c r="N990" s="305">
        <f t="shared" si="149"/>
        <v>-2.5999999930803597E-8</v>
      </c>
      <c r="O990" s="1445">
        <f t="shared" si="150"/>
        <v>0</v>
      </c>
      <c r="P990" s="1377">
        <f t="shared" si="151"/>
        <v>0</v>
      </c>
    </row>
    <row r="991" spans="1:16" ht="15.5" outlineLevel="1">
      <c r="A991" s="1314">
        <f t="shared" si="155"/>
        <v>0</v>
      </c>
      <c r="B991" s="1452" t="str">
        <f t="shared" si="155"/>
        <v>IDC</v>
      </c>
      <c r="C991" s="1378" t="str">
        <f t="shared" si="155"/>
        <v>MERC/CAPEX/2021-2022/ SBR/ 15</v>
      </c>
      <c r="D991" s="1473">
        <f t="shared" si="155"/>
        <v>44461</v>
      </c>
      <c r="E991" s="305">
        <f t="shared" si="155"/>
        <v>0.52</v>
      </c>
      <c r="F991" s="1444">
        <f t="shared" si="145"/>
        <v>0</v>
      </c>
      <c r="G991" s="1444">
        <f t="shared" si="146"/>
        <v>0</v>
      </c>
      <c r="H991" s="305">
        <f t="shared" si="147"/>
        <v>0</v>
      </c>
      <c r="I991" s="1444">
        <v>0</v>
      </c>
      <c r="J991" s="1444">
        <v>0</v>
      </c>
      <c r="K991" s="305"/>
      <c r="L991" s="305"/>
      <c r="M991" s="305">
        <f t="shared" si="152"/>
        <v>0</v>
      </c>
      <c r="N991" s="305">
        <f t="shared" si="149"/>
        <v>0</v>
      </c>
      <c r="O991" s="1445">
        <f t="shared" si="150"/>
        <v>0</v>
      </c>
      <c r="P991" s="1377">
        <f t="shared" si="151"/>
        <v>0</v>
      </c>
    </row>
    <row r="992" spans="1:16" ht="46.5" outlineLevel="1">
      <c r="A992" s="1440">
        <f t="shared" si="155"/>
        <v>19</v>
      </c>
      <c r="B992" s="1441" t="str">
        <f t="shared" si="155"/>
        <v>Up-gradation of Operating System of Max DNA DCS, GE Fanuc PLC system &amp; Schneider PLC system &amp; Procurement of Critical Insurance spares for PA and FD fans System at 2 x 500 MW Units BTPS Bhusawal</v>
      </c>
      <c r="C992" s="1442" t="str">
        <f t="shared" si="155"/>
        <v>MERC/CAPEX/2023-2024/0178</v>
      </c>
      <c r="D992" s="1443">
        <f t="shared" si="155"/>
        <v>45362</v>
      </c>
      <c r="E992" s="1444">
        <f t="shared" si="155"/>
        <v>31.049999999999997</v>
      </c>
      <c r="F992" s="1444">
        <f t="shared" si="145"/>
        <v>0</v>
      </c>
      <c r="G992" s="1444">
        <f t="shared" si="146"/>
        <v>0</v>
      </c>
      <c r="H992" s="1444">
        <f t="shared" si="147"/>
        <v>0</v>
      </c>
      <c r="I992" s="1444">
        <v>0</v>
      </c>
      <c r="J992" s="1444">
        <v>0</v>
      </c>
      <c r="K992" s="1444"/>
      <c r="L992" s="1444"/>
      <c r="M992" s="1444">
        <f t="shared" si="152"/>
        <v>0</v>
      </c>
      <c r="N992" s="1444">
        <f t="shared" si="149"/>
        <v>0</v>
      </c>
      <c r="O992" s="1445">
        <f t="shared" si="150"/>
        <v>0</v>
      </c>
      <c r="P992" s="1377">
        <f t="shared" si="151"/>
        <v>0</v>
      </c>
    </row>
    <row r="993" spans="1:16" ht="15.5" outlineLevel="1">
      <c r="A993" s="1450">
        <f t="shared" si="155"/>
        <v>19.100000000000001</v>
      </c>
      <c r="B993" s="1452" t="str">
        <f t="shared" si="155"/>
        <v>Up-gradation of Existing MaxDNA System (HMI) at 500MW BTPS, Bhusawal</v>
      </c>
      <c r="C993" s="1378" t="str">
        <f t="shared" si="155"/>
        <v>MERC/CAPEX/2023-2024/0178</v>
      </c>
      <c r="D993" s="1473">
        <f t="shared" si="155"/>
        <v>45362</v>
      </c>
      <c r="E993" s="305">
        <f t="shared" si="155"/>
        <v>8.69</v>
      </c>
      <c r="F993" s="1444">
        <f t="shared" si="145"/>
        <v>8.69</v>
      </c>
      <c r="G993" s="1444">
        <f t="shared" si="146"/>
        <v>8.69</v>
      </c>
      <c r="H993" s="305">
        <f t="shared" si="147"/>
        <v>0</v>
      </c>
      <c r="I993" s="1444">
        <v>0</v>
      </c>
      <c r="J993" s="1444">
        <v>0</v>
      </c>
      <c r="K993" s="305"/>
      <c r="L993" s="305"/>
      <c r="M993" s="305">
        <f t="shared" si="152"/>
        <v>0</v>
      </c>
      <c r="N993" s="305">
        <f t="shared" si="149"/>
        <v>0</v>
      </c>
      <c r="O993" s="1445">
        <f t="shared" si="150"/>
        <v>0</v>
      </c>
      <c r="P993" s="1377">
        <f t="shared" si="151"/>
        <v>0</v>
      </c>
    </row>
    <row r="994" spans="1:16" ht="31" outlineLevel="1">
      <c r="A994" s="1450">
        <f t="shared" ref="A994:E1009" si="156">A764</f>
        <v>19.2</v>
      </c>
      <c r="B994" s="1452" t="str">
        <f t="shared" si="156"/>
        <v>Up-gradation of GE IP (GE-Fanuc) make PLC system (HMI) installed at AHP, CPU plant, FOPH, FWPH and Mill Reject system at 2x500MW BTPS, Bhusawal.</v>
      </c>
      <c r="C994" s="1378" t="str">
        <f t="shared" si="156"/>
        <v>MERC/CAPEX/2023-2024/0178</v>
      </c>
      <c r="D994" s="1473">
        <f t="shared" si="156"/>
        <v>45362</v>
      </c>
      <c r="E994" s="305">
        <f t="shared" si="156"/>
        <v>1.35</v>
      </c>
      <c r="F994" s="1444">
        <f t="shared" ref="F994:F1057" si="157">F764+I764</f>
        <v>1.2948010000000001</v>
      </c>
      <c r="G994" s="1444">
        <f t="shared" ref="G994:G1057" si="158">G764+M764</f>
        <v>1.3538010199999999</v>
      </c>
      <c r="H994" s="305">
        <f t="shared" ref="H994:H1057" si="159">F994-G994</f>
        <v>-5.900001999999982E-2</v>
      </c>
      <c r="I994" s="1444">
        <v>0</v>
      </c>
      <c r="J994" s="1444">
        <v>0</v>
      </c>
      <c r="K994" s="305"/>
      <c r="L994" s="305"/>
      <c r="M994" s="305">
        <f t="shared" si="152"/>
        <v>0</v>
      </c>
      <c r="N994" s="305">
        <f t="shared" ref="N994:N1057" si="160">H994+I994-M994</f>
        <v>-5.900001999999982E-2</v>
      </c>
      <c r="O994" s="1445">
        <f t="shared" ref="O994:O1004" si="161">MAX(0,IF(M994=0,0,IF(G994+M994&lt;E994,M994,E994-G994)))</f>
        <v>0</v>
      </c>
      <c r="P994" s="1377">
        <f t="shared" ref="P994:P1004" si="162">M994-O994</f>
        <v>0</v>
      </c>
    </row>
    <row r="995" spans="1:16" ht="15.5" outlineLevel="1">
      <c r="A995" s="1450">
        <f t="shared" si="156"/>
        <v>19.3</v>
      </c>
      <c r="B995" s="1452" t="str">
        <f t="shared" si="156"/>
        <v>Up-gradation of Schneider PLC System at 2x500MW, BTPS, Bhusawal</v>
      </c>
      <c r="C995" s="1442" t="str">
        <f t="shared" si="156"/>
        <v>MERC/CAPEX/2023-2024/0178</v>
      </c>
      <c r="D995" s="1443">
        <f t="shared" si="156"/>
        <v>45362</v>
      </c>
      <c r="E995" s="1444">
        <f t="shared" si="156"/>
        <v>2.33</v>
      </c>
      <c r="F995" s="1444">
        <f t="shared" si="157"/>
        <v>2.3093444879999998</v>
      </c>
      <c r="G995" s="1444">
        <f t="shared" si="158"/>
        <v>2.3093444879999998</v>
      </c>
      <c r="H995" s="1444">
        <f t="shared" si="159"/>
        <v>0</v>
      </c>
      <c r="I995" s="1444">
        <v>0</v>
      </c>
      <c r="J995" s="1444">
        <v>0</v>
      </c>
      <c r="K995" s="1444"/>
      <c r="L995" s="1444"/>
      <c r="M995" s="1444">
        <f t="shared" ref="M995:M1004" si="163">SUM(J995:L995)</f>
        <v>0</v>
      </c>
      <c r="N995" s="1444">
        <f t="shared" si="160"/>
        <v>0</v>
      </c>
      <c r="O995" s="1445">
        <f t="shared" si="161"/>
        <v>0</v>
      </c>
      <c r="P995" s="1377">
        <f t="shared" si="162"/>
        <v>0</v>
      </c>
    </row>
    <row r="996" spans="1:16" ht="31" outlineLevel="1">
      <c r="A996" s="1450">
        <f t="shared" si="156"/>
        <v>19.399999999999999</v>
      </c>
      <c r="B996" s="1452" t="str">
        <f t="shared" si="156"/>
        <v>Procurement of Rotor assembly with blade set for PA and FD fan at 2 X 500 MW BTPS Bhusawal</v>
      </c>
      <c r="C996" s="1475" t="str">
        <f t="shared" si="156"/>
        <v>MERC/CAPEX/2023-2024/0178</v>
      </c>
      <c r="D996" s="1473">
        <f t="shared" si="156"/>
        <v>45362</v>
      </c>
      <c r="E996" s="1476">
        <f t="shared" si="156"/>
        <v>18.18</v>
      </c>
      <c r="F996" s="1444">
        <f t="shared" si="157"/>
        <v>16.16</v>
      </c>
      <c r="G996" s="1444">
        <f t="shared" si="158"/>
        <v>16.16</v>
      </c>
      <c r="H996" s="1476">
        <f t="shared" si="159"/>
        <v>0</v>
      </c>
      <c r="I996" s="1444">
        <v>0</v>
      </c>
      <c r="J996" s="1444">
        <v>0</v>
      </c>
      <c r="K996" s="1476"/>
      <c r="L996" s="1476"/>
      <c r="M996" s="1476">
        <f t="shared" si="163"/>
        <v>0</v>
      </c>
      <c r="N996" s="1476">
        <f t="shared" si="160"/>
        <v>0</v>
      </c>
      <c r="O996" s="1445">
        <f t="shared" si="161"/>
        <v>0</v>
      </c>
      <c r="P996" s="1377">
        <f t="shared" si="162"/>
        <v>0</v>
      </c>
    </row>
    <row r="997" spans="1:16" ht="15.5" outlineLevel="1">
      <c r="A997" s="1314">
        <f t="shared" si="156"/>
        <v>0</v>
      </c>
      <c r="B997" s="1452" t="str">
        <f t="shared" si="156"/>
        <v>IDC</v>
      </c>
      <c r="C997" s="1475" t="str">
        <f t="shared" si="156"/>
        <v>MERC/CAPEX/2023-2024/0178</v>
      </c>
      <c r="D997" s="1473">
        <f t="shared" si="156"/>
        <v>45362</v>
      </c>
      <c r="E997" s="1476">
        <f t="shared" si="156"/>
        <v>0.5</v>
      </c>
      <c r="F997" s="1444">
        <f t="shared" si="157"/>
        <v>0.5</v>
      </c>
      <c r="G997" s="1444">
        <f t="shared" si="158"/>
        <v>0.5</v>
      </c>
      <c r="H997" s="1476">
        <f t="shared" si="159"/>
        <v>0</v>
      </c>
      <c r="I997" s="1444">
        <v>0</v>
      </c>
      <c r="J997" s="1444">
        <v>0</v>
      </c>
      <c r="K997" s="1476"/>
      <c r="L997" s="1476"/>
      <c r="M997" s="1476">
        <f t="shared" si="163"/>
        <v>0</v>
      </c>
      <c r="N997" s="1476">
        <f t="shared" si="160"/>
        <v>0</v>
      </c>
      <c r="O997" s="1445">
        <f t="shared" si="161"/>
        <v>0</v>
      </c>
      <c r="P997" s="1377">
        <f t="shared" si="162"/>
        <v>0</v>
      </c>
    </row>
    <row r="998" spans="1:16" ht="31" outlineLevel="1">
      <c r="A998" s="1440" t="str">
        <f t="shared" si="156"/>
        <v>HO
DPR 13</v>
      </c>
      <c r="B998" s="1441" t="str">
        <f t="shared" si="156"/>
        <v>Construction of new Administrative Building for Mahagenco at Vidyut Bhawan, Katol Road, Nagpur</v>
      </c>
      <c r="C998" s="1475" t="str">
        <f t="shared" si="156"/>
        <v>MERC/CAPEX/2021-2022/MSPGCL/063</v>
      </c>
      <c r="D998" s="1473">
        <f t="shared" si="156"/>
        <v>44604</v>
      </c>
      <c r="E998" s="1476">
        <f t="shared" si="156"/>
        <v>57</v>
      </c>
      <c r="F998" s="1444">
        <f t="shared" si="157"/>
        <v>0</v>
      </c>
      <c r="G998" s="1444">
        <f t="shared" si="158"/>
        <v>0</v>
      </c>
      <c r="H998" s="1476">
        <f t="shared" si="159"/>
        <v>0</v>
      </c>
      <c r="I998" s="1444">
        <v>0</v>
      </c>
      <c r="J998" s="1444">
        <v>0</v>
      </c>
      <c r="K998" s="1476"/>
      <c r="L998" s="1476"/>
      <c r="M998" s="1476">
        <f t="shared" si="163"/>
        <v>0</v>
      </c>
      <c r="N998" s="1476">
        <f t="shared" si="160"/>
        <v>0</v>
      </c>
      <c r="O998" s="1445">
        <f t="shared" si="161"/>
        <v>0</v>
      </c>
      <c r="P998" s="1377">
        <f t="shared" si="162"/>
        <v>0</v>
      </c>
    </row>
    <row r="999" spans="1:16" ht="31" outlineLevel="1">
      <c r="A999" s="1446">
        <f t="shared" si="156"/>
        <v>1</v>
      </c>
      <c r="B999" s="1447" t="str">
        <f t="shared" si="156"/>
        <v>Construction of new Administrative Building for Mahagenco at Vidyut Bhawan, Katol Road, Nagpur</v>
      </c>
      <c r="C999" s="1475" t="str">
        <f t="shared" si="156"/>
        <v>MERC/CAPEX/2021-2022/MSPGCL/063</v>
      </c>
      <c r="D999" s="1473">
        <f t="shared" si="156"/>
        <v>44604</v>
      </c>
      <c r="E999" s="1476">
        <f t="shared" si="156"/>
        <v>54.24</v>
      </c>
      <c r="F999" s="1444">
        <f t="shared" si="157"/>
        <v>0</v>
      </c>
      <c r="G999" s="1444">
        <f t="shared" si="158"/>
        <v>0</v>
      </c>
      <c r="H999" s="1476">
        <f t="shared" si="159"/>
        <v>0</v>
      </c>
      <c r="I999" s="1444">
        <v>0</v>
      </c>
      <c r="J999" s="1444">
        <v>0</v>
      </c>
      <c r="K999" s="1476"/>
      <c r="L999" s="1476"/>
      <c r="M999" s="1476">
        <f t="shared" si="163"/>
        <v>0</v>
      </c>
      <c r="N999" s="1476">
        <f t="shared" si="160"/>
        <v>0</v>
      </c>
      <c r="O999" s="1445">
        <f t="shared" si="161"/>
        <v>0</v>
      </c>
      <c r="P999" s="1377">
        <f t="shared" si="162"/>
        <v>0</v>
      </c>
    </row>
    <row r="1000" spans="1:16" ht="31" outlineLevel="1">
      <c r="A1000" s="1446">
        <f t="shared" si="156"/>
        <v>0</v>
      </c>
      <c r="B1000" s="1447" t="str">
        <f t="shared" si="156"/>
        <v>IDC</v>
      </c>
      <c r="C1000" s="1442" t="str">
        <f t="shared" si="156"/>
        <v>MERC/CAPEX/2021-2022/MSPGCL/063</v>
      </c>
      <c r="D1000" s="1443">
        <f t="shared" si="156"/>
        <v>44604</v>
      </c>
      <c r="E1000" s="1444">
        <f t="shared" si="156"/>
        <v>2.76</v>
      </c>
      <c r="F1000" s="1444">
        <f t="shared" si="157"/>
        <v>0</v>
      </c>
      <c r="G1000" s="1444">
        <f t="shared" si="158"/>
        <v>0</v>
      </c>
      <c r="H1000" s="1444">
        <f t="shared" si="159"/>
        <v>0</v>
      </c>
      <c r="I1000" s="1444">
        <v>0</v>
      </c>
      <c r="J1000" s="1444">
        <v>0</v>
      </c>
      <c r="K1000" s="1444"/>
      <c r="L1000" s="1444"/>
      <c r="M1000" s="1444">
        <f t="shared" si="163"/>
        <v>0</v>
      </c>
      <c r="N1000" s="1444">
        <f t="shared" si="160"/>
        <v>0</v>
      </c>
      <c r="O1000" s="1445">
        <f t="shared" si="161"/>
        <v>0</v>
      </c>
      <c r="P1000" s="1377">
        <f t="shared" si="162"/>
        <v>0</v>
      </c>
    </row>
    <row r="1001" spans="1:16" ht="31" outlineLevel="1">
      <c r="A1001" s="1440" t="str">
        <f t="shared" si="156"/>
        <v>HO
DPR 16</v>
      </c>
      <c r="B1001" s="1441" t="str">
        <f t="shared" si="156"/>
        <v>Centralized Monitoring Solution</v>
      </c>
      <c r="C1001" s="1475" t="str">
        <f t="shared" si="156"/>
        <v>MERC/CAPEX/MSPGCL/2023-24/0576</v>
      </c>
      <c r="D1001" s="1473">
        <f t="shared" si="156"/>
        <v>45232</v>
      </c>
      <c r="E1001" s="1476">
        <f t="shared" si="156"/>
        <v>69.308999999999997</v>
      </c>
      <c r="F1001" s="1444">
        <f t="shared" si="157"/>
        <v>0</v>
      </c>
      <c r="G1001" s="1444">
        <f t="shared" si="158"/>
        <v>0</v>
      </c>
      <c r="H1001" s="1476">
        <f t="shared" si="159"/>
        <v>0</v>
      </c>
      <c r="I1001" s="1444">
        <v>0</v>
      </c>
      <c r="J1001" s="1444">
        <v>0</v>
      </c>
      <c r="K1001" s="1476"/>
      <c r="L1001" s="1476"/>
      <c r="M1001" s="1476">
        <f t="shared" si="163"/>
        <v>0</v>
      </c>
      <c r="N1001" s="1476">
        <f t="shared" si="160"/>
        <v>0</v>
      </c>
      <c r="O1001" s="1445">
        <f t="shared" si="161"/>
        <v>0</v>
      </c>
      <c r="P1001" s="1377">
        <f t="shared" si="162"/>
        <v>0</v>
      </c>
    </row>
    <row r="1002" spans="1:16" ht="15.5" outlineLevel="1">
      <c r="A1002" s="1446">
        <f t="shared" si="156"/>
        <v>1</v>
      </c>
      <c r="B1002" s="1447" t="str">
        <f t="shared" si="156"/>
        <v>Centralized Monitoring Solution</v>
      </c>
      <c r="C1002" s="1475" t="str">
        <f t="shared" si="156"/>
        <v>MERC/CAPEX/MSPGCL/2023-24/0576</v>
      </c>
      <c r="D1002" s="1473">
        <f t="shared" si="156"/>
        <v>45232</v>
      </c>
      <c r="E1002" s="1476">
        <f t="shared" si="156"/>
        <v>66.009</v>
      </c>
      <c r="F1002" s="1444">
        <f t="shared" si="157"/>
        <v>0</v>
      </c>
      <c r="G1002" s="1444">
        <f t="shared" si="158"/>
        <v>0</v>
      </c>
      <c r="H1002" s="1476">
        <f t="shared" si="159"/>
        <v>0</v>
      </c>
      <c r="I1002" s="1444">
        <v>0</v>
      </c>
      <c r="J1002" s="1444">
        <v>0</v>
      </c>
      <c r="K1002" s="1476"/>
      <c r="L1002" s="1476"/>
      <c r="M1002" s="1476">
        <f t="shared" si="163"/>
        <v>0</v>
      </c>
      <c r="N1002" s="1476">
        <f t="shared" si="160"/>
        <v>0</v>
      </c>
      <c r="O1002" s="1445">
        <f t="shared" si="161"/>
        <v>0</v>
      </c>
      <c r="P1002" s="1377">
        <f t="shared" si="162"/>
        <v>0</v>
      </c>
    </row>
    <row r="1003" spans="1:16" ht="15.5" outlineLevel="1">
      <c r="A1003" s="1446">
        <f t="shared" si="156"/>
        <v>0</v>
      </c>
      <c r="B1003" s="1447" t="str">
        <f t="shared" si="156"/>
        <v>IDC</v>
      </c>
      <c r="C1003" s="1475" t="str">
        <f t="shared" si="156"/>
        <v>MERC/CAPEX/MSPGCL/2023-24/0576</v>
      </c>
      <c r="D1003" s="1473">
        <f t="shared" si="156"/>
        <v>45232</v>
      </c>
      <c r="E1003" s="1476">
        <f t="shared" si="156"/>
        <v>3.3</v>
      </c>
      <c r="F1003" s="1444">
        <f t="shared" si="157"/>
        <v>0</v>
      </c>
      <c r="G1003" s="1444">
        <f t="shared" si="158"/>
        <v>0</v>
      </c>
      <c r="H1003" s="1476">
        <f t="shared" si="159"/>
        <v>0</v>
      </c>
      <c r="I1003" s="1444">
        <v>0</v>
      </c>
      <c r="J1003" s="1444">
        <v>0</v>
      </c>
      <c r="K1003" s="1476"/>
      <c r="L1003" s="1476"/>
      <c r="M1003" s="1476">
        <f t="shared" si="163"/>
        <v>0</v>
      </c>
      <c r="N1003" s="1476">
        <f t="shared" si="160"/>
        <v>0</v>
      </c>
      <c r="O1003" s="1445">
        <f t="shared" si="161"/>
        <v>0</v>
      </c>
      <c r="P1003" s="1377">
        <f t="shared" si="162"/>
        <v>0</v>
      </c>
    </row>
    <row r="1004" spans="1:16" ht="31" outlineLevel="1">
      <c r="A1004" s="1440">
        <f t="shared" si="156"/>
        <v>20</v>
      </c>
      <c r="B1004" s="1441" t="str">
        <f t="shared" si="156"/>
        <v>Improvement of Loadability and Availability of Coal Handling Plant at BTPS, Bhusawal</v>
      </c>
      <c r="C1004" s="1475" t="str">
        <f t="shared" si="156"/>
        <v>MERC/CAPEX/MSPGCL/2024-25/0309</v>
      </c>
      <c r="D1004" s="1473">
        <f t="shared" si="156"/>
        <v>45429</v>
      </c>
      <c r="E1004" s="1476">
        <f t="shared" si="156"/>
        <v>0</v>
      </c>
      <c r="F1004" s="1444">
        <f t="shared" si="157"/>
        <v>0</v>
      </c>
      <c r="G1004" s="1444">
        <f t="shared" si="158"/>
        <v>0</v>
      </c>
      <c r="H1004" s="1476">
        <f t="shared" si="159"/>
        <v>0</v>
      </c>
      <c r="I1004" s="1444">
        <v>0</v>
      </c>
      <c r="J1004" s="1444">
        <v>0</v>
      </c>
      <c r="K1004" s="1476"/>
      <c r="L1004" s="1476"/>
      <c r="M1004" s="1476">
        <f t="shared" si="163"/>
        <v>0</v>
      </c>
      <c r="N1004" s="1476">
        <f t="shared" si="160"/>
        <v>0</v>
      </c>
      <c r="O1004" s="1445">
        <f t="shared" si="161"/>
        <v>0</v>
      </c>
      <c r="P1004" s="1377">
        <f t="shared" si="162"/>
        <v>0</v>
      </c>
    </row>
    <row r="1005" spans="1:16" ht="46.5" outlineLevel="1">
      <c r="A1005" s="1446">
        <f t="shared" si="156"/>
        <v>20.100000000000001</v>
      </c>
      <c r="B1005" s="1447" t="str">
        <f t="shared" si="156"/>
        <v>Scheme-1:-Design Engineering, Supply, Erection, commissioning, Extension of travel Length &amp; Capacity Enhancement of coal yard with additional drive system of stacker reclaimer conveyor No. 110 at in coal handling Plant BTPS.</v>
      </c>
      <c r="C1005" s="1475" t="str">
        <f t="shared" si="156"/>
        <v>MERC/CAPEX/MSPGCL/2024-25/0309</v>
      </c>
      <c r="D1005" s="1473">
        <f t="shared" si="156"/>
        <v>45429</v>
      </c>
      <c r="E1005" s="1476">
        <f t="shared" si="156"/>
        <v>14.27</v>
      </c>
      <c r="F1005" s="1444">
        <f t="shared" si="157"/>
        <v>0</v>
      </c>
      <c r="G1005" s="1444">
        <f t="shared" si="158"/>
        <v>0</v>
      </c>
      <c r="H1005" s="1476">
        <f t="shared" si="159"/>
        <v>0</v>
      </c>
      <c r="I1005" s="1444">
        <v>14.27</v>
      </c>
      <c r="J1005" s="1444">
        <v>14.27</v>
      </c>
      <c r="K1005" s="1476"/>
      <c r="L1005" s="1476"/>
      <c r="M1005" s="1476">
        <f t="shared" ref="M1005:M1068" si="164">SUM(J1005:L1005)</f>
        <v>14.27</v>
      </c>
      <c r="N1005" s="1476">
        <f t="shared" si="160"/>
        <v>0</v>
      </c>
      <c r="O1005" s="1445"/>
      <c r="P1005" s="1377"/>
    </row>
    <row r="1006" spans="1:16" ht="31" outlineLevel="1">
      <c r="A1006" s="1446">
        <f t="shared" si="156"/>
        <v>20.2</v>
      </c>
      <c r="B1006" s="1447" t="str">
        <f t="shared" si="156"/>
        <v>Scheme-2:-Design, Engineering, Rectification, Erection &amp; Commissioning of Z point at Conveyor 108A &amp; B at CHP-500MW.</v>
      </c>
      <c r="C1006" s="1475" t="str">
        <f t="shared" si="156"/>
        <v>MERC/CAPEX/MSPGCL/2024-25/0309</v>
      </c>
      <c r="D1006" s="1473">
        <f t="shared" si="156"/>
        <v>45429</v>
      </c>
      <c r="E1006" s="1476">
        <f t="shared" si="156"/>
        <v>8.18</v>
      </c>
      <c r="F1006" s="1444">
        <f t="shared" si="157"/>
        <v>0</v>
      </c>
      <c r="G1006" s="1444">
        <f t="shared" si="158"/>
        <v>0</v>
      </c>
      <c r="H1006" s="1476">
        <f t="shared" si="159"/>
        <v>0</v>
      </c>
      <c r="I1006" s="1444">
        <v>8.18</v>
      </c>
      <c r="J1006" s="1444">
        <v>8.18</v>
      </c>
      <c r="K1006" s="1476"/>
      <c r="L1006" s="1476"/>
      <c r="M1006" s="1476">
        <f t="shared" si="164"/>
        <v>8.18</v>
      </c>
      <c r="N1006" s="1476">
        <f t="shared" si="160"/>
        <v>0</v>
      </c>
      <c r="O1006" s="1445"/>
      <c r="P1006" s="1377"/>
    </row>
    <row r="1007" spans="1:16" ht="31" outlineLevel="1">
      <c r="A1007" s="1446">
        <f t="shared" si="156"/>
        <v>20.3</v>
      </c>
      <c r="B1007" s="1447" t="str">
        <f t="shared" si="156"/>
        <v>Scheme-3:-Design, Engineering and provision of material lifting arrangement for crusher floor, wobbler feeder  &amp; C-105 floor In CHP BTPS.</v>
      </c>
      <c r="C1007" s="1475" t="str">
        <f t="shared" si="156"/>
        <v>MERC/CAPEX/MSPGCL/2024-25/0309</v>
      </c>
      <c r="D1007" s="1473">
        <f t="shared" si="156"/>
        <v>45429</v>
      </c>
      <c r="E1007" s="1476">
        <f t="shared" si="156"/>
        <v>1.88</v>
      </c>
      <c r="F1007" s="1444">
        <f t="shared" si="157"/>
        <v>0</v>
      </c>
      <c r="G1007" s="1444">
        <f t="shared" si="158"/>
        <v>0</v>
      </c>
      <c r="H1007" s="1476">
        <f t="shared" si="159"/>
        <v>0</v>
      </c>
      <c r="I1007" s="1444">
        <v>1.88</v>
      </c>
      <c r="J1007" s="1444">
        <v>1.88</v>
      </c>
      <c r="K1007" s="1476"/>
      <c r="L1007" s="1476"/>
      <c r="M1007" s="1476">
        <f t="shared" si="164"/>
        <v>1.88</v>
      </c>
      <c r="N1007" s="1476">
        <f t="shared" si="160"/>
        <v>0</v>
      </c>
      <c r="O1007" s="1445"/>
      <c r="P1007" s="1377"/>
    </row>
    <row r="1008" spans="1:16" ht="31" outlineLevel="1">
      <c r="A1008" s="1446">
        <f t="shared" si="156"/>
        <v>20.399999999999999</v>
      </c>
      <c r="B1008" s="1447" t="str">
        <f t="shared" si="156"/>
        <v>Scheme-4:-Structural up-gradation and rehabilitation of reversible yard conveyor in coal handling plant.</v>
      </c>
      <c r="C1008" s="1475" t="str">
        <f t="shared" si="156"/>
        <v>MERC/CAPEX/MSPGCL/2024-25/0309</v>
      </c>
      <c r="D1008" s="1473">
        <f t="shared" si="156"/>
        <v>45429</v>
      </c>
      <c r="E1008" s="1476">
        <f t="shared" si="156"/>
        <v>4.21</v>
      </c>
      <c r="F1008" s="1444">
        <f t="shared" si="157"/>
        <v>0</v>
      </c>
      <c r="G1008" s="1444">
        <f t="shared" si="158"/>
        <v>0</v>
      </c>
      <c r="H1008" s="1476">
        <f t="shared" si="159"/>
        <v>0</v>
      </c>
      <c r="I1008" s="1444">
        <v>4.21</v>
      </c>
      <c r="J1008" s="1444">
        <v>4.21</v>
      </c>
      <c r="K1008" s="1476"/>
      <c r="L1008" s="1476"/>
      <c r="M1008" s="1476">
        <f t="shared" si="164"/>
        <v>4.21</v>
      </c>
      <c r="N1008" s="1476">
        <f t="shared" si="160"/>
        <v>0</v>
      </c>
      <c r="O1008" s="1445"/>
      <c r="P1008" s="1377"/>
    </row>
    <row r="1009" spans="1:16" ht="31" outlineLevel="1">
      <c r="A1009" s="1446">
        <f t="shared" si="156"/>
        <v>20.5</v>
      </c>
      <c r="B1009" s="1447" t="str">
        <f t="shared" si="156"/>
        <v>Scheme-5:-Design, Engineering, Erection and commissioning of Receiving and discharge chutes of wobbler feeders in CHP BTPS.</v>
      </c>
      <c r="C1009" s="1475" t="str">
        <f t="shared" si="156"/>
        <v>MERC/CAPEX/MSPGCL/2024-25/0309</v>
      </c>
      <c r="D1009" s="1473">
        <f t="shared" si="156"/>
        <v>45429</v>
      </c>
      <c r="E1009" s="1476">
        <f t="shared" si="156"/>
        <v>6.25</v>
      </c>
      <c r="F1009" s="1444">
        <f t="shared" si="157"/>
        <v>0</v>
      </c>
      <c r="G1009" s="1444">
        <f t="shared" si="158"/>
        <v>0</v>
      </c>
      <c r="H1009" s="1476">
        <f t="shared" si="159"/>
        <v>0</v>
      </c>
      <c r="I1009" s="1444">
        <v>6.25</v>
      </c>
      <c r="J1009" s="1444">
        <v>6.25</v>
      </c>
      <c r="K1009" s="1476"/>
      <c r="L1009" s="1476"/>
      <c r="M1009" s="1476">
        <f t="shared" si="164"/>
        <v>6.25</v>
      </c>
      <c r="N1009" s="1476">
        <f t="shared" si="160"/>
        <v>0</v>
      </c>
      <c r="O1009" s="1445"/>
      <c r="P1009" s="1377"/>
    </row>
    <row r="1010" spans="1:16" ht="15.5" outlineLevel="1">
      <c r="A1010" s="1446">
        <f t="shared" ref="A1010:E1025" si="165">A780</f>
        <v>20.6</v>
      </c>
      <c r="B1010" s="1447" t="str">
        <f t="shared" si="165"/>
        <v>Scheme-6: Procurement of 3 Nos. of Bulldozers at BTPS, Bhusawal.</v>
      </c>
      <c r="C1010" s="1475" t="str">
        <f t="shared" si="165"/>
        <v>MERC/CAPEX/MSPGCL/2024-25/0309</v>
      </c>
      <c r="D1010" s="1473">
        <f t="shared" si="165"/>
        <v>45429</v>
      </c>
      <c r="E1010" s="1476">
        <f t="shared" si="165"/>
        <v>7.35</v>
      </c>
      <c r="F1010" s="1444">
        <f t="shared" si="157"/>
        <v>0</v>
      </c>
      <c r="G1010" s="1444">
        <f t="shared" si="158"/>
        <v>0</v>
      </c>
      <c r="H1010" s="1476">
        <f t="shared" si="159"/>
        <v>0</v>
      </c>
      <c r="I1010" s="1444">
        <v>7.35</v>
      </c>
      <c r="J1010" s="1444">
        <v>7.35</v>
      </c>
      <c r="K1010" s="1476"/>
      <c r="L1010" s="1476"/>
      <c r="M1010" s="1476">
        <f t="shared" si="164"/>
        <v>7.35</v>
      </c>
      <c r="N1010" s="1476">
        <f t="shared" si="160"/>
        <v>0</v>
      </c>
      <c r="O1010" s="1445"/>
      <c r="P1010" s="1377"/>
    </row>
    <row r="1011" spans="1:16" ht="15.5" outlineLevel="1">
      <c r="A1011" s="1446">
        <f t="shared" si="165"/>
        <v>0</v>
      </c>
      <c r="B1011" s="1447" t="str">
        <f t="shared" si="165"/>
        <v>IDC</v>
      </c>
      <c r="C1011" s="1475">
        <f t="shared" si="165"/>
        <v>0</v>
      </c>
      <c r="D1011" s="1473" t="str">
        <f t="shared" si="165"/>
        <v>-</v>
      </c>
      <c r="E1011" s="1476">
        <f t="shared" si="165"/>
        <v>0</v>
      </c>
      <c r="F1011" s="1444">
        <f t="shared" si="157"/>
        <v>0</v>
      </c>
      <c r="G1011" s="1444">
        <f t="shared" si="158"/>
        <v>0</v>
      </c>
      <c r="H1011" s="1476">
        <f t="shared" si="159"/>
        <v>0</v>
      </c>
      <c r="I1011" s="1444">
        <v>0.42</v>
      </c>
      <c r="J1011" s="1444">
        <v>0.42</v>
      </c>
      <c r="K1011" s="1476"/>
      <c r="L1011" s="1476"/>
      <c r="M1011" s="1476">
        <f t="shared" si="164"/>
        <v>0.42</v>
      </c>
      <c r="N1011" s="1476">
        <f t="shared" si="160"/>
        <v>0</v>
      </c>
      <c r="O1011" s="1445"/>
      <c r="P1011" s="1377"/>
    </row>
    <row r="1012" spans="1:16" ht="15.5" outlineLevel="1">
      <c r="A1012" s="1440">
        <f t="shared" si="165"/>
        <v>21</v>
      </c>
      <c r="B1012" s="1441" t="str">
        <f t="shared" si="165"/>
        <v>Performance Improvement of Coal Handling Plant at BTPS-U4 &amp; 5, Bhusawal</v>
      </c>
      <c r="C1012" s="1475" t="str">
        <f t="shared" si="165"/>
        <v>MERC/CAPEX/MSPGCL/2024-25/0310</v>
      </c>
      <c r="D1012" s="1473" t="str">
        <f t="shared" si="165"/>
        <v>-</v>
      </c>
      <c r="E1012" s="1476">
        <f t="shared" si="165"/>
        <v>0</v>
      </c>
      <c r="F1012" s="1444">
        <f t="shared" si="157"/>
        <v>0</v>
      </c>
      <c r="G1012" s="1444">
        <f t="shared" si="158"/>
        <v>0</v>
      </c>
      <c r="H1012" s="1476">
        <f t="shared" si="159"/>
        <v>0</v>
      </c>
      <c r="I1012" s="1444">
        <v>0</v>
      </c>
      <c r="J1012" s="1444">
        <v>0</v>
      </c>
      <c r="K1012" s="1476"/>
      <c r="L1012" s="1476"/>
      <c r="M1012" s="1476">
        <f t="shared" si="164"/>
        <v>0</v>
      </c>
      <c r="N1012" s="1476">
        <f t="shared" si="160"/>
        <v>0</v>
      </c>
      <c r="O1012" s="1445"/>
      <c r="P1012" s="1377"/>
    </row>
    <row r="1013" spans="1:16" ht="31" outlineLevel="1">
      <c r="A1013" s="1446">
        <f t="shared" si="165"/>
        <v>21.1</v>
      </c>
      <c r="B1013" s="1447" t="str">
        <f t="shared" si="165"/>
        <v>Scheme-1: Revamping, Modification of Gravity take-up and Drive Augmentation of Bunkering conveyor in CHP BTPS</v>
      </c>
      <c r="C1013" s="1475" t="str">
        <f t="shared" si="165"/>
        <v>MERC/CAPEX/MSPGCL/2024-25/0310</v>
      </c>
      <c r="D1013" s="1473">
        <f t="shared" si="165"/>
        <v>45429</v>
      </c>
      <c r="E1013" s="1476">
        <f t="shared" si="165"/>
        <v>11.35</v>
      </c>
      <c r="F1013" s="1444">
        <f t="shared" si="157"/>
        <v>0</v>
      </c>
      <c r="G1013" s="1444">
        <f t="shared" si="158"/>
        <v>0</v>
      </c>
      <c r="H1013" s="1476">
        <f t="shared" si="159"/>
        <v>0</v>
      </c>
      <c r="I1013" s="1444">
        <v>11.35</v>
      </c>
      <c r="J1013" s="1444">
        <v>11.35</v>
      </c>
      <c r="K1013" s="1476"/>
      <c r="L1013" s="1476"/>
      <c r="M1013" s="1476">
        <f t="shared" si="164"/>
        <v>11.35</v>
      </c>
      <c r="N1013" s="1476">
        <f t="shared" si="160"/>
        <v>0</v>
      </c>
      <c r="O1013" s="1445"/>
      <c r="P1013" s="1377"/>
    </row>
    <row r="1014" spans="1:16" ht="15.5" outlineLevel="1">
      <c r="A1014" s="1446">
        <f t="shared" si="165"/>
        <v>21.2</v>
      </c>
      <c r="B1014" s="1447" t="str">
        <f t="shared" si="165"/>
        <v>Scheme-2: Revamping of coal diverting chutes in CHP 2x500 MW BTPS</v>
      </c>
      <c r="C1014" s="1475" t="str">
        <f t="shared" si="165"/>
        <v>MERC/CAPEX/MSPGCL/2024-25/0310</v>
      </c>
      <c r="D1014" s="1473">
        <f t="shared" si="165"/>
        <v>45429</v>
      </c>
      <c r="E1014" s="1476">
        <f t="shared" si="165"/>
        <v>5.73</v>
      </c>
      <c r="F1014" s="1444">
        <f t="shared" si="157"/>
        <v>0</v>
      </c>
      <c r="G1014" s="1444">
        <f t="shared" si="158"/>
        <v>0</v>
      </c>
      <c r="H1014" s="1476">
        <f t="shared" si="159"/>
        <v>0</v>
      </c>
      <c r="I1014" s="1444">
        <v>5.73</v>
      </c>
      <c r="J1014" s="1444">
        <v>5.73</v>
      </c>
      <c r="K1014" s="1476"/>
      <c r="L1014" s="1476"/>
      <c r="M1014" s="1476">
        <f t="shared" si="164"/>
        <v>5.73</v>
      </c>
      <c r="N1014" s="1476">
        <f t="shared" si="160"/>
        <v>0</v>
      </c>
      <c r="O1014" s="1445"/>
      <c r="P1014" s="1377"/>
    </row>
    <row r="1015" spans="1:16" ht="31" outlineLevel="1">
      <c r="A1015" s="1446">
        <f t="shared" si="165"/>
        <v>21.3</v>
      </c>
      <c r="B1015" s="1447" t="str">
        <f t="shared" si="165"/>
        <v>Scheme-3: Revamping and structural augmentation of Reversible feeder conveyors in CHP-BTPS.</v>
      </c>
      <c r="C1015" s="1475" t="str">
        <f t="shared" si="165"/>
        <v>MERC/CAPEX/MSPGCL/2024-25/0310</v>
      </c>
      <c r="D1015" s="1473">
        <f t="shared" si="165"/>
        <v>45429</v>
      </c>
      <c r="E1015" s="1476">
        <f t="shared" si="165"/>
        <v>1.77</v>
      </c>
      <c r="F1015" s="1444">
        <f t="shared" si="157"/>
        <v>1.75</v>
      </c>
      <c r="G1015" s="1444">
        <f t="shared" si="158"/>
        <v>1.75</v>
      </c>
      <c r="H1015" s="1476">
        <f t="shared" si="159"/>
        <v>0</v>
      </c>
      <c r="I1015" s="1444">
        <v>1.77</v>
      </c>
      <c r="J1015" s="1444">
        <v>1.77</v>
      </c>
      <c r="K1015" s="1476"/>
      <c r="L1015" s="1476"/>
      <c r="M1015" s="1476">
        <f t="shared" si="164"/>
        <v>1.77</v>
      </c>
      <c r="N1015" s="1476">
        <f t="shared" si="160"/>
        <v>0</v>
      </c>
      <c r="O1015" s="1445"/>
      <c r="P1015" s="1377"/>
    </row>
    <row r="1016" spans="1:16" ht="31" outlineLevel="1">
      <c r="A1016" s="1446">
        <f t="shared" si="165"/>
        <v>21.4</v>
      </c>
      <c r="B1016" s="1447" t="str">
        <f t="shared" si="165"/>
        <v>Scheme-4: Revamping and up-gradation of air &amp; ventilation system in Coal Handling Plant-BTPS.</v>
      </c>
      <c r="C1016" s="1475" t="str">
        <f t="shared" si="165"/>
        <v>MERC/CAPEX/MSPGCL/2024-25/0310</v>
      </c>
      <c r="D1016" s="1473">
        <f t="shared" si="165"/>
        <v>45429</v>
      </c>
      <c r="E1016" s="1476">
        <f t="shared" si="165"/>
        <v>9.01</v>
      </c>
      <c r="F1016" s="1444">
        <f t="shared" si="157"/>
        <v>0</v>
      </c>
      <c r="G1016" s="1444">
        <f t="shared" si="158"/>
        <v>0</v>
      </c>
      <c r="H1016" s="1476">
        <f t="shared" si="159"/>
        <v>0</v>
      </c>
      <c r="I1016" s="1444">
        <v>3.85</v>
      </c>
      <c r="J1016" s="1444">
        <v>3.85</v>
      </c>
      <c r="K1016" s="1476"/>
      <c r="L1016" s="1476"/>
      <c r="M1016" s="1476">
        <f t="shared" si="164"/>
        <v>3.85</v>
      </c>
      <c r="N1016" s="1476">
        <f t="shared" si="160"/>
        <v>0</v>
      </c>
      <c r="O1016" s="1445"/>
      <c r="P1016" s="1377"/>
    </row>
    <row r="1017" spans="1:16" ht="31" outlineLevel="1">
      <c r="A1017" s="1446">
        <f t="shared" si="165"/>
        <v>21.5</v>
      </c>
      <c r="B1017" s="1447" t="str">
        <f t="shared" si="165"/>
        <v>Scheme-5: Revamping, Structural &amp; drive up-gradation  of conveyor-111 in CHP-BTPS.</v>
      </c>
      <c r="C1017" s="1475" t="str">
        <f t="shared" si="165"/>
        <v>MERC/CAPEX/MSPGCL/2024-25/0310</v>
      </c>
      <c r="D1017" s="1473">
        <f t="shared" si="165"/>
        <v>45429</v>
      </c>
      <c r="E1017" s="1476">
        <f t="shared" si="165"/>
        <v>3.85</v>
      </c>
      <c r="F1017" s="1444">
        <f t="shared" si="157"/>
        <v>0</v>
      </c>
      <c r="G1017" s="1444">
        <f t="shared" si="158"/>
        <v>0</v>
      </c>
      <c r="H1017" s="1476">
        <f t="shared" si="159"/>
        <v>0</v>
      </c>
      <c r="I1017" s="1444">
        <v>8.6199999999999992</v>
      </c>
      <c r="J1017" s="1444">
        <v>8.6199999999999992</v>
      </c>
      <c r="K1017" s="1476"/>
      <c r="L1017" s="1476"/>
      <c r="M1017" s="1476">
        <f t="shared" si="164"/>
        <v>8.6199999999999992</v>
      </c>
      <c r="N1017" s="1476">
        <f t="shared" si="160"/>
        <v>0</v>
      </c>
      <c r="O1017" s="1445"/>
      <c r="P1017" s="1377"/>
    </row>
    <row r="1018" spans="1:16" ht="31" outlineLevel="1">
      <c r="A1018" s="1446">
        <f t="shared" si="165"/>
        <v>21.6</v>
      </c>
      <c r="B1018" s="1447" t="str">
        <f t="shared" si="165"/>
        <v>Scheme-6: Revamping and structural up-gradation of conveyor system in tunnel area in Coal Handling Plant-BTPS.</v>
      </c>
      <c r="C1018" s="1475" t="str">
        <f t="shared" si="165"/>
        <v>MERC/CAPEX/MSPGCL/2024-25/0310</v>
      </c>
      <c r="D1018" s="1473">
        <f t="shared" si="165"/>
        <v>45429</v>
      </c>
      <c r="E1018" s="1476">
        <f t="shared" si="165"/>
        <v>8.6199999999999992</v>
      </c>
      <c r="F1018" s="1444">
        <f t="shared" si="157"/>
        <v>0</v>
      </c>
      <c r="G1018" s="1444">
        <f t="shared" si="158"/>
        <v>0</v>
      </c>
      <c r="H1018" s="1476">
        <f t="shared" si="159"/>
        <v>0</v>
      </c>
      <c r="I1018" s="1444">
        <v>8.06</v>
      </c>
      <c r="J1018" s="1444">
        <v>8.06</v>
      </c>
      <c r="K1018" s="1476"/>
      <c r="L1018" s="1476"/>
      <c r="M1018" s="1476">
        <f t="shared" si="164"/>
        <v>8.06</v>
      </c>
      <c r="N1018" s="1476">
        <f t="shared" si="160"/>
        <v>0</v>
      </c>
      <c r="O1018" s="1445"/>
      <c r="P1018" s="1377"/>
    </row>
    <row r="1019" spans="1:16" ht="15.5" outlineLevel="1">
      <c r="A1019" s="1446">
        <f t="shared" si="165"/>
        <v>21.7</v>
      </c>
      <c r="B1019" s="1447" t="str">
        <f t="shared" si="165"/>
        <v>Scheme-7: Erection &amp; Commissioning of Travelling type coal chutes in CHP BTPS.</v>
      </c>
      <c r="C1019" s="1475" t="str">
        <f t="shared" si="165"/>
        <v>MERC/CAPEX/MSPGCL/2024-25/0310</v>
      </c>
      <c r="D1019" s="1473">
        <f t="shared" si="165"/>
        <v>45429</v>
      </c>
      <c r="E1019" s="1476">
        <f t="shared" si="165"/>
        <v>8.06</v>
      </c>
      <c r="F1019" s="1444">
        <f t="shared" si="157"/>
        <v>0</v>
      </c>
      <c r="G1019" s="1444">
        <f t="shared" si="158"/>
        <v>0</v>
      </c>
      <c r="H1019" s="1476">
        <f t="shared" si="159"/>
        <v>0</v>
      </c>
      <c r="I1019" s="1444">
        <v>4.9800000000000004</v>
      </c>
      <c r="J1019" s="1444">
        <v>4.9800000000000004</v>
      </c>
      <c r="K1019" s="1476"/>
      <c r="L1019" s="1476"/>
      <c r="M1019" s="1476">
        <f t="shared" si="164"/>
        <v>4.9800000000000004</v>
      </c>
      <c r="N1019" s="1476">
        <f t="shared" si="160"/>
        <v>0</v>
      </c>
      <c r="O1019" s="1445"/>
      <c r="P1019" s="1377"/>
    </row>
    <row r="1020" spans="1:16" ht="31" outlineLevel="1">
      <c r="A1020" s="1446">
        <f t="shared" si="165"/>
        <v>21.8</v>
      </c>
      <c r="B1020" s="1447" t="str">
        <f t="shared" si="165"/>
        <v>Scheme-8: Revamping of scoop cooling system installed in coal handling plant BTPS.</v>
      </c>
      <c r="C1020" s="1475" t="str">
        <f t="shared" si="165"/>
        <v>MERC/CAPEX/MSPGCL/2024-25/0310</v>
      </c>
      <c r="D1020" s="1473">
        <f t="shared" si="165"/>
        <v>45429</v>
      </c>
      <c r="E1020" s="1476">
        <f t="shared" si="165"/>
        <v>4.9800000000000004</v>
      </c>
      <c r="F1020" s="1444">
        <f t="shared" si="157"/>
        <v>0</v>
      </c>
      <c r="G1020" s="1444">
        <f t="shared" si="158"/>
        <v>0</v>
      </c>
      <c r="H1020" s="1476">
        <f t="shared" si="159"/>
        <v>0</v>
      </c>
      <c r="I1020" s="1444">
        <v>3.92</v>
      </c>
      <c r="J1020" s="1444">
        <v>3.92</v>
      </c>
      <c r="K1020" s="1476"/>
      <c r="L1020" s="1476"/>
      <c r="M1020" s="1476">
        <f t="shared" si="164"/>
        <v>3.92</v>
      </c>
      <c r="N1020" s="1476">
        <f t="shared" si="160"/>
        <v>0</v>
      </c>
      <c r="O1020" s="1445"/>
      <c r="P1020" s="1377"/>
    </row>
    <row r="1021" spans="1:16" ht="15.5" outlineLevel="1">
      <c r="A1021" s="1454">
        <f t="shared" si="165"/>
        <v>21.9</v>
      </c>
      <c r="B1021" s="1454" t="str">
        <f t="shared" si="165"/>
        <v>Scheme-9: Retrofitting and Up-gradation of Dewatering system in CHP-BTPS.</v>
      </c>
      <c r="C1021" s="1475" t="str">
        <f t="shared" si="165"/>
        <v>MERC/CAPEX/MSPGCL/2024-25/0310</v>
      </c>
      <c r="D1021" s="1473">
        <f t="shared" si="165"/>
        <v>45429</v>
      </c>
      <c r="E1021" s="1476">
        <f t="shared" si="165"/>
        <v>3.92</v>
      </c>
      <c r="F1021" s="1444">
        <f t="shared" si="157"/>
        <v>0</v>
      </c>
      <c r="G1021" s="1444">
        <f t="shared" si="158"/>
        <v>0</v>
      </c>
      <c r="H1021" s="1476">
        <f t="shared" si="159"/>
        <v>0</v>
      </c>
      <c r="I1021" s="1444">
        <v>9.01</v>
      </c>
      <c r="J1021" s="1444">
        <v>9.01</v>
      </c>
      <c r="K1021" s="1476"/>
      <c r="L1021" s="1476"/>
      <c r="M1021" s="1476">
        <f t="shared" si="164"/>
        <v>9.01</v>
      </c>
      <c r="N1021" s="1476">
        <f t="shared" si="160"/>
        <v>0</v>
      </c>
      <c r="O1021" s="1445"/>
      <c r="P1021" s="1377"/>
    </row>
    <row r="1022" spans="1:16" ht="15.5" outlineLevel="1">
      <c r="A1022" s="1455">
        <f t="shared" si="165"/>
        <v>0</v>
      </c>
      <c r="B1022" s="1455" t="str">
        <f t="shared" si="165"/>
        <v>IDC</v>
      </c>
      <c r="C1022" s="1475">
        <f t="shared" si="165"/>
        <v>0</v>
      </c>
      <c r="D1022" s="1473" t="str">
        <f t="shared" si="165"/>
        <v>-</v>
      </c>
      <c r="E1022" s="1476">
        <f t="shared" si="165"/>
        <v>0</v>
      </c>
      <c r="F1022" s="1444">
        <f t="shared" si="157"/>
        <v>0</v>
      </c>
      <c r="G1022" s="1444">
        <f t="shared" si="158"/>
        <v>0</v>
      </c>
      <c r="H1022" s="1476">
        <f t="shared" si="159"/>
        <v>0</v>
      </c>
      <c r="I1022" s="1444">
        <v>0.53</v>
      </c>
      <c r="J1022" s="1444">
        <v>0.53</v>
      </c>
      <c r="K1022" s="1476"/>
      <c r="L1022" s="1476"/>
      <c r="M1022" s="1476">
        <f t="shared" si="164"/>
        <v>0.53</v>
      </c>
      <c r="N1022" s="1476">
        <f t="shared" si="160"/>
        <v>0</v>
      </c>
      <c r="O1022" s="1445"/>
      <c r="P1022" s="1377"/>
    </row>
    <row r="1023" spans="1:16" ht="15.5" outlineLevel="1">
      <c r="A1023" s="1456">
        <f t="shared" si="165"/>
        <v>0</v>
      </c>
      <c r="B1023" s="1456" t="str">
        <f t="shared" si="165"/>
        <v>Asset Transfer from Projects</v>
      </c>
      <c r="C1023" s="1475">
        <f t="shared" si="165"/>
        <v>0</v>
      </c>
      <c r="D1023" s="1473" t="str">
        <f t="shared" si="165"/>
        <v>-</v>
      </c>
      <c r="E1023" s="1476">
        <f t="shared" si="165"/>
        <v>0</v>
      </c>
      <c r="F1023" s="1444">
        <f t="shared" si="157"/>
        <v>0</v>
      </c>
      <c r="G1023" s="1444">
        <f t="shared" si="158"/>
        <v>0</v>
      </c>
      <c r="H1023" s="1476">
        <f t="shared" si="159"/>
        <v>0</v>
      </c>
      <c r="I1023" s="1444">
        <v>0</v>
      </c>
      <c r="J1023" s="1444">
        <v>0</v>
      </c>
      <c r="K1023" s="1476"/>
      <c r="L1023" s="1476"/>
      <c r="M1023" s="1476">
        <f t="shared" si="164"/>
        <v>0</v>
      </c>
      <c r="N1023" s="1476">
        <f t="shared" si="160"/>
        <v>0</v>
      </c>
      <c r="O1023" s="1445"/>
      <c r="P1023" s="1377"/>
    </row>
    <row r="1024" spans="1:16" ht="15.5" outlineLevel="1">
      <c r="A1024" s="1455">
        <f t="shared" si="165"/>
        <v>0</v>
      </c>
      <c r="B1024" s="1455" t="str">
        <f t="shared" si="165"/>
        <v>SP Busduct Unit 4&amp;5</v>
      </c>
      <c r="C1024" s="1475">
        <f t="shared" si="165"/>
        <v>0</v>
      </c>
      <c r="D1024" s="1473" t="str">
        <f t="shared" si="165"/>
        <v>-</v>
      </c>
      <c r="E1024" s="1476">
        <f t="shared" si="165"/>
        <v>0</v>
      </c>
      <c r="F1024" s="1444">
        <f t="shared" si="157"/>
        <v>0.30071745999999999</v>
      </c>
      <c r="G1024" s="1444">
        <f t="shared" si="158"/>
        <v>0.30071745999999999</v>
      </c>
      <c r="H1024" s="1476">
        <f t="shared" si="159"/>
        <v>0</v>
      </c>
      <c r="I1024" s="1444">
        <v>0</v>
      </c>
      <c r="J1024" s="1444">
        <v>0</v>
      </c>
      <c r="K1024" s="1476"/>
      <c r="L1024" s="1476"/>
      <c r="M1024" s="1476">
        <f t="shared" si="164"/>
        <v>0</v>
      </c>
      <c r="N1024" s="1476">
        <f t="shared" si="160"/>
        <v>0</v>
      </c>
      <c r="O1024" s="1445"/>
      <c r="P1024" s="1377"/>
    </row>
    <row r="1025" spans="1:14" ht="15.5" outlineLevel="1">
      <c r="A1025" s="1455">
        <f t="shared" si="165"/>
        <v>0</v>
      </c>
      <c r="B1025" s="1455" t="str">
        <f t="shared" si="165"/>
        <v>ESP,ID,FD,PA Fans &amp;Other Boiler Auxiliaries</v>
      </c>
      <c r="C1025" s="1442">
        <f t="shared" si="165"/>
        <v>0</v>
      </c>
      <c r="D1025" s="1443" t="str">
        <f t="shared" si="165"/>
        <v>-</v>
      </c>
      <c r="E1025" s="1444">
        <f t="shared" si="165"/>
        <v>0</v>
      </c>
      <c r="F1025" s="1444">
        <f t="shared" si="157"/>
        <v>1.0282827000000001</v>
      </c>
      <c r="G1025" s="1444">
        <f t="shared" si="158"/>
        <v>1.0282827000000001</v>
      </c>
      <c r="H1025" s="1444">
        <f t="shared" si="159"/>
        <v>0</v>
      </c>
      <c r="I1025" s="1444">
        <v>0</v>
      </c>
      <c r="J1025" s="1444">
        <v>0</v>
      </c>
      <c r="K1025" s="1444"/>
      <c r="L1025" s="1444"/>
      <c r="M1025" s="1444">
        <f t="shared" si="164"/>
        <v>0</v>
      </c>
      <c r="N1025" s="1444">
        <f t="shared" si="160"/>
        <v>0</v>
      </c>
    </row>
    <row r="1026" spans="1:14" ht="15.5" outlineLevel="1">
      <c r="A1026" s="1456">
        <f t="shared" ref="A1026:E1041" si="166">A796</f>
        <v>0</v>
      </c>
      <c r="B1026" s="1456" t="str">
        <f t="shared" si="166"/>
        <v>(ii) DPR Yet to be Submitted to MERC</v>
      </c>
      <c r="C1026" s="1442">
        <f t="shared" si="166"/>
        <v>0</v>
      </c>
      <c r="D1026" s="1443" t="str">
        <f t="shared" si="166"/>
        <v>-</v>
      </c>
      <c r="E1026" s="1444">
        <f t="shared" si="166"/>
        <v>0</v>
      </c>
      <c r="F1026" s="1444">
        <f t="shared" si="157"/>
        <v>0</v>
      </c>
      <c r="G1026" s="1444">
        <f t="shared" si="158"/>
        <v>0</v>
      </c>
      <c r="H1026" s="1444">
        <f t="shared" si="159"/>
        <v>0</v>
      </c>
      <c r="I1026" s="1444">
        <v>0</v>
      </c>
      <c r="J1026" s="1444">
        <v>0</v>
      </c>
      <c r="K1026" s="1444"/>
      <c r="L1026" s="1444"/>
      <c r="M1026" s="1444">
        <f t="shared" si="164"/>
        <v>0</v>
      </c>
      <c r="N1026" s="1444">
        <f t="shared" si="160"/>
        <v>0</v>
      </c>
    </row>
    <row r="1027" spans="1:14" ht="15.5" outlineLevel="1">
      <c r="A1027" s="1457">
        <f t="shared" si="166"/>
        <v>0</v>
      </c>
      <c r="B1027" s="1457" t="str">
        <f t="shared" si="166"/>
        <v xml:space="preserve">FY 2025-26 </v>
      </c>
      <c r="C1027" s="1475">
        <f t="shared" si="166"/>
        <v>0</v>
      </c>
      <c r="D1027" s="1473" t="str">
        <f t="shared" si="166"/>
        <v>-</v>
      </c>
      <c r="E1027" s="1476">
        <f t="shared" si="166"/>
        <v>0</v>
      </c>
      <c r="F1027" s="1444">
        <f t="shared" si="157"/>
        <v>0</v>
      </c>
      <c r="G1027" s="1444">
        <f t="shared" si="158"/>
        <v>0</v>
      </c>
      <c r="H1027" s="1476">
        <f t="shared" si="159"/>
        <v>0</v>
      </c>
      <c r="I1027" s="1444">
        <v>0</v>
      </c>
      <c r="J1027" s="1444">
        <v>0</v>
      </c>
      <c r="K1027" s="1476"/>
      <c r="L1027" s="1476"/>
      <c r="M1027" s="1476">
        <f t="shared" si="164"/>
        <v>0</v>
      </c>
      <c r="N1027" s="1476">
        <f t="shared" si="160"/>
        <v>0</v>
      </c>
    </row>
    <row r="1028" spans="1:14" ht="31" outlineLevel="1">
      <c r="A1028" s="1458">
        <f t="shared" si="166"/>
        <v>1</v>
      </c>
      <c r="B1028" s="1459" t="str">
        <f t="shared" si="166"/>
        <v>Up gradation of coal mill reject system, Procurement of Air heater baskets &amp; spare Air heater gearbox at 2X500MW, Bhusawal TPS</v>
      </c>
      <c r="C1028" s="1475">
        <f t="shared" si="166"/>
        <v>0</v>
      </c>
      <c r="D1028" s="1473" t="str">
        <f t="shared" si="166"/>
        <v>-</v>
      </c>
      <c r="E1028" s="1476">
        <f t="shared" si="166"/>
        <v>0</v>
      </c>
      <c r="F1028" s="1444">
        <f t="shared" si="157"/>
        <v>31.75</v>
      </c>
      <c r="G1028" s="1444">
        <f t="shared" si="158"/>
        <v>0</v>
      </c>
      <c r="H1028" s="1476">
        <f t="shared" si="159"/>
        <v>31.75</v>
      </c>
      <c r="I1028" s="1444">
        <v>0</v>
      </c>
      <c r="J1028" s="1444">
        <v>0</v>
      </c>
      <c r="K1028" s="1476"/>
      <c r="L1028" s="1476"/>
      <c r="M1028" s="1476">
        <f t="shared" si="164"/>
        <v>0</v>
      </c>
      <c r="N1028" s="1476">
        <f t="shared" si="160"/>
        <v>31.75</v>
      </c>
    </row>
    <row r="1029" spans="1:14" ht="62" outlineLevel="1">
      <c r="A1029" s="1455">
        <f t="shared" si="166"/>
        <v>1.1000000000000001</v>
      </c>
      <c r="B1029" s="1455" t="str">
        <f t="shared" si="166"/>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1029" s="1475">
        <f t="shared" si="166"/>
        <v>0</v>
      </c>
      <c r="D1029" s="1473" t="str">
        <f t="shared" si="166"/>
        <v>-</v>
      </c>
      <c r="E1029" s="1476">
        <f t="shared" si="166"/>
        <v>0</v>
      </c>
      <c r="F1029" s="1444">
        <f t="shared" si="157"/>
        <v>15.05</v>
      </c>
      <c r="G1029" s="1444">
        <f t="shared" si="158"/>
        <v>15.05</v>
      </c>
      <c r="H1029" s="1476">
        <f t="shared" si="159"/>
        <v>0</v>
      </c>
      <c r="I1029" s="1444">
        <v>0</v>
      </c>
      <c r="J1029" s="1444">
        <v>0</v>
      </c>
      <c r="K1029" s="1476"/>
      <c r="L1029" s="1476"/>
      <c r="M1029" s="1476">
        <f t="shared" si="164"/>
        <v>0</v>
      </c>
      <c r="N1029" s="1476">
        <f t="shared" si="160"/>
        <v>0</v>
      </c>
    </row>
    <row r="1030" spans="1:14" ht="31" outlineLevel="1">
      <c r="A1030" s="1455">
        <f t="shared" si="166"/>
        <v>1.2</v>
      </c>
      <c r="B1030" s="1455" t="str">
        <f t="shared" si="166"/>
        <v>Procurement of assembly of baskets &amp; seals for Air Preheater of type 31.5 VIM 2000 (72° PA), in Unit-5 2x500MW, BTPS Bhusawal</v>
      </c>
      <c r="C1030" s="1475">
        <f t="shared" si="166"/>
        <v>0</v>
      </c>
      <c r="D1030" s="1473" t="str">
        <f t="shared" si="166"/>
        <v>-</v>
      </c>
      <c r="E1030" s="1476">
        <f t="shared" si="166"/>
        <v>0</v>
      </c>
      <c r="F1030" s="1444">
        <f t="shared" si="157"/>
        <v>7.45</v>
      </c>
      <c r="G1030" s="1444">
        <f t="shared" si="158"/>
        <v>7.45</v>
      </c>
      <c r="H1030" s="1476">
        <f t="shared" si="159"/>
        <v>0</v>
      </c>
      <c r="I1030" s="1444">
        <v>0</v>
      </c>
      <c r="J1030" s="1444">
        <v>0</v>
      </c>
      <c r="K1030" s="1476"/>
      <c r="L1030" s="1476"/>
      <c r="M1030" s="1476">
        <f t="shared" si="164"/>
        <v>0</v>
      </c>
      <c r="N1030" s="1476">
        <f t="shared" si="160"/>
        <v>0</v>
      </c>
    </row>
    <row r="1031" spans="1:14" ht="31" outlineLevel="1">
      <c r="A1031" s="1455">
        <f t="shared" si="166"/>
        <v>1.3</v>
      </c>
      <c r="B1031" s="1455" t="str">
        <f t="shared" si="166"/>
        <v>Procurement of APH Gearbox to improve availability and performance of Air preheaters at 2 x 500 MW Units, BTPS, Bhusawal. </v>
      </c>
      <c r="C1031" s="1475">
        <f t="shared" si="166"/>
        <v>0</v>
      </c>
      <c r="D1031" s="1473" t="str">
        <f t="shared" si="166"/>
        <v>-</v>
      </c>
      <c r="E1031" s="1476">
        <f t="shared" si="166"/>
        <v>0</v>
      </c>
      <c r="F1031" s="1444">
        <f t="shared" si="157"/>
        <v>9.25</v>
      </c>
      <c r="G1031" s="1444">
        <f t="shared" si="158"/>
        <v>9.25</v>
      </c>
      <c r="H1031" s="1476">
        <f t="shared" si="159"/>
        <v>0</v>
      </c>
      <c r="I1031" s="1444">
        <v>0</v>
      </c>
      <c r="J1031" s="1444">
        <v>0</v>
      </c>
      <c r="K1031" s="1476"/>
      <c r="L1031" s="1476"/>
      <c r="M1031" s="1476">
        <f t="shared" si="164"/>
        <v>0</v>
      </c>
      <c r="N1031" s="1476">
        <f t="shared" si="160"/>
        <v>0</v>
      </c>
    </row>
    <row r="1032" spans="1:14" ht="15.5" outlineLevel="1">
      <c r="A1032" s="1458">
        <f t="shared" si="166"/>
        <v>2</v>
      </c>
      <c r="B1032" s="1459" t="str">
        <f t="shared" si="166"/>
        <v>Boiler Reliability &amp; Availability improvement at 2x500MW, Bhusawal TPS.</v>
      </c>
      <c r="C1032" s="1442">
        <f t="shared" si="166"/>
        <v>0</v>
      </c>
      <c r="D1032" s="1443" t="str">
        <f t="shared" si="166"/>
        <v>-</v>
      </c>
      <c r="E1032" s="1444">
        <f t="shared" si="166"/>
        <v>0</v>
      </c>
      <c r="F1032" s="1444">
        <f t="shared" si="157"/>
        <v>83.63000000000001</v>
      </c>
      <c r="G1032" s="1444">
        <f t="shared" si="158"/>
        <v>0</v>
      </c>
      <c r="H1032" s="1444">
        <f t="shared" si="159"/>
        <v>83.63000000000001</v>
      </c>
      <c r="I1032" s="1444">
        <v>0</v>
      </c>
      <c r="J1032" s="1444">
        <v>0</v>
      </c>
      <c r="K1032" s="1444"/>
      <c r="L1032" s="1444"/>
      <c r="M1032" s="1444">
        <f t="shared" si="164"/>
        <v>0</v>
      </c>
      <c r="N1032" s="1444">
        <f t="shared" si="160"/>
        <v>83.63000000000001</v>
      </c>
    </row>
    <row r="1033" spans="1:14" ht="31" outlineLevel="1">
      <c r="A1033" s="1455">
        <f t="shared" si="166"/>
        <v>2.1</v>
      </c>
      <c r="B1033" s="1455" t="str">
        <f t="shared" si="166"/>
        <v xml:space="preserve">Procurement &amp; Replacement Of LTSH Coils for Unit - 4 &amp; 5 (500MW) TPS, Bhusawal. </v>
      </c>
      <c r="C1033" s="1475">
        <f t="shared" si="166"/>
        <v>0</v>
      </c>
      <c r="D1033" s="1473" t="str">
        <f t="shared" si="166"/>
        <v>-</v>
      </c>
      <c r="E1033" s="1476">
        <f t="shared" si="166"/>
        <v>0</v>
      </c>
      <c r="F1033" s="1444">
        <f t="shared" si="157"/>
        <v>19.11</v>
      </c>
      <c r="G1033" s="1444">
        <f t="shared" si="158"/>
        <v>19.11</v>
      </c>
      <c r="H1033" s="1476">
        <f t="shared" si="159"/>
        <v>0</v>
      </c>
      <c r="I1033" s="1444">
        <v>0</v>
      </c>
      <c r="J1033" s="1444">
        <v>0</v>
      </c>
      <c r="K1033" s="1476"/>
      <c r="L1033" s="1476"/>
      <c r="M1033" s="1476">
        <f t="shared" si="164"/>
        <v>0</v>
      </c>
      <c r="N1033" s="1476">
        <f t="shared" si="160"/>
        <v>0</v>
      </c>
    </row>
    <row r="1034" spans="1:14" ht="31" outlineLevel="1">
      <c r="A1034" s="1455">
        <f t="shared" si="166"/>
        <v>2.2000000000000002</v>
      </c>
      <c r="B1034" s="1455" t="str">
        <f t="shared" si="166"/>
        <v>Procurement &amp; Replacement Of Economiser Coils For Unit - 4 &amp; 5 (500MW) TPS, Bhusawal</v>
      </c>
      <c r="C1034" s="1475">
        <f t="shared" si="166"/>
        <v>0</v>
      </c>
      <c r="D1034" s="1473" t="str">
        <f t="shared" si="166"/>
        <v>-</v>
      </c>
      <c r="E1034" s="1476">
        <f t="shared" si="166"/>
        <v>0</v>
      </c>
      <c r="F1034" s="1444">
        <f t="shared" si="157"/>
        <v>47.6</v>
      </c>
      <c r="G1034" s="1444">
        <f t="shared" si="158"/>
        <v>47.6</v>
      </c>
      <c r="H1034" s="1476">
        <f t="shared" si="159"/>
        <v>0</v>
      </c>
      <c r="I1034" s="1444">
        <v>0</v>
      </c>
      <c r="J1034" s="1444">
        <v>0</v>
      </c>
      <c r="K1034" s="1476"/>
      <c r="L1034" s="1476"/>
      <c r="M1034" s="1476">
        <f t="shared" si="164"/>
        <v>0</v>
      </c>
      <c r="N1034" s="1476">
        <f t="shared" si="160"/>
        <v>0</v>
      </c>
    </row>
    <row r="1035" spans="1:14" ht="15.5" outlineLevel="1">
      <c r="A1035" s="1455">
        <f t="shared" si="166"/>
        <v>2.2999999999999998</v>
      </c>
      <c r="B1035" s="1455" t="str">
        <f t="shared" si="166"/>
        <v>Procurement of assembly of APH Baskets Unit-4</v>
      </c>
      <c r="C1035" s="1442">
        <f t="shared" si="166"/>
        <v>0</v>
      </c>
      <c r="D1035" s="1443" t="str">
        <f t="shared" si="166"/>
        <v>-</v>
      </c>
      <c r="E1035" s="1444">
        <f t="shared" si="166"/>
        <v>0</v>
      </c>
      <c r="F1035" s="1444">
        <f t="shared" si="157"/>
        <v>7.55</v>
      </c>
      <c r="G1035" s="1444">
        <f t="shared" si="158"/>
        <v>7.55</v>
      </c>
      <c r="H1035" s="1444">
        <f t="shared" si="159"/>
        <v>0</v>
      </c>
      <c r="I1035" s="1444">
        <v>0</v>
      </c>
      <c r="J1035" s="1444">
        <v>0</v>
      </c>
      <c r="K1035" s="1444"/>
      <c r="L1035" s="1444"/>
      <c r="M1035" s="1444">
        <f t="shared" si="164"/>
        <v>0</v>
      </c>
      <c r="N1035" s="1444">
        <f t="shared" si="160"/>
        <v>0</v>
      </c>
    </row>
    <row r="1036" spans="1:14" ht="15.5" outlineLevel="1">
      <c r="A1036" s="1455">
        <f t="shared" si="166"/>
        <v>2.4</v>
      </c>
      <c r="B1036" s="1455" t="str">
        <f t="shared" si="166"/>
        <v>Procurement of APH Gearbox Unit-4&amp;5</v>
      </c>
      <c r="C1036" s="1475">
        <f t="shared" si="166"/>
        <v>0</v>
      </c>
      <c r="D1036" s="1473" t="str">
        <f t="shared" si="166"/>
        <v>-</v>
      </c>
      <c r="E1036" s="1476">
        <f t="shared" si="166"/>
        <v>0</v>
      </c>
      <c r="F1036" s="1444">
        <f t="shared" si="157"/>
        <v>9.3699999999999992</v>
      </c>
      <c r="G1036" s="1444">
        <f t="shared" si="158"/>
        <v>9.3699999999999992</v>
      </c>
      <c r="H1036" s="1476">
        <f t="shared" si="159"/>
        <v>0</v>
      </c>
      <c r="I1036" s="1444">
        <v>0</v>
      </c>
      <c r="J1036" s="1444">
        <v>0</v>
      </c>
      <c r="K1036" s="1476"/>
      <c r="L1036" s="1476"/>
      <c r="M1036" s="1476">
        <f t="shared" si="164"/>
        <v>0</v>
      </c>
      <c r="N1036" s="1476">
        <f t="shared" si="160"/>
        <v>0</v>
      </c>
    </row>
    <row r="1037" spans="1:14" ht="15.5" outlineLevel="1">
      <c r="A1037" s="1458">
        <f t="shared" si="166"/>
        <v>3</v>
      </c>
      <c r="B1037" s="1459" t="str">
        <f t="shared" si="166"/>
        <v>Various Turbine side reliability improvement schemes at 2x500MW, BTPS</v>
      </c>
      <c r="C1037" s="1475">
        <f t="shared" si="166"/>
        <v>0</v>
      </c>
      <c r="D1037" s="1473" t="str">
        <f t="shared" si="166"/>
        <v>-</v>
      </c>
      <c r="E1037" s="1476">
        <f t="shared" si="166"/>
        <v>0</v>
      </c>
      <c r="F1037" s="1444">
        <f t="shared" si="157"/>
        <v>41.4</v>
      </c>
      <c r="G1037" s="1444">
        <f t="shared" si="158"/>
        <v>0</v>
      </c>
      <c r="H1037" s="1476">
        <f t="shared" si="159"/>
        <v>41.4</v>
      </c>
      <c r="I1037" s="1444">
        <v>0</v>
      </c>
      <c r="J1037" s="1444">
        <v>0</v>
      </c>
      <c r="K1037" s="1476"/>
      <c r="L1037" s="1476"/>
      <c r="M1037" s="1476">
        <f t="shared" si="164"/>
        <v>0</v>
      </c>
      <c r="N1037" s="1476">
        <f t="shared" si="160"/>
        <v>41.4</v>
      </c>
    </row>
    <row r="1038" spans="1:14" ht="15.5" outlineLevel="1">
      <c r="A1038" s="1455">
        <f t="shared" si="166"/>
        <v>3.1</v>
      </c>
      <c r="B1038" s="1455" t="str">
        <f t="shared" si="166"/>
        <v>Reliability improvement of Atlas copco make (mode -ZR -500)</v>
      </c>
      <c r="C1038" s="1475">
        <f t="shared" si="166"/>
        <v>0</v>
      </c>
      <c r="D1038" s="1473" t="str">
        <f t="shared" si="166"/>
        <v>-</v>
      </c>
      <c r="E1038" s="1476">
        <f t="shared" si="166"/>
        <v>0</v>
      </c>
      <c r="F1038" s="1444">
        <f t="shared" si="157"/>
        <v>2.4</v>
      </c>
      <c r="G1038" s="1444">
        <f t="shared" si="158"/>
        <v>2.4</v>
      </c>
      <c r="H1038" s="1476">
        <f t="shared" si="159"/>
        <v>0</v>
      </c>
      <c r="I1038" s="1444">
        <v>0</v>
      </c>
      <c r="J1038" s="1444">
        <v>0</v>
      </c>
      <c r="K1038" s="1476"/>
      <c r="L1038" s="1476"/>
      <c r="M1038" s="1476">
        <f t="shared" si="164"/>
        <v>0</v>
      </c>
      <c r="N1038" s="1476">
        <f t="shared" si="160"/>
        <v>0</v>
      </c>
    </row>
    <row r="1039" spans="1:14" ht="15.5" outlineLevel="1">
      <c r="A1039" s="1455">
        <f t="shared" si="166"/>
        <v>3.2</v>
      </c>
      <c r="B1039" s="1455" t="str">
        <f t="shared" si="166"/>
        <v xml:space="preserve">Reliability improvement of  HPCV Valve with procurment cone assy </v>
      </c>
      <c r="C1039" s="1475">
        <f t="shared" si="166"/>
        <v>0</v>
      </c>
      <c r="D1039" s="1473" t="str">
        <f t="shared" si="166"/>
        <v>-</v>
      </c>
      <c r="E1039" s="1476">
        <f t="shared" si="166"/>
        <v>0</v>
      </c>
      <c r="F1039" s="1444">
        <f t="shared" si="157"/>
        <v>2</v>
      </c>
      <c r="G1039" s="1444">
        <f t="shared" si="158"/>
        <v>2</v>
      </c>
      <c r="H1039" s="1476">
        <f t="shared" si="159"/>
        <v>0</v>
      </c>
      <c r="I1039" s="1444">
        <v>0</v>
      </c>
      <c r="J1039" s="1444">
        <v>0</v>
      </c>
      <c r="K1039" s="1476"/>
      <c r="L1039" s="1476"/>
      <c r="M1039" s="1476">
        <f t="shared" si="164"/>
        <v>0</v>
      </c>
      <c r="N1039" s="1476">
        <f t="shared" si="160"/>
        <v>0</v>
      </c>
    </row>
    <row r="1040" spans="1:14" ht="15.5" outlineLevel="1">
      <c r="A1040" s="1455">
        <f t="shared" si="166"/>
        <v>3.3</v>
      </c>
      <c r="B1040" s="1455" t="str">
        <f t="shared" si="166"/>
        <v>Reliability improvement of Alfa Laval make Portable COP</v>
      </c>
      <c r="C1040" s="1475">
        <f t="shared" si="166"/>
        <v>0</v>
      </c>
      <c r="D1040" s="1473" t="str">
        <f t="shared" si="166"/>
        <v>-</v>
      </c>
      <c r="E1040" s="1476">
        <f t="shared" si="166"/>
        <v>0</v>
      </c>
      <c r="F1040" s="1444">
        <f t="shared" si="157"/>
        <v>3</v>
      </c>
      <c r="G1040" s="1444">
        <f t="shared" si="158"/>
        <v>3</v>
      </c>
      <c r="H1040" s="1476">
        <f t="shared" si="159"/>
        <v>0</v>
      </c>
      <c r="I1040" s="1444">
        <v>0</v>
      </c>
      <c r="J1040" s="1444">
        <v>0</v>
      </c>
      <c r="K1040" s="1476"/>
      <c r="L1040" s="1476"/>
      <c r="M1040" s="1476">
        <f t="shared" si="164"/>
        <v>0</v>
      </c>
      <c r="N1040" s="1476">
        <f t="shared" si="160"/>
        <v>0</v>
      </c>
    </row>
    <row r="1041" spans="1:14" ht="31" outlineLevel="1">
      <c r="A1041" s="1455">
        <f t="shared" si="166"/>
        <v>3.4</v>
      </c>
      <c r="B1041" s="1455" t="str">
        <f t="shared" si="166"/>
        <v>Reliability improvement of Seal Oil System with procurement of various U Seal rings</v>
      </c>
      <c r="C1041" s="1475">
        <f t="shared" si="166"/>
        <v>0</v>
      </c>
      <c r="D1041" s="1473" t="str">
        <f t="shared" si="166"/>
        <v>-</v>
      </c>
      <c r="E1041" s="1476">
        <f t="shared" si="166"/>
        <v>0</v>
      </c>
      <c r="F1041" s="1444">
        <f t="shared" si="157"/>
        <v>2</v>
      </c>
      <c r="G1041" s="1444">
        <f t="shared" si="158"/>
        <v>2</v>
      </c>
      <c r="H1041" s="1476">
        <f t="shared" si="159"/>
        <v>0</v>
      </c>
      <c r="I1041" s="1444">
        <v>0</v>
      </c>
      <c r="J1041" s="1444">
        <v>0</v>
      </c>
      <c r="K1041" s="1476"/>
      <c r="L1041" s="1476"/>
      <c r="M1041" s="1476">
        <f t="shared" si="164"/>
        <v>0</v>
      </c>
      <c r="N1041" s="1476">
        <f t="shared" si="160"/>
        <v>0</v>
      </c>
    </row>
    <row r="1042" spans="1:14" ht="31" outlineLevel="1">
      <c r="A1042" s="1455">
        <f t="shared" ref="A1042:E1057" si="167">A812</f>
        <v>3.5</v>
      </c>
      <c r="B1042" s="1455" t="str">
        <f t="shared" si="167"/>
        <v>Reliability improvement of Unit-4 &amp; 5 NDCT with replacement of PVC fills and allied work</v>
      </c>
      <c r="C1042" s="1442">
        <f t="shared" si="167"/>
        <v>0</v>
      </c>
      <c r="D1042" s="1443" t="str">
        <f t="shared" si="167"/>
        <v>-</v>
      </c>
      <c r="E1042" s="1444">
        <f t="shared" si="167"/>
        <v>0</v>
      </c>
      <c r="F1042" s="1444">
        <f t="shared" si="157"/>
        <v>30</v>
      </c>
      <c r="G1042" s="1444">
        <f t="shared" si="158"/>
        <v>30</v>
      </c>
      <c r="H1042" s="1444">
        <f t="shared" si="159"/>
        <v>0</v>
      </c>
      <c r="I1042" s="1444">
        <v>0</v>
      </c>
      <c r="J1042" s="1444">
        <v>0</v>
      </c>
      <c r="K1042" s="1444"/>
      <c r="L1042" s="1444"/>
      <c r="M1042" s="1444">
        <f t="shared" si="164"/>
        <v>0</v>
      </c>
      <c r="N1042" s="1444">
        <f t="shared" si="160"/>
        <v>0</v>
      </c>
    </row>
    <row r="1043" spans="1:14" ht="15.5" outlineLevel="1">
      <c r="A1043" s="1455">
        <f t="shared" si="167"/>
        <v>3.6</v>
      </c>
      <c r="B1043" s="1455" t="str">
        <f t="shared" si="167"/>
        <v>Upgradation of Chiller plant, GEHO pump house &amp; OLTC PLC system.</v>
      </c>
      <c r="C1043" s="1475">
        <f t="shared" si="167"/>
        <v>0</v>
      </c>
      <c r="D1043" s="1473" t="str">
        <f t="shared" si="167"/>
        <v>-</v>
      </c>
      <c r="E1043" s="1476">
        <f t="shared" si="167"/>
        <v>0</v>
      </c>
      <c r="F1043" s="1444">
        <f t="shared" si="157"/>
        <v>2</v>
      </c>
      <c r="G1043" s="1444">
        <f t="shared" si="158"/>
        <v>2</v>
      </c>
      <c r="H1043" s="1476">
        <f t="shared" si="159"/>
        <v>0</v>
      </c>
      <c r="I1043" s="1444">
        <v>0</v>
      </c>
      <c r="J1043" s="1444">
        <v>0</v>
      </c>
      <c r="K1043" s="1476"/>
      <c r="L1043" s="1476"/>
      <c r="M1043" s="1476">
        <f t="shared" si="164"/>
        <v>0</v>
      </c>
      <c r="N1043" s="1476">
        <f t="shared" si="160"/>
        <v>0</v>
      </c>
    </row>
    <row r="1044" spans="1:14" ht="15.5" outlineLevel="1">
      <c r="A1044" s="1458">
        <f t="shared" si="167"/>
        <v>4</v>
      </c>
      <c r="B1044" s="1459" t="str">
        <f t="shared" si="167"/>
        <v>IB recommended scheme related (Civil and Electrical)</v>
      </c>
      <c r="C1044" s="1475">
        <f t="shared" si="167"/>
        <v>0</v>
      </c>
      <c r="D1044" s="1473" t="str">
        <f t="shared" si="167"/>
        <v>-</v>
      </c>
      <c r="E1044" s="1476">
        <f t="shared" si="167"/>
        <v>0</v>
      </c>
      <c r="F1044" s="1444">
        <f t="shared" si="157"/>
        <v>10.76</v>
      </c>
      <c r="G1044" s="1444">
        <f t="shared" si="158"/>
        <v>0</v>
      </c>
      <c r="H1044" s="1476">
        <f t="shared" si="159"/>
        <v>10.76</v>
      </c>
      <c r="I1044" s="1444">
        <v>0</v>
      </c>
      <c r="J1044" s="1444">
        <v>0</v>
      </c>
      <c r="K1044" s="1476"/>
      <c r="L1044" s="1476"/>
      <c r="M1044" s="1476">
        <f t="shared" si="164"/>
        <v>0</v>
      </c>
      <c r="N1044" s="1476">
        <f t="shared" si="160"/>
        <v>10.76</v>
      </c>
    </row>
    <row r="1045" spans="1:14" ht="31" outlineLevel="1">
      <c r="A1045" s="1455">
        <f t="shared" si="167"/>
        <v>4.0999999999999996</v>
      </c>
      <c r="B1045" s="1455" t="str">
        <f t="shared" si="167"/>
        <v>Work of fabricating and erecting structural steel watch tower (10 Nos.) in major store, plant area, ash pipe line and ash bund area at BTPS, Deepnagar.</v>
      </c>
      <c r="C1045" s="1475">
        <f t="shared" si="167"/>
        <v>0</v>
      </c>
      <c r="D1045" s="1473" t="str">
        <f t="shared" si="167"/>
        <v>-</v>
      </c>
      <c r="E1045" s="1476">
        <f t="shared" si="167"/>
        <v>0</v>
      </c>
      <c r="F1045" s="1444">
        <f t="shared" si="157"/>
        <v>0.86</v>
      </c>
      <c r="G1045" s="1444">
        <f t="shared" si="158"/>
        <v>0.86</v>
      </c>
      <c r="H1045" s="1476">
        <f t="shared" si="159"/>
        <v>0</v>
      </c>
      <c r="I1045" s="1444">
        <v>0</v>
      </c>
      <c r="J1045" s="1444">
        <v>0</v>
      </c>
      <c r="K1045" s="1476"/>
      <c r="L1045" s="1476"/>
      <c r="M1045" s="1476">
        <f t="shared" si="164"/>
        <v>0</v>
      </c>
      <c r="N1045" s="1476">
        <f t="shared" si="160"/>
        <v>0</v>
      </c>
    </row>
    <row r="1046" spans="1:14" ht="31" outlineLevel="1">
      <c r="A1046" s="1455">
        <f t="shared" si="167"/>
        <v>4.2</v>
      </c>
      <c r="B1046" s="1455" t="str">
        <f t="shared" si="167"/>
        <v>Work of construction of ladies frisking room for security section and visitors room near factory gate and providing at 2x500MW, BTPS, Deepnagar.</v>
      </c>
      <c r="C1046" s="1442">
        <f t="shared" si="167"/>
        <v>0</v>
      </c>
      <c r="D1046" s="1443" t="str">
        <f t="shared" si="167"/>
        <v>-</v>
      </c>
      <c r="E1046" s="1444">
        <f t="shared" si="167"/>
        <v>0</v>
      </c>
      <c r="F1046" s="1444">
        <f t="shared" si="157"/>
        <v>0.43</v>
      </c>
      <c r="G1046" s="1444">
        <f t="shared" si="158"/>
        <v>0.43</v>
      </c>
      <c r="H1046" s="1444">
        <f t="shared" si="159"/>
        <v>0</v>
      </c>
      <c r="I1046" s="1444">
        <v>0</v>
      </c>
      <c r="J1046" s="1444">
        <v>0</v>
      </c>
      <c r="K1046" s="1444"/>
      <c r="L1046" s="1444"/>
      <c r="M1046" s="1444">
        <f t="shared" si="164"/>
        <v>0</v>
      </c>
      <c r="N1046" s="1444">
        <f t="shared" si="160"/>
        <v>0</v>
      </c>
    </row>
    <row r="1047" spans="1:14" ht="31" outlineLevel="1">
      <c r="A1047" s="1455">
        <f t="shared" si="167"/>
        <v>4.3</v>
      </c>
      <c r="B1047" s="1455" t="str">
        <f t="shared" si="167"/>
        <v>Work of dismantling and construction old weathered UCR compound wall on bhogawati riverside in 2x500 MW at BTPS.</v>
      </c>
      <c r="C1047" s="1475">
        <f t="shared" si="167"/>
        <v>0</v>
      </c>
      <c r="D1047" s="1473" t="str">
        <f t="shared" si="167"/>
        <v>-</v>
      </c>
      <c r="E1047" s="1476">
        <f t="shared" si="167"/>
        <v>0</v>
      </c>
      <c r="F1047" s="1444">
        <f t="shared" si="157"/>
        <v>3.29</v>
      </c>
      <c r="G1047" s="1444">
        <f t="shared" si="158"/>
        <v>3.29</v>
      </c>
      <c r="H1047" s="1476">
        <f t="shared" si="159"/>
        <v>0</v>
      </c>
      <c r="I1047" s="1444">
        <v>0</v>
      </c>
      <c r="J1047" s="1444">
        <v>0</v>
      </c>
      <c r="K1047" s="1476"/>
      <c r="L1047" s="1476"/>
      <c r="M1047" s="1476">
        <f t="shared" si="164"/>
        <v>0</v>
      </c>
      <c r="N1047" s="1476">
        <f t="shared" si="160"/>
        <v>0</v>
      </c>
    </row>
    <row r="1048" spans="1:14" ht="31" outlineLevel="1">
      <c r="A1048" s="1455">
        <f t="shared" si="167"/>
        <v>4.4000000000000004</v>
      </c>
      <c r="B1048" s="1455" t="str">
        <f t="shared" si="167"/>
        <v>Construcion of RCC comppund wall from remote silo to pimpri sekam railway siding cabin at BTPS</v>
      </c>
      <c r="C1048" s="1475">
        <f t="shared" si="167"/>
        <v>0</v>
      </c>
      <c r="D1048" s="1473" t="str">
        <f t="shared" si="167"/>
        <v>-</v>
      </c>
      <c r="E1048" s="1476">
        <f t="shared" si="167"/>
        <v>0</v>
      </c>
      <c r="F1048" s="1444">
        <f t="shared" si="157"/>
        <v>2.02</v>
      </c>
      <c r="G1048" s="1444">
        <f t="shared" si="158"/>
        <v>2.02</v>
      </c>
      <c r="H1048" s="1476">
        <f t="shared" si="159"/>
        <v>0</v>
      </c>
      <c r="I1048" s="1444">
        <v>0</v>
      </c>
      <c r="J1048" s="1444">
        <v>0</v>
      </c>
      <c r="K1048" s="1476"/>
      <c r="L1048" s="1476"/>
      <c r="M1048" s="1476">
        <f t="shared" si="164"/>
        <v>0</v>
      </c>
      <c r="N1048" s="1476">
        <f t="shared" si="160"/>
        <v>0</v>
      </c>
    </row>
    <row r="1049" spans="1:14" ht="15.5" outlineLevel="1">
      <c r="A1049" s="1455">
        <f t="shared" si="167"/>
        <v>4.5</v>
      </c>
      <c r="B1049" s="1455" t="str">
        <f t="shared" si="167"/>
        <v>Installation of Highmast towers</v>
      </c>
      <c r="C1049" s="1475">
        <f t="shared" si="167"/>
        <v>0</v>
      </c>
      <c r="D1049" s="1473" t="str">
        <f t="shared" si="167"/>
        <v>-</v>
      </c>
      <c r="E1049" s="1476">
        <f t="shared" si="167"/>
        <v>0</v>
      </c>
      <c r="F1049" s="1444">
        <f t="shared" si="157"/>
        <v>4.16</v>
      </c>
      <c r="G1049" s="1444">
        <f t="shared" si="158"/>
        <v>4.16</v>
      </c>
      <c r="H1049" s="1476">
        <f t="shared" si="159"/>
        <v>0</v>
      </c>
      <c r="I1049" s="1444">
        <v>0</v>
      </c>
      <c r="J1049" s="1444">
        <v>0</v>
      </c>
      <c r="K1049" s="1476"/>
      <c r="L1049" s="1476"/>
      <c r="M1049" s="1476">
        <f t="shared" si="164"/>
        <v>0</v>
      </c>
      <c r="N1049" s="1476">
        <f t="shared" si="160"/>
        <v>0</v>
      </c>
    </row>
    <row r="1050" spans="1:14" ht="15.5" outlineLevel="1">
      <c r="A1050" s="1457">
        <f t="shared" si="167"/>
        <v>0</v>
      </c>
      <c r="B1050" s="1457" t="str">
        <f t="shared" si="167"/>
        <v xml:space="preserve">FY 2026-27 </v>
      </c>
      <c r="C1050" s="1475">
        <f t="shared" si="167"/>
        <v>0</v>
      </c>
      <c r="D1050" s="1473" t="str">
        <f t="shared" si="167"/>
        <v>-</v>
      </c>
      <c r="E1050" s="1476">
        <f t="shared" si="167"/>
        <v>0</v>
      </c>
      <c r="F1050" s="1444">
        <f t="shared" si="157"/>
        <v>0</v>
      </c>
      <c r="G1050" s="1444">
        <f t="shared" si="158"/>
        <v>0</v>
      </c>
      <c r="H1050" s="1476">
        <f t="shared" si="159"/>
        <v>0</v>
      </c>
      <c r="I1050" s="1444">
        <v>0</v>
      </c>
      <c r="J1050" s="1444">
        <v>0</v>
      </c>
      <c r="K1050" s="1476"/>
      <c r="L1050" s="1476"/>
      <c r="M1050" s="1476">
        <f t="shared" si="164"/>
        <v>0</v>
      </c>
      <c r="N1050" s="1476">
        <f t="shared" si="160"/>
        <v>0</v>
      </c>
    </row>
    <row r="1051" spans="1:14" ht="31" outlineLevel="1">
      <c r="A1051" s="1458">
        <f t="shared" si="167"/>
        <v>1</v>
      </c>
      <c r="B1051" s="1459" t="str">
        <f t="shared" si="167"/>
        <v>Coal Mill Performance Improvement and Life Enhancement of BHEL Make XRP-1043 Coal Mills in 2x500 MW BTPS.</v>
      </c>
      <c r="C1051" s="1475">
        <f t="shared" si="167"/>
        <v>0</v>
      </c>
      <c r="D1051" s="1473" t="str">
        <f t="shared" si="167"/>
        <v>-</v>
      </c>
      <c r="E1051" s="1476">
        <f t="shared" si="167"/>
        <v>0</v>
      </c>
      <c r="F1051" s="1444">
        <f t="shared" si="157"/>
        <v>0</v>
      </c>
      <c r="G1051" s="1444">
        <f t="shared" si="158"/>
        <v>0</v>
      </c>
      <c r="H1051" s="1476">
        <f t="shared" si="159"/>
        <v>0</v>
      </c>
      <c r="I1051" s="1444">
        <v>0</v>
      </c>
      <c r="J1051" s="1444">
        <v>0</v>
      </c>
      <c r="K1051" s="1476"/>
      <c r="L1051" s="1476"/>
      <c r="M1051" s="1476">
        <f t="shared" si="164"/>
        <v>0</v>
      </c>
      <c r="N1051" s="1476">
        <f t="shared" si="160"/>
        <v>0</v>
      </c>
    </row>
    <row r="1052" spans="1:14" ht="31" outlineLevel="1">
      <c r="A1052" s="1455">
        <f t="shared" si="167"/>
        <v>1.1000000000000001</v>
      </c>
      <c r="B1052" s="1455" t="str">
        <f t="shared" si="167"/>
        <v>Coal Mill Performance Improvement and Life Enhancement of BHEL Make XRP-1043 Coal Mills in 2x500 MW BTPS.</v>
      </c>
      <c r="C1052" s="1475">
        <f t="shared" si="167"/>
        <v>0</v>
      </c>
      <c r="D1052" s="1473" t="str">
        <f t="shared" si="167"/>
        <v>-</v>
      </c>
      <c r="E1052" s="1476">
        <f t="shared" si="167"/>
        <v>0</v>
      </c>
      <c r="F1052" s="1444">
        <f t="shared" si="157"/>
        <v>0</v>
      </c>
      <c r="G1052" s="1444">
        <f t="shared" si="158"/>
        <v>0</v>
      </c>
      <c r="H1052" s="1476">
        <f t="shared" si="159"/>
        <v>0</v>
      </c>
      <c r="I1052" s="1444">
        <v>50</v>
      </c>
      <c r="J1052" s="1444">
        <v>50</v>
      </c>
      <c r="K1052" s="1476"/>
      <c r="L1052" s="1476"/>
      <c r="M1052" s="1476">
        <f t="shared" si="164"/>
        <v>50</v>
      </c>
      <c r="N1052" s="1476">
        <f t="shared" si="160"/>
        <v>0</v>
      </c>
    </row>
    <row r="1053" spans="1:14" ht="46.5" outlineLevel="1">
      <c r="A1053" s="1455">
        <f t="shared" si="167"/>
        <v>2</v>
      </c>
      <c r="B1053" s="1455" t="str">
        <f t="shared" si="167"/>
        <v xml:space="preserve">Upgradation of Coal feeder weighing system and revamping of Boiler side pneumatic dampers system of Hot air, cold air, FD,PA and burner tilt at Bhusawal TPS 2x500W </v>
      </c>
      <c r="C1053" s="1475">
        <f t="shared" si="167"/>
        <v>0</v>
      </c>
      <c r="D1053" s="1473" t="str">
        <f t="shared" si="167"/>
        <v>-</v>
      </c>
      <c r="E1053" s="1476">
        <f t="shared" si="167"/>
        <v>0</v>
      </c>
      <c r="F1053" s="1444">
        <f t="shared" si="157"/>
        <v>0</v>
      </c>
      <c r="G1053" s="1444">
        <f t="shared" si="158"/>
        <v>0</v>
      </c>
      <c r="H1053" s="1476">
        <f t="shared" si="159"/>
        <v>0</v>
      </c>
      <c r="I1053" s="1444">
        <v>0</v>
      </c>
      <c r="J1053" s="1444">
        <v>0</v>
      </c>
      <c r="K1053" s="1476"/>
      <c r="L1053" s="1476"/>
      <c r="M1053" s="1476">
        <f t="shared" si="164"/>
        <v>0</v>
      </c>
      <c r="N1053" s="1476">
        <f t="shared" si="160"/>
        <v>0</v>
      </c>
    </row>
    <row r="1054" spans="1:14" ht="15.5" outlineLevel="1">
      <c r="A1054" s="1455">
        <f t="shared" si="167"/>
        <v>2.1</v>
      </c>
      <c r="B1054" s="1455" t="str">
        <f t="shared" si="167"/>
        <v xml:space="preserve">Upgradation of Coal feeder weighing system  at Bhusawal TPS 2x500W </v>
      </c>
      <c r="C1054" s="1475">
        <f t="shared" si="167"/>
        <v>0</v>
      </c>
      <c r="D1054" s="1473" t="str">
        <f t="shared" si="167"/>
        <v>-</v>
      </c>
      <c r="E1054" s="1476">
        <f t="shared" si="167"/>
        <v>0</v>
      </c>
      <c r="F1054" s="1444">
        <f t="shared" si="157"/>
        <v>0</v>
      </c>
      <c r="G1054" s="1444">
        <f t="shared" si="158"/>
        <v>0</v>
      </c>
      <c r="H1054" s="1476">
        <f t="shared" si="159"/>
        <v>0</v>
      </c>
      <c r="I1054" s="1444">
        <v>11.42</v>
      </c>
      <c r="J1054" s="1444">
        <v>11.42</v>
      </c>
      <c r="K1054" s="1476"/>
      <c r="L1054" s="1476"/>
      <c r="M1054" s="1476">
        <f t="shared" si="164"/>
        <v>11.42</v>
      </c>
      <c r="N1054" s="1476">
        <f t="shared" si="160"/>
        <v>0</v>
      </c>
    </row>
    <row r="1055" spans="1:14" ht="15.5" outlineLevel="1">
      <c r="A1055" s="1455">
        <f t="shared" si="167"/>
        <v>2.2000000000000002</v>
      </c>
      <c r="B1055" s="1455" t="str">
        <f t="shared" si="167"/>
        <v>Up-gradation of carbon monoxide analyzer in flue gas installed</v>
      </c>
      <c r="C1055" s="1475">
        <f t="shared" si="167"/>
        <v>0</v>
      </c>
      <c r="D1055" s="1473" t="str">
        <f t="shared" si="167"/>
        <v>-</v>
      </c>
      <c r="E1055" s="1476">
        <f t="shared" si="167"/>
        <v>0</v>
      </c>
      <c r="F1055" s="1444">
        <f t="shared" si="157"/>
        <v>0</v>
      </c>
      <c r="G1055" s="1444">
        <f t="shared" si="158"/>
        <v>0</v>
      </c>
      <c r="H1055" s="1476">
        <f t="shared" si="159"/>
        <v>0</v>
      </c>
      <c r="I1055" s="1444">
        <v>2.16</v>
      </c>
      <c r="J1055" s="1444">
        <v>2.16</v>
      </c>
      <c r="K1055" s="1476"/>
      <c r="L1055" s="1476"/>
      <c r="M1055" s="1476">
        <f t="shared" si="164"/>
        <v>2.16</v>
      </c>
      <c r="N1055" s="1476">
        <f t="shared" si="160"/>
        <v>0</v>
      </c>
    </row>
    <row r="1056" spans="1:14" ht="31" outlineLevel="1">
      <c r="A1056" s="1455">
        <f t="shared" si="167"/>
        <v>2.2999999999999998</v>
      </c>
      <c r="B1056" s="1455" t="str">
        <f t="shared" si="167"/>
        <v>Up- Gradation of condition monitoring &amp; analysis system for TSI of Main Turbine , TDBFP &amp; BOP System 2x500 MW BTPS.</v>
      </c>
      <c r="C1056" s="1475">
        <f t="shared" si="167"/>
        <v>0</v>
      </c>
      <c r="D1056" s="1473" t="str">
        <f t="shared" si="167"/>
        <v>-</v>
      </c>
      <c r="E1056" s="1476">
        <f t="shared" si="167"/>
        <v>0</v>
      </c>
      <c r="F1056" s="1444">
        <f t="shared" si="157"/>
        <v>0</v>
      </c>
      <c r="G1056" s="1444">
        <f t="shared" si="158"/>
        <v>0</v>
      </c>
      <c r="H1056" s="1476">
        <f t="shared" si="159"/>
        <v>0</v>
      </c>
      <c r="I1056" s="1444">
        <v>13.2</v>
      </c>
      <c r="J1056" s="1444">
        <v>13.2</v>
      </c>
      <c r="K1056" s="1476"/>
      <c r="L1056" s="1476"/>
      <c r="M1056" s="1476">
        <f t="shared" si="164"/>
        <v>13.2</v>
      </c>
      <c r="N1056" s="1476">
        <f t="shared" si="160"/>
        <v>0</v>
      </c>
    </row>
    <row r="1057" spans="1:14" ht="31" outlineLevel="1">
      <c r="A1057" s="1455">
        <f t="shared" si="167"/>
        <v>2.5</v>
      </c>
      <c r="B1057" s="1455" t="str">
        <f t="shared" si="167"/>
        <v xml:space="preserve">Revamping of Boiler side pneumatic dampers system of Hot air, cold air, FD,PA and burner tilt at BTPS 2X500MW </v>
      </c>
      <c r="C1057" s="1475">
        <f t="shared" si="167"/>
        <v>0</v>
      </c>
      <c r="D1057" s="1473" t="str">
        <f t="shared" si="167"/>
        <v>-</v>
      </c>
      <c r="E1057" s="1476">
        <f t="shared" si="167"/>
        <v>0</v>
      </c>
      <c r="F1057" s="1444">
        <f t="shared" si="157"/>
        <v>0</v>
      </c>
      <c r="G1057" s="1444">
        <f t="shared" si="158"/>
        <v>0</v>
      </c>
      <c r="H1057" s="1476">
        <f t="shared" si="159"/>
        <v>0</v>
      </c>
      <c r="I1057" s="1444">
        <v>6</v>
      </c>
      <c r="J1057" s="1444">
        <v>6</v>
      </c>
      <c r="K1057" s="1476"/>
      <c r="L1057" s="1476"/>
      <c r="M1057" s="1476">
        <f t="shared" si="164"/>
        <v>6</v>
      </c>
      <c r="N1057" s="1476">
        <f t="shared" si="160"/>
        <v>0</v>
      </c>
    </row>
    <row r="1058" spans="1:14" ht="15.5" outlineLevel="1">
      <c r="A1058" s="1455">
        <f t="shared" ref="A1058:E1073" si="168">A828</f>
        <v>2.6</v>
      </c>
      <c r="B1058" s="1455" t="str">
        <f t="shared" si="168"/>
        <v>Procurement of various high pressure valves at 2x500 MW.</v>
      </c>
      <c r="C1058" s="1442">
        <f t="shared" si="168"/>
        <v>0</v>
      </c>
      <c r="D1058" s="1443" t="str">
        <f t="shared" si="168"/>
        <v>-</v>
      </c>
      <c r="E1058" s="1444">
        <f t="shared" si="168"/>
        <v>0</v>
      </c>
      <c r="F1058" s="1444">
        <f t="shared" ref="F1058:F1121" si="169">F828+I828</f>
        <v>0</v>
      </c>
      <c r="G1058" s="1444">
        <f t="shared" ref="G1058:G1121" si="170">G828+M828</f>
        <v>0</v>
      </c>
      <c r="H1058" s="1444">
        <f t="shared" ref="H1058:H1141" si="171">F1058-G1058</f>
        <v>0</v>
      </c>
      <c r="I1058" s="1444">
        <v>2.2200000000000002</v>
      </c>
      <c r="J1058" s="1444">
        <v>2.2200000000000002</v>
      </c>
      <c r="K1058" s="1444"/>
      <c r="L1058" s="1444"/>
      <c r="M1058" s="1444">
        <f t="shared" si="164"/>
        <v>2.2200000000000002</v>
      </c>
      <c r="N1058" s="1444">
        <f t="shared" ref="N1058:N1141" si="172">H1058+I1058-M1058</f>
        <v>0</v>
      </c>
    </row>
    <row r="1059" spans="1:14" ht="31" outlineLevel="1">
      <c r="A1059" s="1458">
        <f t="shared" si="168"/>
        <v>3</v>
      </c>
      <c r="B1059" s="1459" t="str">
        <f t="shared" si="168"/>
        <v>Schemes for Turbine side auxiliaries systems Performance &amp; efficiency improvement schemes at 2X500MW, Bhusawal TPS</v>
      </c>
      <c r="C1059" s="1475">
        <f t="shared" si="168"/>
        <v>0</v>
      </c>
      <c r="D1059" s="1473" t="str">
        <f t="shared" si="168"/>
        <v>-</v>
      </c>
      <c r="E1059" s="1476">
        <f t="shared" si="168"/>
        <v>0</v>
      </c>
      <c r="F1059" s="1444">
        <f t="shared" si="169"/>
        <v>0</v>
      </c>
      <c r="G1059" s="1444">
        <f t="shared" si="170"/>
        <v>0</v>
      </c>
      <c r="H1059" s="1476">
        <f t="shared" si="171"/>
        <v>0</v>
      </c>
      <c r="I1059" s="1444">
        <v>0</v>
      </c>
      <c r="J1059" s="1444">
        <v>0</v>
      </c>
      <c r="K1059" s="1476"/>
      <c r="L1059" s="1476"/>
      <c r="M1059" s="1476">
        <f t="shared" si="164"/>
        <v>0</v>
      </c>
      <c r="N1059" s="1476">
        <f t="shared" si="172"/>
        <v>0</v>
      </c>
    </row>
    <row r="1060" spans="1:14" ht="31" outlineLevel="1">
      <c r="A1060" s="1455">
        <f t="shared" si="168"/>
        <v>3.1</v>
      </c>
      <c r="B1060" s="1455" t="str">
        <f t="shared" si="168"/>
        <v>Procurement of BFP Booster Pump (FA-1B-75) complete assembly (04 Nos) at 500MW BTPS, Bhusawal.</v>
      </c>
      <c r="C1060" s="1475">
        <f t="shared" si="168"/>
        <v>0</v>
      </c>
      <c r="D1060" s="1473" t="str">
        <f t="shared" si="168"/>
        <v>-</v>
      </c>
      <c r="E1060" s="1476">
        <f t="shared" si="168"/>
        <v>0</v>
      </c>
      <c r="F1060" s="1444">
        <f t="shared" si="169"/>
        <v>0</v>
      </c>
      <c r="G1060" s="1444">
        <f t="shared" si="170"/>
        <v>0</v>
      </c>
      <c r="H1060" s="1476">
        <f t="shared" si="171"/>
        <v>0</v>
      </c>
      <c r="I1060" s="1444">
        <v>3.16</v>
      </c>
      <c r="J1060" s="1444">
        <v>3.16</v>
      </c>
      <c r="K1060" s="1476"/>
      <c r="L1060" s="1476"/>
      <c r="M1060" s="1476">
        <f t="shared" si="164"/>
        <v>3.16</v>
      </c>
      <c r="N1060" s="1476">
        <f t="shared" si="172"/>
        <v>0</v>
      </c>
    </row>
    <row r="1061" spans="1:14" ht="31" outlineLevel="1">
      <c r="A1061" s="1455">
        <f t="shared" si="168"/>
        <v>3.2</v>
      </c>
      <c r="B1061" s="1455" t="str">
        <f t="shared" si="168"/>
        <v>Procurement of Vacuum Pump complete assembly with recirculation Pump (01 No) and Impeller assembly (2 Nos) at 500MW BTPS, Bhusawal.</v>
      </c>
      <c r="C1061" s="1475">
        <f t="shared" si="168"/>
        <v>0</v>
      </c>
      <c r="D1061" s="1473" t="str">
        <f t="shared" si="168"/>
        <v>-</v>
      </c>
      <c r="E1061" s="1476">
        <f t="shared" si="168"/>
        <v>0</v>
      </c>
      <c r="F1061" s="1444">
        <f t="shared" si="169"/>
        <v>0</v>
      </c>
      <c r="G1061" s="1444">
        <f t="shared" si="170"/>
        <v>0</v>
      </c>
      <c r="H1061" s="1476">
        <f t="shared" si="171"/>
        <v>0</v>
      </c>
      <c r="I1061" s="1444">
        <v>5.2</v>
      </c>
      <c r="J1061" s="1444">
        <v>5.2</v>
      </c>
      <c r="K1061" s="1476"/>
      <c r="L1061" s="1476"/>
      <c r="M1061" s="1476">
        <f t="shared" si="164"/>
        <v>5.2</v>
      </c>
      <c r="N1061" s="1476">
        <f t="shared" si="172"/>
        <v>0</v>
      </c>
    </row>
    <row r="1062" spans="1:14" ht="31" outlineLevel="1">
      <c r="A1062" s="1455">
        <f t="shared" si="168"/>
        <v>3.3</v>
      </c>
      <c r="B1062" s="1455" t="str">
        <f t="shared" si="168"/>
        <v>Revamping, modification of outdoor ducting of Air ventilation system at 2x500MW BTPS, Bhusawal.</v>
      </c>
      <c r="C1062" s="1475">
        <f t="shared" si="168"/>
        <v>0</v>
      </c>
      <c r="D1062" s="1473" t="str">
        <f t="shared" si="168"/>
        <v>-</v>
      </c>
      <c r="E1062" s="1476">
        <f t="shared" si="168"/>
        <v>0</v>
      </c>
      <c r="F1062" s="1444">
        <f t="shared" si="169"/>
        <v>0</v>
      </c>
      <c r="G1062" s="1444">
        <f t="shared" si="170"/>
        <v>0</v>
      </c>
      <c r="H1062" s="1476">
        <f t="shared" si="171"/>
        <v>0</v>
      </c>
      <c r="I1062" s="1444">
        <v>8.7200000000000006</v>
      </c>
      <c r="J1062" s="1444">
        <v>8.7200000000000006</v>
      </c>
      <c r="K1062" s="1476"/>
      <c r="L1062" s="1476"/>
      <c r="M1062" s="1476">
        <f t="shared" si="164"/>
        <v>8.7200000000000006</v>
      </c>
      <c r="N1062" s="1476">
        <f t="shared" si="172"/>
        <v>0</v>
      </c>
    </row>
    <row r="1063" spans="1:14" ht="15.5" outlineLevel="1">
      <c r="A1063" s="1455">
        <f t="shared" si="168"/>
        <v>3.4</v>
      </c>
      <c r="B1063" s="1455" t="str">
        <f t="shared" si="168"/>
        <v>Performance improvement of compressors</v>
      </c>
      <c r="C1063" s="1475">
        <f t="shared" si="168"/>
        <v>0</v>
      </c>
      <c r="D1063" s="1473" t="str">
        <f t="shared" si="168"/>
        <v>-</v>
      </c>
      <c r="E1063" s="1476">
        <f t="shared" si="168"/>
        <v>0</v>
      </c>
      <c r="F1063" s="1444">
        <f t="shared" si="169"/>
        <v>0</v>
      </c>
      <c r="G1063" s="1444">
        <f t="shared" si="170"/>
        <v>0</v>
      </c>
      <c r="H1063" s="1476">
        <f t="shared" si="171"/>
        <v>0</v>
      </c>
      <c r="I1063" s="1444">
        <v>12.99</v>
      </c>
      <c r="J1063" s="1444">
        <v>12.99</v>
      </c>
      <c r="K1063" s="1476"/>
      <c r="L1063" s="1476"/>
      <c r="M1063" s="1476">
        <f t="shared" si="164"/>
        <v>12.99</v>
      </c>
      <c r="N1063" s="1476">
        <f t="shared" si="172"/>
        <v>0</v>
      </c>
    </row>
    <row r="1064" spans="1:14" ht="15.5" outlineLevel="1">
      <c r="A1064" s="1455">
        <f t="shared" si="168"/>
        <v>3.5</v>
      </c>
      <c r="B1064" s="1455" t="str">
        <f t="shared" si="168"/>
        <v>Centralized Water Management System at BTPS, Deepnagar, Bhusawal</v>
      </c>
      <c r="C1064" s="1475">
        <f t="shared" si="168"/>
        <v>0</v>
      </c>
      <c r="D1064" s="1473" t="str">
        <f t="shared" si="168"/>
        <v>-</v>
      </c>
      <c r="E1064" s="1476">
        <f t="shared" si="168"/>
        <v>0</v>
      </c>
      <c r="F1064" s="1444">
        <f t="shared" si="169"/>
        <v>0</v>
      </c>
      <c r="G1064" s="1444">
        <f t="shared" si="170"/>
        <v>0</v>
      </c>
      <c r="H1064" s="1476">
        <f t="shared" si="171"/>
        <v>0</v>
      </c>
      <c r="I1064" s="1444">
        <v>2.29</v>
      </c>
      <c r="J1064" s="1444">
        <v>2.29</v>
      </c>
      <c r="K1064" s="1476"/>
      <c r="L1064" s="1476"/>
      <c r="M1064" s="1476">
        <f t="shared" si="164"/>
        <v>2.29</v>
      </c>
      <c r="N1064" s="1476">
        <f t="shared" si="172"/>
        <v>0</v>
      </c>
    </row>
    <row r="1065" spans="1:14" ht="31" outlineLevel="1">
      <c r="A1065" s="1455">
        <f t="shared" si="168"/>
        <v>3.6</v>
      </c>
      <c r="B1065" s="1455" t="str">
        <f t="shared" si="168"/>
        <v>Revamping and upgradation of Forbes Marshal make Steam &amp; Water Analysis System Installed at 2x500MW BTPS.</v>
      </c>
      <c r="C1065" s="1475">
        <f t="shared" si="168"/>
        <v>0</v>
      </c>
      <c r="D1065" s="1473" t="str">
        <f t="shared" si="168"/>
        <v>-</v>
      </c>
      <c r="E1065" s="1476">
        <f t="shared" si="168"/>
        <v>0</v>
      </c>
      <c r="F1065" s="1444">
        <f t="shared" si="169"/>
        <v>0</v>
      </c>
      <c r="G1065" s="1444">
        <f t="shared" si="170"/>
        <v>0</v>
      </c>
      <c r="H1065" s="1476">
        <f t="shared" si="171"/>
        <v>0</v>
      </c>
      <c r="I1065" s="1444">
        <v>10.11</v>
      </c>
      <c r="J1065" s="1444">
        <v>10.11</v>
      </c>
      <c r="K1065" s="1476"/>
      <c r="L1065" s="1476"/>
      <c r="M1065" s="1476">
        <f t="shared" si="164"/>
        <v>10.11</v>
      </c>
      <c r="N1065" s="1476">
        <f t="shared" si="172"/>
        <v>0</v>
      </c>
    </row>
    <row r="1066" spans="1:14" ht="31" outlineLevel="1">
      <c r="A1066" s="1458">
        <f t="shared" si="168"/>
        <v>4</v>
      </c>
      <c r="B1066" s="1459" t="str">
        <f t="shared" si="168"/>
        <v>Implementation of flexible operation solutions for technical minimum operation of 2x500MW, BTPS.</v>
      </c>
      <c r="C1066" s="1475">
        <f t="shared" si="168"/>
        <v>0</v>
      </c>
      <c r="D1066" s="1473" t="str">
        <f t="shared" si="168"/>
        <v>-</v>
      </c>
      <c r="E1066" s="1476">
        <f t="shared" si="168"/>
        <v>0</v>
      </c>
      <c r="F1066" s="1444">
        <f t="shared" si="169"/>
        <v>0</v>
      </c>
      <c r="G1066" s="1444">
        <f t="shared" si="170"/>
        <v>0</v>
      </c>
      <c r="H1066" s="1476">
        <f t="shared" si="171"/>
        <v>0</v>
      </c>
      <c r="I1066" s="1444">
        <v>0</v>
      </c>
      <c r="J1066" s="1444">
        <v>0</v>
      </c>
      <c r="K1066" s="1476"/>
      <c r="L1066" s="1476"/>
      <c r="M1066" s="1476">
        <f t="shared" si="164"/>
        <v>0</v>
      </c>
      <c r="N1066" s="1476">
        <f t="shared" si="172"/>
        <v>0</v>
      </c>
    </row>
    <row r="1067" spans="1:14" ht="31" outlineLevel="1">
      <c r="A1067" s="1455">
        <f t="shared" si="168"/>
        <v>4.0999999999999996</v>
      </c>
      <c r="B1067" s="1455" t="str">
        <f t="shared" si="168"/>
        <v>Implementation of flexible operation solutions for technical minimum operation of 2x500MW, BTPS.</v>
      </c>
      <c r="C1067" s="1475">
        <f t="shared" si="168"/>
        <v>0</v>
      </c>
      <c r="D1067" s="1473" t="str">
        <f t="shared" si="168"/>
        <v>-</v>
      </c>
      <c r="E1067" s="1476">
        <f t="shared" si="168"/>
        <v>0</v>
      </c>
      <c r="F1067" s="1444">
        <f t="shared" si="169"/>
        <v>0</v>
      </c>
      <c r="G1067" s="1444">
        <f t="shared" si="170"/>
        <v>0</v>
      </c>
      <c r="H1067" s="1476">
        <f t="shared" si="171"/>
        <v>0</v>
      </c>
      <c r="I1067" s="1444">
        <v>50</v>
      </c>
      <c r="J1067" s="1444">
        <v>50</v>
      </c>
      <c r="K1067" s="1476"/>
      <c r="L1067" s="1476"/>
      <c r="M1067" s="1476">
        <f t="shared" si="164"/>
        <v>50</v>
      </c>
      <c r="N1067" s="1476">
        <f t="shared" si="172"/>
        <v>0</v>
      </c>
    </row>
    <row r="1068" spans="1:14" ht="15.5" outlineLevel="1">
      <c r="A1068" s="1457">
        <f t="shared" si="168"/>
        <v>0</v>
      </c>
      <c r="B1068" s="1457" t="str">
        <f t="shared" si="168"/>
        <v xml:space="preserve">FY 2027-28 </v>
      </c>
      <c r="C1068" s="1442">
        <f t="shared" si="168"/>
        <v>0</v>
      </c>
      <c r="D1068" s="1443" t="str">
        <f t="shared" si="168"/>
        <v>-</v>
      </c>
      <c r="E1068" s="1444">
        <f t="shared" si="168"/>
        <v>0</v>
      </c>
      <c r="F1068" s="1444">
        <f t="shared" si="169"/>
        <v>0</v>
      </c>
      <c r="G1068" s="1444">
        <f t="shared" si="170"/>
        <v>0</v>
      </c>
      <c r="H1068" s="1444">
        <f t="shared" si="171"/>
        <v>0</v>
      </c>
      <c r="I1068" s="1444">
        <v>0</v>
      </c>
      <c r="J1068" s="1444">
        <v>0</v>
      </c>
      <c r="K1068" s="1444"/>
      <c r="L1068" s="1444"/>
      <c r="M1068" s="1444">
        <f t="shared" si="164"/>
        <v>0</v>
      </c>
      <c r="N1068" s="1444">
        <f t="shared" si="172"/>
        <v>0</v>
      </c>
    </row>
    <row r="1069" spans="1:14" ht="31" outlineLevel="1">
      <c r="A1069" s="1458">
        <f t="shared" si="168"/>
        <v>1</v>
      </c>
      <c r="B1069" s="1459" t="str">
        <f t="shared" si="168"/>
        <v>Supply,Installation and commissioning of Boiler performance and reliability improvement schemes at BTPS 2x500MW.</v>
      </c>
      <c r="C1069" s="1475">
        <f t="shared" si="168"/>
        <v>0</v>
      </c>
      <c r="D1069" s="1473" t="str">
        <f t="shared" si="168"/>
        <v>-</v>
      </c>
      <c r="E1069" s="1476">
        <f t="shared" si="168"/>
        <v>0</v>
      </c>
      <c r="F1069" s="1444">
        <f t="shared" si="169"/>
        <v>0</v>
      </c>
      <c r="G1069" s="1444">
        <f t="shared" si="170"/>
        <v>0</v>
      </c>
      <c r="H1069" s="1476">
        <f t="shared" si="171"/>
        <v>0</v>
      </c>
      <c r="I1069" s="1444">
        <v>0</v>
      </c>
      <c r="J1069" s="1444">
        <v>0</v>
      </c>
      <c r="K1069" s="1476"/>
      <c r="L1069" s="1476"/>
      <c r="M1069" s="1476">
        <f t="shared" ref="M1069:M1132" si="173">SUM(J1069:L1069)</f>
        <v>0</v>
      </c>
      <c r="N1069" s="1476">
        <f t="shared" si="172"/>
        <v>0</v>
      </c>
    </row>
    <row r="1070" spans="1:14" ht="31" outlineLevel="1">
      <c r="A1070" s="1455">
        <f t="shared" si="168"/>
        <v>1.1000000000000001</v>
      </c>
      <c r="B1070" s="1455" t="str">
        <f t="shared" si="168"/>
        <v>Procurement of  M/s Torishima, Japan make, 350 KW, 6.6KV, Boiler Circulating Water (BCW) Pump Motors at BTPS 2x500MW.</v>
      </c>
      <c r="C1070" s="1475">
        <f t="shared" si="168"/>
        <v>0</v>
      </c>
      <c r="D1070" s="1473" t="str">
        <f t="shared" si="168"/>
        <v>-</v>
      </c>
      <c r="E1070" s="1476">
        <f t="shared" si="168"/>
        <v>0</v>
      </c>
      <c r="F1070" s="1444">
        <f t="shared" si="169"/>
        <v>0</v>
      </c>
      <c r="G1070" s="1444">
        <f t="shared" si="170"/>
        <v>0</v>
      </c>
      <c r="H1070" s="1476">
        <f t="shared" si="171"/>
        <v>0</v>
      </c>
      <c r="I1070" s="1444">
        <v>0</v>
      </c>
      <c r="J1070" s="1444">
        <v>0</v>
      </c>
      <c r="K1070" s="1476"/>
      <c r="L1070" s="1476"/>
      <c r="M1070" s="1476">
        <f t="shared" si="173"/>
        <v>0</v>
      </c>
      <c r="N1070" s="1476">
        <f t="shared" si="172"/>
        <v>0</v>
      </c>
    </row>
    <row r="1071" spans="1:14" ht="31" outlineLevel="1">
      <c r="A1071" s="1455">
        <f t="shared" si="168"/>
        <v>1.2</v>
      </c>
      <c r="B1071" s="1455" t="str">
        <f t="shared" si="168"/>
        <v>Installation commissioning of Online DC Earth fault monitoring system at 220V DCDB at 500MW U-4&amp;5.</v>
      </c>
      <c r="C1071" s="1475">
        <f t="shared" si="168"/>
        <v>0</v>
      </c>
      <c r="D1071" s="1473" t="str">
        <f t="shared" si="168"/>
        <v>-</v>
      </c>
      <c r="E1071" s="1476">
        <f t="shared" si="168"/>
        <v>0</v>
      </c>
      <c r="F1071" s="1444">
        <f t="shared" si="169"/>
        <v>0</v>
      </c>
      <c r="G1071" s="1444">
        <f t="shared" si="170"/>
        <v>0</v>
      </c>
      <c r="H1071" s="1476">
        <f t="shared" si="171"/>
        <v>0</v>
      </c>
      <c r="I1071" s="1444">
        <v>0</v>
      </c>
      <c r="J1071" s="1444">
        <v>0</v>
      </c>
      <c r="K1071" s="1476"/>
      <c r="L1071" s="1476"/>
      <c r="M1071" s="1476">
        <f t="shared" si="173"/>
        <v>0</v>
      </c>
      <c r="N1071" s="1476">
        <f t="shared" si="172"/>
        <v>0</v>
      </c>
    </row>
    <row r="1072" spans="1:14" ht="31" outlineLevel="1">
      <c r="A1072" s="1455">
        <f t="shared" si="168"/>
        <v>1.3</v>
      </c>
      <c r="B1072" s="1455" t="str">
        <f t="shared" si="168"/>
        <v>Design,  supply, erection, comms. Of ID VFD &amp; AHP transformers for 2x500MW BTPS.</v>
      </c>
      <c r="C1072" s="1475">
        <f t="shared" si="168"/>
        <v>0</v>
      </c>
      <c r="D1072" s="1473" t="str">
        <f t="shared" si="168"/>
        <v>-</v>
      </c>
      <c r="E1072" s="1476">
        <f t="shared" si="168"/>
        <v>0</v>
      </c>
      <c r="F1072" s="1444">
        <f t="shared" si="169"/>
        <v>0</v>
      </c>
      <c r="G1072" s="1444">
        <f t="shared" si="170"/>
        <v>0</v>
      </c>
      <c r="H1072" s="1476">
        <f t="shared" si="171"/>
        <v>0</v>
      </c>
      <c r="I1072" s="1444">
        <v>0</v>
      </c>
      <c r="J1072" s="1444">
        <v>0</v>
      </c>
      <c r="K1072" s="1476"/>
      <c r="L1072" s="1476"/>
      <c r="M1072" s="1476">
        <f t="shared" si="173"/>
        <v>0</v>
      </c>
      <c r="N1072" s="1476">
        <f t="shared" si="172"/>
        <v>0</v>
      </c>
    </row>
    <row r="1073" spans="1:14" ht="31" outlineLevel="1">
      <c r="A1073" s="1455">
        <f t="shared" si="168"/>
        <v>1.4</v>
      </c>
      <c r="B1073" s="1455" t="str">
        <f t="shared" si="168"/>
        <v>Design,supply,installation and commissioning of Energy efficient  System for illumination at BTPS 2x500MW.</v>
      </c>
      <c r="C1073" s="1475">
        <f t="shared" si="168"/>
        <v>0</v>
      </c>
      <c r="D1073" s="1473" t="str">
        <f t="shared" si="168"/>
        <v>-</v>
      </c>
      <c r="E1073" s="1476">
        <f t="shared" si="168"/>
        <v>0</v>
      </c>
      <c r="F1073" s="1444">
        <f t="shared" si="169"/>
        <v>0</v>
      </c>
      <c r="G1073" s="1444">
        <f t="shared" si="170"/>
        <v>0</v>
      </c>
      <c r="H1073" s="1476">
        <f t="shared" si="171"/>
        <v>0</v>
      </c>
      <c r="I1073" s="1444">
        <v>0</v>
      </c>
      <c r="J1073" s="1444">
        <v>0</v>
      </c>
      <c r="K1073" s="1476"/>
      <c r="L1073" s="1476"/>
      <c r="M1073" s="1476">
        <f t="shared" si="173"/>
        <v>0</v>
      </c>
      <c r="N1073" s="1476">
        <f t="shared" si="172"/>
        <v>0</v>
      </c>
    </row>
    <row r="1074" spans="1:14" ht="31" outlineLevel="1">
      <c r="A1074" s="1455">
        <f t="shared" ref="A1074:E1089" si="174">A844</f>
        <v>1.5</v>
      </c>
      <c r="B1074" s="1455" t="str">
        <f t="shared" si="174"/>
        <v>Procurement of  Main Gear unit assembly of electrical Actuators in 2x500MW BTPS</v>
      </c>
      <c r="C1074" s="1442">
        <f t="shared" si="174"/>
        <v>0</v>
      </c>
      <c r="D1074" s="1443" t="str">
        <f t="shared" si="174"/>
        <v>-</v>
      </c>
      <c r="E1074" s="1444">
        <f t="shared" si="174"/>
        <v>0</v>
      </c>
      <c r="F1074" s="1444">
        <f t="shared" si="169"/>
        <v>0</v>
      </c>
      <c r="G1074" s="1444">
        <f t="shared" si="170"/>
        <v>0</v>
      </c>
      <c r="H1074" s="1444">
        <f t="shared" si="171"/>
        <v>0</v>
      </c>
      <c r="I1074" s="1444">
        <v>0</v>
      </c>
      <c r="J1074" s="1444">
        <v>0</v>
      </c>
      <c r="K1074" s="1444"/>
      <c r="L1074" s="1444"/>
      <c r="M1074" s="1444">
        <f t="shared" si="173"/>
        <v>0</v>
      </c>
      <c r="N1074" s="1444">
        <f t="shared" si="172"/>
        <v>0</v>
      </c>
    </row>
    <row r="1075" spans="1:14" ht="31" outlineLevel="1">
      <c r="A1075" s="1455">
        <f t="shared" si="174"/>
        <v>1.6</v>
      </c>
      <c r="B1075" s="1455" t="str">
        <f t="shared" si="174"/>
        <v>Supply, erection, commissioning &amp; site testing of 360V, 750 AH Station UPS Battery Sets  along with accessories for Unit No.5 at BTPS 2x500MW.</v>
      </c>
      <c r="C1075" s="1475">
        <f t="shared" si="174"/>
        <v>0</v>
      </c>
      <c r="D1075" s="1473" t="str">
        <f t="shared" si="174"/>
        <v>-</v>
      </c>
      <c r="E1075" s="1476">
        <f t="shared" si="174"/>
        <v>0</v>
      </c>
      <c r="F1075" s="1444">
        <f t="shared" si="169"/>
        <v>0</v>
      </c>
      <c r="G1075" s="1444">
        <f t="shared" si="170"/>
        <v>0</v>
      </c>
      <c r="H1075" s="1476">
        <f t="shared" si="171"/>
        <v>0</v>
      </c>
      <c r="I1075" s="1444">
        <v>0</v>
      </c>
      <c r="J1075" s="1444">
        <v>0</v>
      </c>
      <c r="K1075" s="1476"/>
      <c r="L1075" s="1476"/>
      <c r="M1075" s="1476">
        <f t="shared" si="173"/>
        <v>0</v>
      </c>
      <c r="N1075" s="1476">
        <f t="shared" si="172"/>
        <v>0</v>
      </c>
    </row>
    <row r="1076" spans="1:14" ht="15.5" outlineLevel="1">
      <c r="A1076" s="1455">
        <f t="shared" si="174"/>
        <v>1.7</v>
      </c>
      <c r="B1076" s="1455" t="str">
        <f t="shared" si="174"/>
        <v xml:space="preserve">Upgradation of EWLI system  at Bhusawal TPS 2x500W </v>
      </c>
      <c r="C1076" s="1442">
        <f t="shared" si="174"/>
        <v>0</v>
      </c>
      <c r="D1076" s="1443" t="str">
        <f t="shared" si="174"/>
        <v>-</v>
      </c>
      <c r="E1076" s="1444">
        <f t="shared" si="174"/>
        <v>0</v>
      </c>
      <c r="F1076" s="1444">
        <f t="shared" si="169"/>
        <v>0</v>
      </c>
      <c r="G1076" s="1444">
        <f t="shared" si="170"/>
        <v>0</v>
      </c>
      <c r="H1076" s="1444">
        <f t="shared" si="171"/>
        <v>0</v>
      </c>
      <c r="I1076" s="1444">
        <v>0</v>
      </c>
      <c r="J1076" s="1444">
        <v>0</v>
      </c>
      <c r="K1076" s="1444"/>
      <c r="L1076" s="1444"/>
      <c r="M1076" s="1444">
        <f t="shared" si="173"/>
        <v>0</v>
      </c>
      <c r="N1076" s="1444">
        <f t="shared" si="172"/>
        <v>0</v>
      </c>
    </row>
    <row r="1077" spans="1:14" ht="46.5" outlineLevel="1">
      <c r="A1077" s="1458">
        <f t="shared" si="174"/>
        <v>2</v>
      </c>
      <c r="B1077" s="1459" t="str">
        <f t="shared" si="174"/>
        <v>Performance improvement of Bottom ash evacualtion system to reduce auxillary power consumption, water consumption &amp; environmental pollution at 2X500MW, Bhusawal TPS</v>
      </c>
      <c r="C1077" s="1475">
        <f t="shared" si="174"/>
        <v>0</v>
      </c>
      <c r="D1077" s="1473" t="str">
        <f t="shared" si="174"/>
        <v>-</v>
      </c>
      <c r="E1077" s="1476">
        <f t="shared" si="174"/>
        <v>0</v>
      </c>
      <c r="F1077" s="1444">
        <f t="shared" si="169"/>
        <v>0</v>
      </c>
      <c r="G1077" s="1444">
        <f t="shared" si="170"/>
        <v>0</v>
      </c>
      <c r="H1077" s="1476">
        <f t="shared" si="171"/>
        <v>0</v>
      </c>
      <c r="I1077" s="1444">
        <v>0</v>
      </c>
      <c r="J1077" s="1444">
        <v>0</v>
      </c>
      <c r="K1077" s="1476"/>
      <c r="L1077" s="1476"/>
      <c r="M1077" s="1476">
        <f t="shared" si="173"/>
        <v>0</v>
      </c>
      <c r="N1077" s="1476">
        <f t="shared" si="172"/>
        <v>0</v>
      </c>
    </row>
    <row r="1078" spans="1:14" ht="31" outlineLevel="1">
      <c r="A1078" s="1455">
        <f t="shared" si="174"/>
        <v>2.1</v>
      </c>
      <c r="B1078" s="1455" t="str">
        <f t="shared" si="174"/>
        <v>Modification of latest design AR 200/550 Ash slurry pump assembly including auxillaries at AHP, 2x500MW, BTPS.</v>
      </c>
      <c r="C1078" s="1442">
        <f t="shared" si="174"/>
        <v>0</v>
      </c>
      <c r="D1078" s="1443" t="str">
        <f t="shared" si="174"/>
        <v>-</v>
      </c>
      <c r="E1078" s="1444">
        <f t="shared" si="174"/>
        <v>0</v>
      </c>
      <c r="F1078" s="1444">
        <f t="shared" si="169"/>
        <v>0</v>
      </c>
      <c r="G1078" s="1444">
        <f t="shared" si="170"/>
        <v>0</v>
      </c>
      <c r="H1078" s="1444">
        <f t="shared" si="171"/>
        <v>0</v>
      </c>
      <c r="I1078" s="1444">
        <v>0</v>
      </c>
      <c r="J1078" s="1444">
        <v>0</v>
      </c>
      <c r="K1078" s="1444"/>
      <c r="L1078" s="1444"/>
      <c r="M1078" s="1444">
        <f t="shared" si="173"/>
        <v>0</v>
      </c>
      <c r="N1078" s="1444">
        <f t="shared" si="172"/>
        <v>0</v>
      </c>
    </row>
    <row r="1079" spans="1:14" ht="31" outlineLevel="1">
      <c r="A1079" s="1455">
        <f t="shared" si="174"/>
        <v>2.2000000000000002</v>
      </c>
      <c r="B1079" s="1455" t="str">
        <f t="shared" si="174"/>
        <v>Modification of single roll reversible clinker grinder system at AHP, 2x500MW, BTPS</v>
      </c>
      <c r="C1079" s="1475">
        <f t="shared" si="174"/>
        <v>0</v>
      </c>
      <c r="D1079" s="1473" t="str">
        <f t="shared" si="174"/>
        <v>-</v>
      </c>
      <c r="E1079" s="1476">
        <f t="shared" si="174"/>
        <v>0</v>
      </c>
      <c r="F1079" s="1444">
        <f t="shared" si="169"/>
        <v>0</v>
      </c>
      <c r="G1079" s="1444">
        <f t="shared" si="170"/>
        <v>0</v>
      </c>
      <c r="H1079" s="1476">
        <f t="shared" si="171"/>
        <v>0</v>
      </c>
      <c r="I1079" s="1444">
        <v>0</v>
      </c>
      <c r="J1079" s="1444">
        <v>0</v>
      </c>
      <c r="K1079" s="1476"/>
      <c r="L1079" s="1476"/>
      <c r="M1079" s="1476">
        <f t="shared" si="173"/>
        <v>0</v>
      </c>
      <c r="N1079" s="1476">
        <f t="shared" si="172"/>
        <v>0</v>
      </c>
    </row>
    <row r="1080" spans="1:14" ht="31" outlineLevel="1">
      <c r="A1080" s="1455">
        <f t="shared" si="174"/>
        <v>2.2999999999999998</v>
      </c>
      <c r="B1080" s="1455" t="str">
        <f t="shared" si="174"/>
        <v>Modification of bottom ash &amp; coarse ash slurry pipe line disposal system at AHP 2X500 MW BTPS</v>
      </c>
      <c r="C1080" s="1475">
        <f t="shared" si="174"/>
        <v>0</v>
      </c>
      <c r="D1080" s="1473" t="str">
        <f t="shared" si="174"/>
        <v>-</v>
      </c>
      <c r="E1080" s="1476">
        <f t="shared" si="174"/>
        <v>0</v>
      </c>
      <c r="F1080" s="1444">
        <f t="shared" si="169"/>
        <v>0</v>
      </c>
      <c r="G1080" s="1444">
        <f t="shared" si="170"/>
        <v>0</v>
      </c>
      <c r="H1080" s="1476">
        <f t="shared" si="171"/>
        <v>0</v>
      </c>
      <c r="I1080" s="1444">
        <v>0</v>
      </c>
      <c r="J1080" s="1444">
        <v>0</v>
      </c>
      <c r="K1080" s="1476"/>
      <c r="L1080" s="1476"/>
      <c r="M1080" s="1476">
        <f t="shared" si="173"/>
        <v>0</v>
      </c>
      <c r="N1080" s="1476">
        <f t="shared" si="172"/>
        <v>0</v>
      </c>
    </row>
    <row r="1081" spans="1:14" ht="15.5" outlineLevel="1">
      <c r="A1081" s="1458">
        <f t="shared" si="174"/>
        <v>3</v>
      </c>
      <c r="B1081" s="1459" t="str">
        <f t="shared" si="174"/>
        <v>Boiler Reliability &amp; Availability improvement at 2x500MW, Bhusawal TPS.</v>
      </c>
      <c r="C1081" s="1442">
        <f t="shared" si="174"/>
        <v>0</v>
      </c>
      <c r="D1081" s="1443" t="str">
        <f t="shared" si="174"/>
        <v>-</v>
      </c>
      <c r="E1081" s="1444">
        <f t="shared" si="174"/>
        <v>0</v>
      </c>
      <c r="F1081" s="1444">
        <f t="shared" si="169"/>
        <v>0</v>
      </c>
      <c r="G1081" s="1444">
        <f t="shared" si="170"/>
        <v>0</v>
      </c>
      <c r="H1081" s="1444">
        <f t="shared" si="171"/>
        <v>0</v>
      </c>
      <c r="I1081" s="1444">
        <v>0</v>
      </c>
      <c r="J1081" s="1444">
        <v>0</v>
      </c>
      <c r="K1081" s="1444"/>
      <c r="L1081" s="1444"/>
      <c r="M1081" s="1444">
        <f t="shared" si="173"/>
        <v>0</v>
      </c>
      <c r="N1081" s="1444">
        <f t="shared" si="172"/>
        <v>0</v>
      </c>
    </row>
    <row r="1082" spans="1:14" ht="15.5" outlineLevel="1">
      <c r="A1082" s="1455">
        <f t="shared" si="174"/>
        <v>3.1</v>
      </c>
      <c r="B1082" s="1455" t="str">
        <f t="shared" si="174"/>
        <v>Procurement of Boiler Coils (CRH &amp;HRH) at 2x500MW BTPS.</v>
      </c>
      <c r="C1082" s="1475">
        <f t="shared" si="174"/>
        <v>0</v>
      </c>
      <c r="D1082" s="1473" t="str">
        <f t="shared" si="174"/>
        <v>-</v>
      </c>
      <c r="E1082" s="1476">
        <f t="shared" si="174"/>
        <v>0</v>
      </c>
      <c r="F1082" s="1444">
        <f t="shared" si="169"/>
        <v>0</v>
      </c>
      <c r="G1082" s="1444">
        <f t="shared" si="170"/>
        <v>0</v>
      </c>
      <c r="H1082" s="1476">
        <f t="shared" si="171"/>
        <v>0</v>
      </c>
      <c r="I1082" s="1444">
        <v>0</v>
      </c>
      <c r="J1082" s="1444">
        <v>0</v>
      </c>
      <c r="K1082" s="1476"/>
      <c r="L1082" s="1476"/>
      <c r="M1082" s="1476">
        <f t="shared" si="173"/>
        <v>0</v>
      </c>
      <c r="N1082" s="1476">
        <f t="shared" si="172"/>
        <v>0</v>
      </c>
    </row>
    <row r="1083" spans="1:14" ht="15.5" outlineLevel="1">
      <c r="A1083" s="1455">
        <f t="shared" si="174"/>
        <v>3.2</v>
      </c>
      <c r="B1083" s="1455" t="str">
        <f t="shared" si="174"/>
        <v>Procurement of ID fan impeller with shaft at 2x500 MW BTPS.</v>
      </c>
      <c r="C1083" s="1475">
        <f t="shared" si="174"/>
        <v>0</v>
      </c>
      <c r="D1083" s="1473" t="str">
        <f t="shared" si="174"/>
        <v>-</v>
      </c>
      <c r="E1083" s="1476">
        <f t="shared" si="174"/>
        <v>0</v>
      </c>
      <c r="F1083" s="1444">
        <f t="shared" si="169"/>
        <v>0</v>
      </c>
      <c r="G1083" s="1444">
        <f t="shared" si="170"/>
        <v>0</v>
      </c>
      <c r="H1083" s="1476">
        <f t="shared" si="171"/>
        <v>0</v>
      </c>
      <c r="I1083" s="1444">
        <v>0</v>
      </c>
      <c r="J1083" s="1444">
        <v>0</v>
      </c>
      <c r="K1083" s="1476"/>
      <c r="L1083" s="1476"/>
      <c r="M1083" s="1476">
        <f t="shared" si="173"/>
        <v>0</v>
      </c>
      <c r="N1083" s="1476">
        <f t="shared" si="172"/>
        <v>0</v>
      </c>
    </row>
    <row r="1084" spans="1:14" ht="31" outlineLevel="1">
      <c r="A1084" s="1455">
        <f t="shared" si="174"/>
        <v>3.3</v>
      </c>
      <c r="B1084" s="1455" t="str">
        <f t="shared" si="174"/>
        <v>Procurement SH,RH,MS outlet valves with actuator and motor at 2x500 MW BTPS.</v>
      </c>
      <c r="C1084" s="1442">
        <f t="shared" si="174"/>
        <v>0</v>
      </c>
      <c r="D1084" s="1443" t="str">
        <f t="shared" si="174"/>
        <v>-</v>
      </c>
      <c r="E1084" s="1444">
        <f t="shared" si="174"/>
        <v>0</v>
      </c>
      <c r="F1084" s="1444">
        <f t="shared" si="169"/>
        <v>0</v>
      </c>
      <c r="G1084" s="1444">
        <f t="shared" si="170"/>
        <v>0</v>
      </c>
      <c r="H1084" s="1444">
        <f t="shared" si="171"/>
        <v>0</v>
      </c>
      <c r="I1084" s="1444">
        <v>0</v>
      </c>
      <c r="J1084" s="1444">
        <v>0</v>
      </c>
      <c r="K1084" s="1444"/>
      <c r="L1084" s="1444"/>
      <c r="M1084" s="1444">
        <f t="shared" si="173"/>
        <v>0</v>
      </c>
      <c r="N1084" s="1444">
        <f t="shared" si="172"/>
        <v>0</v>
      </c>
    </row>
    <row r="1085" spans="1:14" ht="15.5" outlineLevel="1">
      <c r="A1085" s="1458">
        <f t="shared" si="174"/>
        <v>4</v>
      </c>
      <c r="B1085" s="1459" t="str">
        <f t="shared" si="174"/>
        <v>CHP Infrastructure Development Schemes</v>
      </c>
      <c r="C1085" s="1475">
        <f t="shared" si="174"/>
        <v>0</v>
      </c>
      <c r="D1085" s="1473" t="str">
        <f t="shared" si="174"/>
        <v>-</v>
      </c>
      <c r="E1085" s="1476">
        <f t="shared" si="174"/>
        <v>0</v>
      </c>
      <c r="F1085" s="1444">
        <f t="shared" si="169"/>
        <v>0</v>
      </c>
      <c r="G1085" s="1444">
        <f t="shared" si="170"/>
        <v>0</v>
      </c>
      <c r="H1085" s="1476">
        <f t="shared" si="171"/>
        <v>0</v>
      </c>
      <c r="I1085" s="1444">
        <v>0</v>
      </c>
      <c r="J1085" s="1444">
        <v>0</v>
      </c>
      <c r="K1085" s="1476"/>
      <c r="L1085" s="1476"/>
      <c r="M1085" s="1476">
        <f t="shared" si="173"/>
        <v>0</v>
      </c>
      <c r="N1085" s="1476">
        <f t="shared" si="172"/>
        <v>0</v>
      </c>
    </row>
    <row r="1086" spans="1:14" ht="31" outlineLevel="1">
      <c r="A1086" s="1455">
        <f t="shared" si="174"/>
        <v>4.0999999999999996</v>
      </c>
      <c r="B1086" s="1455" t="str">
        <f t="shared" si="174"/>
        <v>Supply, installation and commissioning PLC system on a single platform to match with external aspect &amp; process improvement at CHP 2x500MW BTPS.</v>
      </c>
      <c r="C1086" s="1475">
        <f t="shared" si="174"/>
        <v>0</v>
      </c>
      <c r="D1086" s="1473" t="str">
        <f t="shared" si="174"/>
        <v>-</v>
      </c>
      <c r="E1086" s="1476">
        <f t="shared" si="174"/>
        <v>0</v>
      </c>
      <c r="F1086" s="1444">
        <f t="shared" si="169"/>
        <v>0</v>
      </c>
      <c r="G1086" s="1444">
        <f t="shared" si="170"/>
        <v>0</v>
      </c>
      <c r="H1086" s="1476">
        <f t="shared" si="171"/>
        <v>0</v>
      </c>
      <c r="I1086" s="1444">
        <v>0</v>
      </c>
      <c r="J1086" s="1444">
        <v>0</v>
      </c>
      <c r="K1086" s="1476"/>
      <c r="L1086" s="1476"/>
      <c r="M1086" s="1476">
        <f t="shared" si="173"/>
        <v>0</v>
      </c>
      <c r="N1086" s="1476">
        <f t="shared" si="172"/>
        <v>0</v>
      </c>
    </row>
    <row r="1087" spans="1:14" ht="31" outlineLevel="1">
      <c r="A1087" s="1455">
        <f t="shared" si="174"/>
        <v>4.2</v>
      </c>
      <c r="B1087" s="1455" t="str">
        <f t="shared" si="174"/>
        <v>Supply, installation, retrofitting and commissioning of HT breaker at HT Switchgear in CHP 2x500MW BTPS</v>
      </c>
      <c r="C1087" s="1475">
        <f t="shared" si="174"/>
        <v>0</v>
      </c>
      <c r="D1087" s="1473" t="str">
        <f t="shared" si="174"/>
        <v>-</v>
      </c>
      <c r="E1087" s="1476">
        <f t="shared" si="174"/>
        <v>0</v>
      </c>
      <c r="F1087" s="1444">
        <f t="shared" si="169"/>
        <v>0</v>
      </c>
      <c r="G1087" s="1444">
        <f t="shared" si="170"/>
        <v>0</v>
      </c>
      <c r="H1087" s="1476">
        <f t="shared" si="171"/>
        <v>0</v>
      </c>
      <c r="I1087" s="1444">
        <v>0</v>
      </c>
      <c r="J1087" s="1444">
        <v>0</v>
      </c>
      <c r="K1087" s="1476"/>
      <c r="L1087" s="1476"/>
      <c r="M1087" s="1476">
        <f t="shared" si="173"/>
        <v>0</v>
      </c>
      <c r="N1087" s="1476">
        <f t="shared" si="172"/>
        <v>0</v>
      </c>
    </row>
    <row r="1088" spans="1:14" ht="31" outlineLevel="1">
      <c r="A1088" s="1455">
        <f t="shared" si="174"/>
        <v>4.3</v>
      </c>
      <c r="B1088" s="1455" t="str">
        <f t="shared" si="174"/>
        <v>Supply, installation, retrofitting and commissioning of LT breaker at LT Switchgear in CHP 2x500MW BTPS.</v>
      </c>
      <c r="C1088" s="1475">
        <f t="shared" si="174"/>
        <v>0</v>
      </c>
      <c r="D1088" s="1473" t="str">
        <f t="shared" si="174"/>
        <v>-</v>
      </c>
      <c r="E1088" s="1476">
        <f t="shared" si="174"/>
        <v>0</v>
      </c>
      <c r="F1088" s="1444">
        <f t="shared" si="169"/>
        <v>0</v>
      </c>
      <c r="G1088" s="1444">
        <f t="shared" si="170"/>
        <v>0</v>
      </c>
      <c r="H1088" s="1476">
        <f t="shared" si="171"/>
        <v>0</v>
      </c>
      <c r="I1088" s="1444">
        <v>0</v>
      </c>
      <c r="J1088" s="1444">
        <v>0</v>
      </c>
      <c r="K1088" s="1476"/>
      <c r="L1088" s="1476"/>
      <c r="M1088" s="1476">
        <f t="shared" si="173"/>
        <v>0</v>
      </c>
      <c r="N1088" s="1476">
        <f t="shared" si="172"/>
        <v>0</v>
      </c>
    </row>
    <row r="1089" spans="1:14" ht="31" outlineLevel="1">
      <c r="A1089" s="1455">
        <f t="shared" si="174"/>
        <v>4.4000000000000004</v>
      </c>
      <c r="B1089" s="1455" t="str">
        <f t="shared" si="174"/>
        <v>Supply, Installation &amp; Commissioning of  Magnetic Separators at CHP 2x 500MW BTPS Deepnagar</v>
      </c>
      <c r="C1089" s="1475">
        <f t="shared" si="174"/>
        <v>0</v>
      </c>
      <c r="D1089" s="1473" t="str">
        <f t="shared" si="174"/>
        <v>-</v>
      </c>
      <c r="E1089" s="1476">
        <f t="shared" si="174"/>
        <v>0</v>
      </c>
      <c r="F1089" s="1444">
        <f t="shared" si="169"/>
        <v>0</v>
      </c>
      <c r="G1089" s="1444">
        <f t="shared" si="170"/>
        <v>0</v>
      </c>
      <c r="H1089" s="1476">
        <f t="shared" si="171"/>
        <v>0</v>
      </c>
      <c r="I1089" s="1444">
        <v>0</v>
      </c>
      <c r="J1089" s="1444">
        <v>0</v>
      </c>
      <c r="K1089" s="1476"/>
      <c r="L1089" s="1476"/>
      <c r="M1089" s="1476">
        <f t="shared" si="173"/>
        <v>0</v>
      </c>
      <c r="N1089" s="1476">
        <f t="shared" si="172"/>
        <v>0</v>
      </c>
    </row>
    <row r="1090" spans="1:14" ht="31" outlineLevel="1">
      <c r="A1090" s="1455">
        <f t="shared" ref="A1090:E1105" si="175">A860</f>
        <v>4.5</v>
      </c>
      <c r="B1090" s="1455" t="str">
        <f t="shared" si="175"/>
        <v>Supply, Installation &amp; Commissioning Flameproof lighting at CHP 2x 500MW BTPS Deepnagar</v>
      </c>
      <c r="C1090" s="1475">
        <f t="shared" si="175"/>
        <v>0</v>
      </c>
      <c r="D1090" s="1473" t="str">
        <f t="shared" si="175"/>
        <v>-</v>
      </c>
      <c r="E1090" s="1476">
        <f t="shared" si="175"/>
        <v>0</v>
      </c>
      <c r="F1090" s="1444">
        <f t="shared" si="169"/>
        <v>0</v>
      </c>
      <c r="G1090" s="1444">
        <f t="shared" si="170"/>
        <v>0</v>
      </c>
      <c r="H1090" s="1476">
        <f t="shared" si="171"/>
        <v>0</v>
      </c>
      <c r="I1090" s="1444">
        <v>0</v>
      </c>
      <c r="J1090" s="1444">
        <v>0</v>
      </c>
      <c r="K1090" s="1476"/>
      <c r="L1090" s="1476"/>
      <c r="M1090" s="1476">
        <f t="shared" si="173"/>
        <v>0</v>
      </c>
      <c r="N1090" s="1476">
        <f t="shared" si="172"/>
        <v>0</v>
      </c>
    </row>
    <row r="1091" spans="1:14" ht="15.5" outlineLevel="1">
      <c r="A1091" s="1455">
        <f t="shared" si="175"/>
        <v>4.5999999999999996</v>
      </c>
      <c r="B1091" s="1455" t="str">
        <f t="shared" si="175"/>
        <v>Supply, Installation &amp; upgradation of HT /LT relay at CHP BTPS.</v>
      </c>
      <c r="C1091" s="1475">
        <f t="shared" si="175"/>
        <v>0</v>
      </c>
      <c r="D1091" s="1473" t="str">
        <f t="shared" si="175"/>
        <v>-</v>
      </c>
      <c r="E1091" s="1476">
        <f t="shared" si="175"/>
        <v>0</v>
      </c>
      <c r="F1091" s="1444">
        <f t="shared" si="169"/>
        <v>0</v>
      </c>
      <c r="G1091" s="1444">
        <f t="shared" si="170"/>
        <v>0</v>
      </c>
      <c r="H1091" s="1476">
        <f t="shared" si="171"/>
        <v>0</v>
      </c>
      <c r="I1091" s="1444">
        <v>0</v>
      </c>
      <c r="J1091" s="1444">
        <v>0</v>
      </c>
      <c r="K1091" s="1476"/>
      <c r="L1091" s="1476"/>
      <c r="M1091" s="1476">
        <f t="shared" si="173"/>
        <v>0</v>
      </c>
      <c r="N1091" s="1476">
        <f t="shared" si="172"/>
        <v>0</v>
      </c>
    </row>
    <row r="1092" spans="1:14" ht="15.5" outlineLevel="1">
      <c r="A1092" s="1458">
        <f t="shared" si="175"/>
        <v>5</v>
      </c>
      <c r="B1092" s="1459" t="str">
        <f t="shared" si="175"/>
        <v>Detail  Project report of improvement of Unloading in Coal handling Plant BTPS.</v>
      </c>
      <c r="C1092" s="1475">
        <f t="shared" si="175"/>
        <v>0</v>
      </c>
      <c r="D1092" s="1473" t="str">
        <f t="shared" si="175"/>
        <v>-</v>
      </c>
      <c r="E1092" s="1476">
        <f t="shared" si="175"/>
        <v>0</v>
      </c>
      <c r="F1092" s="1444">
        <f t="shared" si="169"/>
        <v>0</v>
      </c>
      <c r="G1092" s="1444">
        <f t="shared" si="170"/>
        <v>0</v>
      </c>
      <c r="H1092" s="1476">
        <f t="shared" si="171"/>
        <v>0</v>
      </c>
      <c r="I1092" s="1444">
        <v>0</v>
      </c>
      <c r="J1092" s="1444">
        <v>0</v>
      </c>
      <c r="K1092" s="1476"/>
      <c r="L1092" s="1476"/>
      <c r="M1092" s="1476">
        <f t="shared" si="173"/>
        <v>0</v>
      </c>
      <c r="N1092" s="1476">
        <f t="shared" si="172"/>
        <v>0</v>
      </c>
    </row>
    <row r="1093" spans="1:14" ht="15.5" outlineLevel="1">
      <c r="A1093" s="1455">
        <f t="shared" si="175"/>
        <v>5.0999999999999996</v>
      </c>
      <c r="B1093" s="1455" t="str">
        <f t="shared" si="175"/>
        <v>Procurement of 04 no of locomotives for Coal handling Plant BTPS.</v>
      </c>
      <c r="C1093" s="1475">
        <f t="shared" si="175"/>
        <v>0</v>
      </c>
      <c r="D1093" s="1473" t="str">
        <f t="shared" si="175"/>
        <v>-</v>
      </c>
      <c r="E1093" s="1476">
        <f t="shared" si="175"/>
        <v>0</v>
      </c>
      <c r="F1093" s="1444">
        <f t="shared" si="169"/>
        <v>0</v>
      </c>
      <c r="G1093" s="1444">
        <f t="shared" si="170"/>
        <v>0</v>
      </c>
      <c r="H1093" s="1476">
        <f t="shared" si="171"/>
        <v>0</v>
      </c>
      <c r="I1093" s="1444">
        <v>0</v>
      </c>
      <c r="J1093" s="1444">
        <v>0</v>
      </c>
      <c r="K1093" s="1476"/>
      <c r="L1093" s="1476"/>
      <c r="M1093" s="1476">
        <f t="shared" si="173"/>
        <v>0</v>
      </c>
      <c r="N1093" s="1476">
        <f t="shared" si="172"/>
        <v>0</v>
      </c>
    </row>
    <row r="1094" spans="1:14" ht="31" outlineLevel="1">
      <c r="A1094" s="1455">
        <f t="shared" si="175"/>
        <v>5.2</v>
      </c>
      <c r="B1094" s="1455" t="str">
        <f t="shared" si="175"/>
        <v>Design Supply Erection and Comission of Hour glass shape Coal diverting chutes with extra life wear resistant plates in CHP, BTPS.</v>
      </c>
      <c r="C1094" s="1475">
        <f t="shared" si="175"/>
        <v>0</v>
      </c>
      <c r="D1094" s="1473" t="str">
        <f t="shared" si="175"/>
        <v>-</v>
      </c>
      <c r="E1094" s="1476">
        <f t="shared" si="175"/>
        <v>0</v>
      </c>
      <c r="F1094" s="1444">
        <f t="shared" si="169"/>
        <v>0</v>
      </c>
      <c r="G1094" s="1444">
        <f t="shared" si="170"/>
        <v>0</v>
      </c>
      <c r="H1094" s="1476">
        <f t="shared" si="171"/>
        <v>0</v>
      </c>
      <c r="I1094" s="1444">
        <v>0</v>
      </c>
      <c r="J1094" s="1444">
        <v>0</v>
      </c>
      <c r="K1094" s="1476"/>
      <c r="L1094" s="1476"/>
      <c r="M1094" s="1476">
        <f t="shared" si="173"/>
        <v>0</v>
      </c>
      <c r="N1094" s="1476">
        <f t="shared" si="172"/>
        <v>0</v>
      </c>
    </row>
    <row r="1095" spans="1:14" ht="31" outlineLevel="1">
      <c r="A1095" s="1455">
        <f t="shared" si="175"/>
        <v>5.3</v>
      </c>
      <c r="B1095" s="1455" t="str">
        <f t="shared" si="175"/>
        <v>Design Supply Erection and Comission of Inverted Y Shape  Coal diverting chutes with extra life wear resistant plates in CHP, BTPS.</v>
      </c>
      <c r="C1095" s="1475">
        <f t="shared" si="175"/>
        <v>0</v>
      </c>
      <c r="D1095" s="1473" t="str">
        <f t="shared" si="175"/>
        <v>-</v>
      </c>
      <c r="E1095" s="1476">
        <f t="shared" si="175"/>
        <v>0</v>
      </c>
      <c r="F1095" s="1444">
        <f t="shared" si="169"/>
        <v>0</v>
      </c>
      <c r="G1095" s="1444">
        <f t="shared" si="170"/>
        <v>0</v>
      </c>
      <c r="H1095" s="1476">
        <f t="shared" si="171"/>
        <v>0</v>
      </c>
      <c r="I1095" s="1444">
        <v>0</v>
      </c>
      <c r="J1095" s="1444">
        <v>0</v>
      </c>
      <c r="K1095" s="1476"/>
      <c r="L1095" s="1476"/>
      <c r="M1095" s="1476">
        <f t="shared" si="173"/>
        <v>0</v>
      </c>
      <c r="N1095" s="1476">
        <f t="shared" si="172"/>
        <v>0</v>
      </c>
    </row>
    <row r="1096" spans="1:14" ht="31" outlineLevel="1">
      <c r="A1096" s="1455">
        <f t="shared" si="175"/>
        <v>5.4</v>
      </c>
      <c r="B1096" s="1455" t="str">
        <f t="shared" si="175"/>
        <v>Design Supply Erection and Comission of coal diverting chutes with extra life wear resistant plates in CHP BTPS.</v>
      </c>
      <c r="C1096" s="1475">
        <f t="shared" si="175"/>
        <v>0</v>
      </c>
      <c r="D1096" s="1473" t="str">
        <f t="shared" si="175"/>
        <v>-</v>
      </c>
      <c r="E1096" s="1476">
        <f t="shared" si="175"/>
        <v>0</v>
      </c>
      <c r="F1096" s="1444">
        <f t="shared" si="169"/>
        <v>0</v>
      </c>
      <c r="G1096" s="1444">
        <f t="shared" si="170"/>
        <v>0</v>
      </c>
      <c r="H1096" s="1476">
        <f t="shared" si="171"/>
        <v>0</v>
      </c>
      <c r="I1096" s="1444">
        <v>0</v>
      </c>
      <c r="J1096" s="1444">
        <v>0</v>
      </c>
      <c r="K1096" s="1476"/>
      <c r="L1096" s="1476"/>
      <c r="M1096" s="1476">
        <f t="shared" si="173"/>
        <v>0</v>
      </c>
      <c r="N1096" s="1476">
        <f t="shared" si="172"/>
        <v>0</v>
      </c>
    </row>
    <row r="1097" spans="1:14" ht="31" outlineLevel="1">
      <c r="A1097" s="1455">
        <f t="shared" si="175"/>
        <v>5.5</v>
      </c>
      <c r="B1097" s="1455" t="str">
        <f t="shared" si="175"/>
        <v>Work of Revamping and structural up-gradation of conveyor 104A&amp;B in Coal Handling Plant-BTPS.</v>
      </c>
      <c r="C1097" s="1475">
        <f t="shared" si="175"/>
        <v>0</v>
      </c>
      <c r="D1097" s="1473" t="str">
        <f t="shared" si="175"/>
        <v>-</v>
      </c>
      <c r="E1097" s="1476">
        <f t="shared" si="175"/>
        <v>0</v>
      </c>
      <c r="F1097" s="1444">
        <f t="shared" si="169"/>
        <v>0</v>
      </c>
      <c r="G1097" s="1444">
        <f t="shared" si="170"/>
        <v>0</v>
      </c>
      <c r="H1097" s="1476">
        <f t="shared" si="171"/>
        <v>0</v>
      </c>
      <c r="I1097" s="1444">
        <v>0</v>
      </c>
      <c r="J1097" s="1444">
        <v>0</v>
      </c>
      <c r="K1097" s="1476"/>
      <c r="L1097" s="1476"/>
      <c r="M1097" s="1476">
        <f t="shared" si="173"/>
        <v>0</v>
      </c>
      <c r="N1097" s="1476">
        <f t="shared" si="172"/>
        <v>0</v>
      </c>
    </row>
    <row r="1098" spans="1:14" ht="31" outlineLevel="1">
      <c r="A1098" s="1458">
        <f t="shared" si="175"/>
        <v>6</v>
      </c>
      <c r="B1098" s="1459" t="str">
        <f t="shared" si="175"/>
        <v>Supply and Installation of  reliability improvement schemes for HT/LT switchgears and auxilliaries at BTPS 2x500MW.</v>
      </c>
      <c r="C1098" s="1475">
        <f t="shared" si="175"/>
        <v>0</v>
      </c>
      <c r="D1098" s="1473" t="str">
        <f t="shared" si="175"/>
        <v>-</v>
      </c>
      <c r="E1098" s="1476">
        <f t="shared" si="175"/>
        <v>0</v>
      </c>
      <c r="F1098" s="1444">
        <f t="shared" si="169"/>
        <v>0</v>
      </c>
      <c r="G1098" s="1444">
        <f t="shared" si="170"/>
        <v>0</v>
      </c>
      <c r="H1098" s="1476">
        <f t="shared" si="171"/>
        <v>0</v>
      </c>
      <c r="I1098" s="1444">
        <v>0</v>
      </c>
      <c r="J1098" s="1444">
        <v>0</v>
      </c>
      <c r="K1098" s="1476"/>
      <c r="L1098" s="1476"/>
      <c r="M1098" s="1476">
        <f t="shared" si="173"/>
        <v>0</v>
      </c>
      <c r="N1098" s="1476">
        <f t="shared" si="172"/>
        <v>0</v>
      </c>
    </row>
    <row r="1099" spans="1:14" ht="15.5" outlineLevel="1">
      <c r="A1099" s="1455">
        <f t="shared" si="175"/>
        <v>6.1</v>
      </c>
      <c r="B1099" s="1455" t="str">
        <f t="shared" si="175"/>
        <v>Procurement of HT Motors of various ratings at 2x500MW.</v>
      </c>
      <c r="C1099" s="1475">
        <f t="shared" si="175"/>
        <v>0</v>
      </c>
      <c r="D1099" s="1473" t="str">
        <f t="shared" si="175"/>
        <v>-</v>
      </c>
      <c r="E1099" s="1476">
        <f t="shared" si="175"/>
        <v>0</v>
      </c>
      <c r="F1099" s="1444">
        <f t="shared" si="169"/>
        <v>0</v>
      </c>
      <c r="G1099" s="1444">
        <f t="shared" si="170"/>
        <v>0</v>
      </c>
      <c r="H1099" s="1476">
        <f t="shared" si="171"/>
        <v>0</v>
      </c>
      <c r="I1099" s="1444">
        <v>0</v>
      </c>
      <c r="J1099" s="1444">
        <v>0</v>
      </c>
      <c r="K1099" s="1476"/>
      <c r="L1099" s="1476"/>
      <c r="M1099" s="1476">
        <f t="shared" si="173"/>
        <v>0</v>
      </c>
      <c r="N1099" s="1476">
        <f t="shared" si="172"/>
        <v>0</v>
      </c>
    </row>
    <row r="1100" spans="1:14" ht="15.5" outlineLevel="1">
      <c r="A1100" s="1455">
        <f t="shared" si="175"/>
        <v>6.2</v>
      </c>
      <c r="B1100" s="1455" t="str">
        <f t="shared" si="175"/>
        <v>Procurement of Dry type transformers of varoius ratings at 2x500MW.</v>
      </c>
      <c r="C1100" s="1475">
        <f t="shared" si="175"/>
        <v>0</v>
      </c>
      <c r="D1100" s="1473" t="str">
        <f t="shared" si="175"/>
        <v>-</v>
      </c>
      <c r="E1100" s="1476">
        <f t="shared" si="175"/>
        <v>0</v>
      </c>
      <c r="F1100" s="1444">
        <f t="shared" si="169"/>
        <v>0</v>
      </c>
      <c r="G1100" s="1444">
        <f t="shared" si="170"/>
        <v>0</v>
      </c>
      <c r="H1100" s="1476">
        <f t="shared" si="171"/>
        <v>0</v>
      </c>
      <c r="I1100" s="1444">
        <v>0</v>
      </c>
      <c r="J1100" s="1444">
        <v>0</v>
      </c>
      <c r="K1100" s="1476"/>
      <c r="L1100" s="1476"/>
      <c r="M1100" s="1476">
        <f t="shared" si="173"/>
        <v>0</v>
      </c>
      <c r="N1100" s="1476">
        <f t="shared" si="172"/>
        <v>0</v>
      </c>
    </row>
    <row r="1101" spans="1:14" ht="15.5" outlineLevel="1">
      <c r="A1101" s="1455">
        <f t="shared" si="175"/>
        <v>6.3</v>
      </c>
      <c r="B1101" s="1455" t="str">
        <f t="shared" si="175"/>
        <v>Procurement of Inverter and converter trolleys of GEHO Pump at 2x500MW.</v>
      </c>
      <c r="C1101" s="1475">
        <f t="shared" si="175"/>
        <v>0</v>
      </c>
      <c r="D1101" s="1473" t="str">
        <f t="shared" si="175"/>
        <v>-</v>
      </c>
      <c r="E1101" s="1476">
        <f t="shared" si="175"/>
        <v>0</v>
      </c>
      <c r="F1101" s="1444">
        <f t="shared" si="169"/>
        <v>0</v>
      </c>
      <c r="G1101" s="1444">
        <f t="shared" si="170"/>
        <v>0</v>
      </c>
      <c r="H1101" s="1476">
        <f t="shared" si="171"/>
        <v>0</v>
      </c>
      <c r="I1101" s="1444">
        <v>0</v>
      </c>
      <c r="J1101" s="1444">
        <v>0</v>
      </c>
      <c r="K1101" s="1476"/>
      <c r="L1101" s="1476"/>
      <c r="M1101" s="1476">
        <f t="shared" si="173"/>
        <v>0</v>
      </c>
      <c r="N1101" s="1476">
        <f t="shared" si="172"/>
        <v>0</v>
      </c>
    </row>
    <row r="1102" spans="1:14" ht="31" outlineLevel="1">
      <c r="A1102" s="1455">
        <f t="shared" si="175"/>
        <v>6.4</v>
      </c>
      <c r="B1102" s="1455" t="str">
        <f t="shared" si="175"/>
        <v>Procurement of Vacuum Contactors of various ratings for  HT Switchgears  at BTPS 2x500MW.</v>
      </c>
      <c r="C1102" s="1475">
        <f t="shared" si="175"/>
        <v>0</v>
      </c>
      <c r="D1102" s="1473" t="str">
        <f t="shared" si="175"/>
        <v>-</v>
      </c>
      <c r="E1102" s="1476">
        <f t="shared" si="175"/>
        <v>0</v>
      </c>
      <c r="F1102" s="1444">
        <f t="shared" si="169"/>
        <v>0</v>
      </c>
      <c r="G1102" s="1444">
        <f t="shared" si="170"/>
        <v>0</v>
      </c>
      <c r="H1102" s="1476">
        <f t="shared" si="171"/>
        <v>0</v>
      </c>
      <c r="I1102" s="1444">
        <v>0</v>
      </c>
      <c r="J1102" s="1444">
        <v>0</v>
      </c>
      <c r="K1102" s="1476"/>
      <c r="L1102" s="1476"/>
      <c r="M1102" s="1476">
        <f t="shared" si="173"/>
        <v>0</v>
      </c>
      <c r="N1102" s="1476">
        <f t="shared" si="172"/>
        <v>0</v>
      </c>
    </row>
    <row r="1103" spans="1:14" ht="31" outlineLevel="1">
      <c r="A1103" s="1455">
        <f t="shared" si="175"/>
        <v>6.5</v>
      </c>
      <c r="B1103" s="1455" t="str">
        <f t="shared" si="175"/>
        <v>Supply, erection, commissioning &amp; site testing of 360V, 750 AH Station UPS Battery Sets  along with accessories for Unit No.4 at BTPS 2x500MW’.</v>
      </c>
      <c r="C1103" s="1475">
        <f t="shared" si="175"/>
        <v>0</v>
      </c>
      <c r="D1103" s="1473" t="str">
        <f t="shared" si="175"/>
        <v>-</v>
      </c>
      <c r="E1103" s="1476">
        <f t="shared" si="175"/>
        <v>0</v>
      </c>
      <c r="F1103" s="1444">
        <f t="shared" si="169"/>
        <v>0</v>
      </c>
      <c r="G1103" s="1444">
        <f t="shared" si="170"/>
        <v>0</v>
      </c>
      <c r="H1103" s="1476">
        <f t="shared" si="171"/>
        <v>0</v>
      </c>
      <c r="I1103" s="1444">
        <v>0</v>
      </c>
      <c r="J1103" s="1444">
        <v>0</v>
      </c>
      <c r="K1103" s="1476"/>
      <c r="L1103" s="1476"/>
      <c r="M1103" s="1476">
        <f t="shared" si="173"/>
        <v>0</v>
      </c>
      <c r="N1103" s="1476">
        <f t="shared" si="172"/>
        <v>0</v>
      </c>
    </row>
    <row r="1104" spans="1:14" ht="15.5" outlineLevel="1">
      <c r="A1104" s="1455">
        <f t="shared" si="175"/>
        <v>6.6</v>
      </c>
      <c r="B1104" s="1455" t="str">
        <f t="shared" si="175"/>
        <v>Updragation of Sox-Nox analyzer,PM analyzer, ETP analyzer at BTPS 2X500MW.</v>
      </c>
      <c r="C1104" s="1475">
        <f t="shared" si="175"/>
        <v>0</v>
      </c>
      <c r="D1104" s="1473" t="str">
        <f t="shared" si="175"/>
        <v>-</v>
      </c>
      <c r="E1104" s="1476">
        <f t="shared" si="175"/>
        <v>0</v>
      </c>
      <c r="F1104" s="1444">
        <f t="shared" si="169"/>
        <v>0</v>
      </c>
      <c r="G1104" s="1444">
        <f t="shared" si="170"/>
        <v>0</v>
      </c>
      <c r="H1104" s="1476">
        <f t="shared" si="171"/>
        <v>0</v>
      </c>
      <c r="I1104" s="1444">
        <v>0</v>
      </c>
      <c r="J1104" s="1444">
        <v>0</v>
      </c>
      <c r="K1104" s="1476"/>
      <c r="L1104" s="1476"/>
      <c r="M1104" s="1476">
        <f t="shared" si="173"/>
        <v>0</v>
      </c>
      <c r="N1104" s="1476">
        <f t="shared" si="172"/>
        <v>0</v>
      </c>
    </row>
    <row r="1105" spans="1:14" ht="15.5" outlineLevel="1">
      <c r="A1105" s="1455">
        <f t="shared" si="175"/>
        <v>6.7</v>
      </c>
      <c r="B1105" s="1455" t="str">
        <f t="shared" si="175"/>
        <v>Upgradation of O2 analyzer at BTPS 2X500MW</v>
      </c>
      <c r="C1105" s="1475">
        <f t="shared" si="175"/>
        <v>0</v>
      </c>
      <c r="D1105" s="1473" t="str">
        <f t="shared" si="175"/>
        <v>-</v>
      </c>
      <c r="E1105" s="1476">
        <f t="shared" si="175"/>
        <v>0</v>
      </c>
      <c r="F1105" s="1444">
        <f t="shared" si="169"/>
        <v>0</v>
      </c>
      <c r="G1105" s="1444">
        <f t="shared" si="170"/>
        <v>0</v>
      </c>
      <c r="H1105" s="1476">
        <f t="shared" si="171"/>
        <v>0</v>
      </c>
      <c r="I1105" s="1444">
        <v>0</v>
      </c>
      <c r="J1105" s="1444">
        <v>0</v>
      </c>
      <c r="K1105" s="1476"/>
      <c r="L1105" s="1476"/>
      <c r="M1105" s="1476">
        <f t="shared" si="173"/>
        <v>0</v>
      </c>
      <c r="N1105" s="1476">
        <f t="shared" si="172"/>
        <v>0</v>
      </c>
    </row>
    <row r="1106" spans="1:14" ht="31" outlineLevel="1">
      <c r="A1106" s="1455">
        <f t="shared" ref="A1106:E1121" si="176">A876</f>
        <v>6.8</v>
      </c>
      <c r="B1106" s="1455" t="str">
        <f t="shared" si="176"/>
        <v>Revamping &amp; Upgradation Of Vibration Monitoring Rack From VM7 TO VM7B at BTPS 2X500MW</v>
      </c>
      <c r="C1106" s="1475">
        <f t="shared" si="176"/>
        <v>0</v>
      </c>
      <c r="D1106" s="1473" t="str">
        <f t="shared" si="176"/>
        <v>-</v>
      </c>
      <c r="E1106" s="1476">
        <f t="shared" si="176"/>
        <v>0</v>
      </c>
      <c r="F1106" s="1444">
        <f t="shared" si="169"/>
        <v>0</v>
      </c>
      <c r="G1106" s="1444">
        <f t="shared" si="170"/>
        <v>0</v>
      </c>
      <c r="H1106" s="1476">
        <f t="shared" si="171"/>
        <v>0</v>
      </c>
      <c r="I1106" s="1444">
        <v>0</v>
      </c>
      <c r="J1106" s="1444">
        <v>0</v>
      </c>
      <c r="K1106" s="1476"/>
      <c r="L1106" s="1476"/>
      <c r="M1106" s="1476">
        <f t="shared" si="173"/>
        <v>0</v>
      </c>
      <c r="N1106" s="1476">
        <f t="shared" si="172"/>
        <v>0</v>
      </c>
    </row>
    <row r="1107" spans="1:14" ht="15.5" outlineLevel="1">
      <c r="A1107" s="1455">
        <f t="shared" si="176"/>
        <v>6.9</v>
      </c>
      <c r="B1107" s="1455" t="str">
        <f t="shared" si="176"/>
        <v>Procurement &amp; Installation of High Mast towers in various location in BTPS</v>
      </c>
      <c r="C1107" s="1475">
        <f t="shared" si="176"/>
        <v>0</v>
      </c>
      <c r="D1107" s="1473" t="str">
        <f t="shared" si="176"/>
        <v>-</v>
      </c>
      <c r="E1107" s="1476">
        <f t="shared" si="176"/>
        <v>0</v>
      </c>
      <c r="F1107" s="1444">
        <f t="shared" si="169"/>
        <v>0</v>
      </c>
      <c r="G1107" s="1444">
        <f t="shared" si="170"/>
        <v>0</v>
      </c>
      <c r="H1107" s="1476">
        <f t="shared" si="171"/>
        <v>0</v>
      </c>
      <c r="I1107" s="1444">
        <v>0</v>
      </c>
      <c r="J1107" s="1444">
        <v>0</v>
      </c>
      <c r="K1107" s="1476"/>
      <c r="L1107" s="1476"/>
      <c r="M1107" s="1476">
        <f t="shared" si="173"/>
        <v>0</v>
      </c>
      <c r="N1107" s="1476">
        <f t="shared" si="172"/>
        <v>0</v>
      </c>
    </row>
    <row r="1108" spans="1:14" ht="31" outlineLevel="1">
      <c r="A1108" s="1455">
        <f t="shared" si="176"/>
        <v>6.1</v>
      </c>
      <c r="B1108" s="1455" t="str">
        <f t="shared" si="176"/>
        <v>Renovation and Modification of Colony Electric Supply System to improve availability and reliability of supply system at BTPS Colony, Deepnagar</v>
      </c>
      <c r="C1108" s="1475">
        <f t="shared" si="176"/>
        <v>0</v>
      </c>
      <c r="D1108" s="1473" t="str">
        <f t="shared" si="176"/>
        <v>-</v>
      </c>
      <c r="E1108" s="1476">
        <f t="shared" si="176"/>
        <v>0</v>
      </c>
      <c r="F1108" s="1444">
        <f t="shared" si="169"/>
        <v>0</v>
      </c>
      <c r="G1108" s="1444">
        <f t="shared" si="170"/>
        <v>0</v>
      </c>
      <c r="H1108" s="1476">
        <f t="shared" si="171"/>
        <v>0</v>
      </c>
      <c r="I1108" s="1444">
        <v>0</v>
      </c>
      <c r="J1108" s="1444">
        <v>0</v>
      </c>
      <c r="K1108" s="1476"/>
      <c r="L1108" s="1476"/>
      <c r="M1108" s="1476">
        <f t="shared" si="173"/>
        <v>0</v>
      </c>
      <c r="N1108" s="1476">
        <f t="shared" si="172"/>
        <v>0</v>
      </c>
    </row>
    <row r="1109" spans="1:14" ht="31" outlineLevel="1">
      <c r="A1109" s="1455">
        <f t="shared" si="176"/>
        <v>6.11</v>
      </c>
      <c r="B1109" s="1455" t="str">
        <f t="shared" si="176"/>
        <v>Work of  Overhauling repairs of U-5 350KW BCWP motor of M/s Torishima make at BTPS 2x500MW.</v>
      </c>
      <c r="C1109" s="1475">
        <f t="shared" si="176"/>
        <v>0</v>
      </c>
      <c r="D1109" s="1473" t="str">
        <f t="shared" si="176"/>
        <v>-</v>
      </c>
      <c r="E1109" s="1476">
        <f t="shared" si="176"/>
        <v>0</v>
      </c>
      <c r="F1109" s="1444">
        <f t="shared" si="169"/>
        <v>0</v>
      </c>
      <c r="G1109" s="1444">
        <f t="shared" si="170"/>
        <v>0</v>
      </c>
      <c r="H1109" s="1476">
        <f t="shared" si="171"/>
        <v>0</v>
      </c>
      <c r="I1109" s="1444">
        <v>0</v>
      </c>
      <c r="J1109" s="1444">
        <v>0</v>
      </c>
      <c r="K1109" s="1476"/>
      <c r="L1109" s="1476"/>
      <c r="M1109" s="1476">
        <f t="shared" si="173"/>
        <v>0</v>
      </c>
      <c r="N1109" s="1476">
        <f t="shared" si="172"/>
        <v>0</v>
      </c>
    </row>
    <row r="1110" spans="1:14" ht="15.5" outlineLevel="1">
      <c r="A1110" s="1457">
        <f t="shared" si="176"/>
        <v>0</v>
      </c>
      <c r="B1110" s="1457" t="str">
        <f t="shared" si="176"/>
        <v xml:space="preserve">FY 2028-29 </v>
      </c>
      <c r="C1110" s="1475">
        <f t="shared" si="176"/>
        <v>0</v>
      </c>
      <c r="D1110" s="1473" t="str">
        <f t="shared" si="176"/>
        <v>-</v>
      </c>
      <c r="E1110" s="1476">
        <f t="shared" si="176"/>
        <v>0</v>
      </c>
      <c r="F1110" s="1444">
        <f t="shared" si="169"/>
        <v>0</v>
      </c>
      <c r="G1110" s="1444">
        <f t="shared" si="170"/>
        <v>0</v>
      </c>
      <c r="H1110" s="1476">
        <f t="shared" si="171"/>
        <v>0</v>
      </c>
      <c r="I1110" s="1444">
        <v>0</v>
      </c>
      <c r="J1110" s="1444">
        <v>0</v>
      </c>
      <c r="K1110" s="1476"/>
      <c r="L1110" s="1476"/>
      <c r="M1110" s="1476">
        <f t="shared" si="173"/>
        <v>0</v>
      </c>
      <c r="N1110" s="1476">
        <f t="shared" si="172"/>
        <v>0</v>
      </c>
    </row>
    <row r="1111" spans="1:14" ht="31" outlineLevel="1">
      <c r="A1111" s="1458">
        <f t="shared" si="176"/>
        <v>1</v>
      </c>
      <c r="B1111" s="1459" t="str">
        <f t="shared" si="176"/>
        <v>APH baskets with main drive Gear box and lub oil skids with motor at 2x500MW BTPS</v>
      </c>
      <c r="C1111" s="1475">
        <f t="shared" si="176"/>
        <v>0</v>
      </c>
      <c r="D1111" s="1473" t="str">
        <f t="shared" si="176"/>
        <v>-</v>
      </c>
      <c r="E1111" s="1476">
        <f t="shared" si="176"/>
        <v>0</v>
      </c>
      <c r="F1111" s="1444">
        <f t="shared" si="169"/>
        <v>0</v>
      </c>
      <c r="G1111" s="1444">
        <f t="shared" si="170"/>
        <v>0</v>
      </c>
      <c r="H1111" s="1476">
        <f t="shared" si="171"/>
        <v>0</v>
      </c>
      <c r="I1111" s="1444">
        <v>0</v>
      </c>
      <c r="J1111" s="1444">
        <v>0</v>
      </c>
      <c r="K1111" s="1476"/>
      <c r="L1111" s="1476"/>
      <c r="M1111" s="1476">
        <f t="shared" si="173"/>
        <v>0</v>
      </c>
      <c r="N1111" s="1476">
        <f t="shared" si="172"/>
        <v>0</v>
      </c>
    </row>
    <row r="1112" spans="1:14" ht="31" outlineLevel="1">
      <c r="A1112" s="1455">
        <f t="shared" si="176"/>
        <v>1.1000000000000001</v>
      </c>
      <c r="B1112" s="1455" t="str">
        <f t="shared" si="176"/>
        <v>APH baskets with main drive Gear box and lub oil skids with motor at 2x500MW BTPS</v>
      </c>
      <c r="C1112" s="1475">
        <f t="shared" si="176"/>
        <v>0</v>
      </c>
      <c r="D1112" s="1473" t="str">
        <f t="shared" si="176"/>
        <v>-</v>
      </c>
      <c r="E1112" s="1476">
        <f t="shared" si="176"/>
        <v>0</v>
      </c>
      <c r="F1112" s="1444">
        <f t="shared" si="169"/>
        <v>0</v>
      </c>
      <c r="G1112" s="1444">
        <f t="shared" si="170"/>
        <v>0</v>
      </c>
      <c r="H1112" s="1476">
        <f t="shared" si="171"/>
        <v>0</v>
      </c>
      <c r="I1112" s="1444">
        <v>0</v>
      </c>
      <c r="J1112" s="1444">
        <v>0</v>
      </c>
      <c r="K1112" s="1476"/>
      <c r="L1112" s="1476"/>
      <c r="M1112" s="1476">
        <f t="shared" si="173"/>
        <v>0</v>
      </c>
      <c r="N1112" s="1476">
        <f t="shared" si="172"/>
        <v>0</v>
      </c>
    </row>
    <row r="1113" spans="1:14" ht="31" outlineLevel="1">
      <c r="A1113" s="1458">
        <f t="shared" si="176"/>
        <v>2</v>
      </c>
      <c r="B1113" s="1459" t="str">
        <f t="shared" si="176"/>
        <v>Detail Project Report for  Design, Engineering, Supply, Installation and commissioning of 1500TPH Stacker cum re-claimer in Coal Handling Plant-BTPS.</v>
      </c>
      <c r="C1113" s="1475">
        <f t="shared" si="176"/>
        <v>0</v>
      </c>
      <c r="D1113" s="1473" t="str">
        <f t="shared" si="176"/>
        <v>-</v>
      </c>
      <c r="E1113" s="1476">
        <f t="shared" si="176"/>
        <v>0</v>
      </c>
      <c r="F1113" s="1444">
        <f t="shared" si="169"/>
        <v>0</v>
      </c>
      <c r="G1113" s="1444">
        <f t="shared" si="170"/>
        <v>0</v>
      </c>
      <c r="H1113" s="1476">
        <f t="shared" si="171"/>
        <v>0</v>
      </c>
      <c r="I1113" s="1444">
        <v>0</v>
      </c>
      <c r="J1113" s="1444">
        <v>0</v>
      </c>
      <c r="K1113" s="1476"/>
      <c r="L1113" s="1476"/>
      <c r="M1113" s="1476">
        <f t="shared" si="173"/>
        <v>0</v>
      </c>
      <c r="N1113" s="1476">
        <f t="shared" si="172"/>
        <v>0</v>
      </c>
    </row>
    <row r="1114" spans="1:14" ht="31" outlineLevel="1">
      <c r="A1114" s="1455">
        <f t="shared" si="176"/>
        <v>2.1</v>
      </c>
      <c r="B1114" s="1455" t="str">
        <f t="shared" si="176"/>
        <v>Design, Engineering, Supply, Installation and commissioning of 1500TPH Stacker cum re-claimer in Coal Handling Plant-BTPS.</v>
      </c>
      <c r="C1114" s="1475">
        <f t="shared" si="176"/>
        <v>0</v>
      </c>
      <c r="D1114" s="1473" t="str">
        <f t="shared" si="176"/>
        <v>-</v>
      </c>
      <c r="E1114" s="1476">
        <f t="shared" si="176"/>
        <v>0</v>
      </c>
      <c r="F1114" s="1444">
        <f t="shared" si="169"/>
        <v>0</v>
      </c>
      <c r="G1114" s="1444">
        <f t="shared" si="170"/>
        <v>0</v>
      </c>
      <c r="H1114" s="1476">
        <f t="shared" si="171"/>
        <v>0</v>
      </c>
      <c r="I1114" s="1444">
        <v>0</v>
      </c>
      <c r="J1114" s="1444">
        <v>0</v>
      </c>
      <c r="K1114" s="1476"/>
      <c r="L1114" s="1476"/>
      <c r="M1114" s="1476">
        <f t="shared" si="173"/>
        <v>0</v>
      </c>
      <c r="N1114" s="1476">
        <f t="shared" si="172"/>
        <v>0</v>
      </c>
    </row>
    <row r="1115" spans="1:14" ht="15.5" outlineLevel="1">
      <c r="A1115" s="1458">
        <f t="shared" si="176"/>
        <v>3</v>
      </c>
      <c r="B1115" s="1459" t="str">
        <f t="shared" si="176"/>
        <v>Enhancement of Unloading &amp; Stacking Capacity of CHP.</v>
      </c>
      <c r="C1115" s="1475">
        <f t="shared" si="176"/>
        <v>0</v>
      </c>
      <c r="D1115" s="1473" t="str">
        <f t="shared" si="176"/>
        <v>-</v>
      </c>
      <c r="E1115" s="1476">
        <f t="shared" si="176"/>
        <v>0</v>
      </c>
      <c r="F1115" s="1444">
        <f t="shared" si="169"/>
        <v>0</v>
      </c>
      <c r="G1115" s="1444">
        <f t="shared" si="170"/>
        <v>0</v>
      </c>
      <c r="H1115" s="1476">
        <f t="shared" si="171"/>
        <v>0</v>
      </c>
      <c r="I1115" s="1444">
        <v>0</v>
      </c>
      <c r="J1115" s="1444">
        <v>0</v>
      </c>
      <c r="K1115" s="1476"/>
      <c r="L1115" s="1476"/>
      <c r="M1115" s="1476">
        <f t="shared" si="173"/>
        <v>0</v>
      </c>
      <c r="N1115" s="1476">
        <f t="shared" si="172"/>
        <v>0</v>
      </c>
    </row>
    <row r="1116" spans="1:14" ht="31" outlineLevel="1">
      <c r="A1116" s="1455">
        <f t="shared" si="176"/>
        <v>3.1</v>
      </c>
      <c r="B1116" s="1455" t="str">
        <f t="shared" si="176"/>
        <v>Design Supply errection &amp; Comissioning of Open Wagon Tippler along with stacking and reclaiming yard conveyors at CHP stack yard.</v>
      </c>
      <c r="C1116" s="1475">
        <f t="shared" si="176"/>
        <v>0</v>
      </c>
      <c r="D1116" s="1473" t="str">
        <f t="shared" si="176"/>
        <v>-</v>
      </c>
      <c r="E1116" s="1476">
        <f t="shared" si="176"/>
        <v>0</v>
      </c>
      <c r="F1116" s="1444">
        <f t="shared" si="169"/>
        <v>0</v>
      </c>
      <c r="G1116" s="1444">
        <f t="shared" si="170"/>
        <v>0</v>
      </c>
      <c r="H1116" s="1476">
        <f t="shared" si="171"/>
        <v>0</v>
      </c>
      <c r="I1116" s="1444">
        <v>0</v>
      </c>
      <c r="J1116" s="1444">
        <v>0</v>
      </c>
      <c r="K1116" s="1476"/>
      <c r="L1116" s="1476"/>
      <c r="M1116" s="1476">
        <f t="shared" si="173"/>
        <v>0</v>
      </c>
      <c r="N1116" s="1476">
        <f t="shared" si="172"/>
        <v>0</v>
      </c>
    </row>
    <row r="1117" spans="1:14" ht="15.5" outlineLevel="1">
      <c r="A1117" s="1457">
        <f t="shared" si="176"/>
        <v>0</v>
      </c>
      <c r="B1117" s="1457" t="str">
        <f t="shared" si="176"/>
        <v>FY 2029-30</v>
      </c>
      <c r="C1117" s="1475">
        <f t="shared" si="176"/>
        <v>0</v>
      </c>
      <c r="D1117" s="1473" t="str">
        <f t="shared" si="176"/>
        <v>-</v>
      </c>
      <c r="E1117" s="1476">
        <f t="shared" si="176"/>
        <v>0</v>
      </c>
      <c r="F1117" s="1444">
        <f t="shared" si="169"/>
        <v>0</v>
      </c>
      <c r="G1117" s="1444">
        <f t="shared" si="170"/>
        <v>0</v>
      </c>
      <c r="H1117" s="1476">
        <f t="shared" si="171"/>
        <v>0</v>
      </c>
      <c r="I1117" s="1444">
        <v>0</v>
      </c>
      <c r="J1117" s="1444">
        <v>0</v>
      </c>
      <c r="K1117" s="1476"/>
      <c r="L1117" s="1476"/>
      <c r="M1117" s="1476">
        <f t="shared" si="173"/>
        <v>0</v>
      </c>
      <c r="N1117" s="1476">
        <f t="shared" si="172"/>
        <v>0</v>
      </c>
    </row>
    <row r="1118" spans="1:14" ht="31" outlineLevel="1">
      <c r="A1118" s="1458">
        <f t="shared" si="176"/>
        <v>1</v>
      </c>
      <c r="B1118" s="1459" t="str">
        <f t="shared" si="176"/>
        <v>Coal Mill Performance Improvement and Life Enhancement of BHEL Make XRP-1043 Coal Mills in 2x500 MW BTPS.</v>
      </c>
      <c r="C1118" s="1475">
        <f t="shared" si="176"/>
        <v>0</v>
      </c>
      <c r="D1118" s="1473" t="str">
        <f t="shared" si="176"/>
        <v>-</v>
      </c>
      <c r="E1118" s="1476">
        <f t="shared" si="176"/>
        <v>0</v>
      </c>
      <c r="F1118" s="1444">
        <f t="shared" si="169"/>
        <v>0</v>
      </c>
      <c r="G1118" s="1444">
        <f t="shared" si="170"/>
        <v>0</v>
      </c>
      <c r="H1118" s="1476">
        <f t="shared" si="171"/>
        <v>0</v>
      </c>
      <c r="I1118" s="1444">
        <v>0</v>
      </c>
      <c r="J1118" s="1444">
        <v>0</v>
      </c>
      <c r="K1118" s="1476"/>
      <c r="L1118" s="1476"/>
      <c r="M1118" s="1476">
        <f t="shared" si="173"/>
        <v>0</v>
      </c>
      <c r="N1118" s="1476">
        <f t="shared" si="172"/>
        <v>0</v>
      </c>
    </row>
    <row r="1119" spans="1:14" ht="31" outlineLevel="1">
      <c r="A1119" s="1455">
        <f t="shared" si="176"/>
        <v>1.1000000000000001</v>
      </c>
      <c r="B1119" s="1455" t="str">
        <f t="shared" si="176"/>
        <v>Coal Mill Performance Improvement and Life Enhancement of BHEL Make XRP-1043 Coal Mills in 2x500 MW BTPS.</v>
      </c>
      <c r="C1119" s="1475">
        <f t="shared" si="176"/>
        <v>0</v>
      </c>
      <c r="D1119" s="1473" t="str">
        <f t="shared" si="176"/>
        <v>-</v>
      </c>
      <c r="E1119" s="1476">
        <f t="shared" si="176"/>
        <v>0</v>
      </c>
      <c r="F1119" s="1444">
        <f t="shared" si="169"/>
        <v>0</v>
      </c>
      <c r="G1119" s="1444">
        <f t="shared" si="170"/>
        <v>0</v>
      </c>
      <c r="H1119" s="1476">
        <f t="shared" si="171"/>
        <v>0</v>
      </c>
      <c r="I1119" s="1444">
        <v>0</v>
      </c>
      <c r="J1119" s="1444">
        <v>0</v>
      </c>
      <c r="K1119" s="1476"/>
      <c r="L1119" s="1476"/>
      <c r="M1119" s="1476">
        <f t="shared" si="173"/>
        <v>0</v>
      </c>
      <c r="N1119" s="1476">
        <f t="shared" si="172"/>
        <v>0</v>
      </c>
    </row>
    <row r="1120" spans="1:14" ht="15.5" outlineLevel="1">
      <c r="A1120" s="1458">
        <f t="shared" si="176"/>
        <v>2</v>
      </c>
      <c r="B1120" s="1459" t="str">
        <f t="shared" si="176"/>
        <v>Upgradation rail  track in CHP -BTPS</v>
      </c>
      <c r="C1120" s="1475">
        <f t="shared" si="176"/>
        <v>0</v>
      </c>
      <c r="D1120" s="1473" t="str">
        <f t="shared" si="176"/>
        <v>-</v>
      </c>
      <c r="E1120" s="1476">
        <f t="shared" si="176"/>
        <v>0</v>
      </c>
      <c r="F1120" s="1444">
        <f t="shared" si="169"/>
        <v>0</v>
      </c>
      <c r="G1120" s="1444">
        <f t="shared" si="170"/>
        <v>0</v>
      </c>
      <c r="H1120" s="1476">
        <f t="shared" si="171"/>
        <v>0</v>
      </c>
      <c r="I1120" s="1444">
        <v>0</v>
      </c>
      <c r="J1120" s="1444">
        <v>0</v>
      </c>
      <c r="K1120" s="1476"/>
      <c r="L1120" s="1476"/>
      <c r="M1120" s="1476">
        <f t="shared" si="173"/>
        <v>0</v>
      </c>
      <c r="N1120" s="1476">
        <f t="shared" si="172"/>
        <v>0</v>
      </c>
    </row>
    <row r="1121" spans="1:14" ht="15.5" outlineLevel="1">
      <c r="A1121" s="1455">
        <f t="shared" si="176"/>
        <v>2.1</v>
      </c>
      <c r="B1121" s="1455" t="str">
        <f t="shared" si="176"/>
        <v>Revamping and Upgradation of rail track from 52KG to 60KG in CHP-BTPS.</v>
      </c>
      <c r="C1121" s="1475">
        <f t="shared" si="176"/>
        <v>0</v>
      </c>
      <c r="D1121" s="1473" t="str">
        <f t="shared" si="176"/>
        <v>-</v>
      </c>
      <c r="E1121" s="1476">
        <f t="shared" si="176"/>
        <v>0</v>
      </c>
      <c r="F1121" s="1444">
        <f t="shared" si="169"/>
        <v>0</v>
      </c>
      <c r="G1121" s="1444">
        <f t="shared" si="170"/>
        <v>0</v>
      </c>
      <c r="H1121" s="1476">
        <f t="shared" si="171"/>
        <v>0</v>
      </c>
      <c r="I1121" s="1444">
        <v>0</v>
      </c>
      <c r="J1121" s="1444">
        <v>0</v>
      </c>
      <c r="K1121" s="1476"/>
      <c r="L1121" s="1476"/>
      <c r="M1121" s="1476">
        <f t="shared" si="173"/>
        <v>0</v>
      </c>
      <c r="N1121" s="1476">
        <f t="shared" si="172"/>
        <v>0</v>
      </c>
    </row>
    <row r="1122" spans="1:14" ht="15.5" outlineLevel="1">
      <c r="A1122" s="1455">
        <f t="shared" ref="A1122:E1137" si="177">A892</f>
        <v>0</v>
      </c>
      <c r="B1122" s="1455">
        <f t="shared" si="177"/>
        <v>0</v>
      </c>
      <c r="C1122" s="1475">
        <f t="shared" si="177"/>
        <v>0</v>
      </c>
      <c r="D1122" s="1473" t="str">
        <f t="shared" si="177"/>
        <v>-</v>
      </c>
      <c r="E1122" s="1476">
        <f t="shared" si="177"/>
        <v>0</v>
      </c>
      <c r="F1122" s="1444">
        <f t="shared" ref="F1122:F1154" si="178">F892+I892</f>
        <v>0</v>
      </c>
      <c r="G1122" s="1444">
        <f t="shared" ref="G1122:G1154" si="179">G892+M892</f>
        <v>0</v>
      </c>
      <c r="H1122" s="1476">
        <f t="shared" si="171"/>
        <v>0</v>
      </c>
      <c r="I1122" s="1444">
        <v>0</v>
      </c>
      <c r="J1122" s="1444">
        <v>0</v>
      </c>
      <c r="K1122" s="1476"/>
      <c r="L1122" s="1476"/>
      <c r="M1122" s="1476">
        <f t="shared" si="173"/>
        <v>0</v>
      </c>
      <c r="N1122" s="1476">
        <f t="shared" si="172"/>
        <v>0</v>
      </c>
    </row>
    <row r="1123" spans="1:14" ht="15.5" outlineLevel="1">
      <c r="A1123" s="1456">
        <f t="shared" si="177"/>
        <v>0</v>
      </c>
      <c r="B1123" s="1456" t="str">
        <f t="shared" si="177"/>
        <v>B) Non-DPR Schemes</v>
      </c>
      <c r="C1123" s="1475">
        <f t="shared" si="177"/>
        <v>0</v>
      </c>
      <c r="D1123" s="1473" t="str">
        <f t="shared" si="177"/>
        <v>-</v>
      </c>
      <c r="E1123" s="1476">
        <f t="shared" si="177"/>
        <v>0</v>
      </c>
      <c r="F1123" s="1444">
        <f t="shared" si="178"/>
        <v>0</v>
      </c>
      <c r="G1123" s="1444">
        <f t="shared" si="179"/>
        <v>0</v>
      </c>
      <c r="H1123" s="1476">
        <f t="shared" si="171"/>
        <v>0</v>
      </c>
      <c r="I1123" s="1444">
        <v>0</v>
      </c>
      <c r="J1123" s="1444">
        <v>0</v>
      </c>
      <c r="K1123" s="1476"/>
      <c r="L1123" s="1476"/>
      <c r="M1123" s="1476">
        <f t="shared" si="173"/>
        <v>0</v>
      </c>
      <c r="N1123" s="1476">
        <f t="shared" si="172"/>
        <v>0</v>
      </c>
    </row>
    <row r="1124" spans="1:14" ht="15.5" outlineLevel="1">
      <c r="A1124" s="1454">
        <f t="shared" si="177"/>
        <v>1</v>
      </c>
      <c r="B1124" s="1454" t="str">
        <f t="shared" si="177"/>
        <v>Contract for modification of Wobbler feeder in CHP-2X500MW</v>
      </c>
      <c r="C1124" s="1475">
        <f t="shared" si="177"/>
        <v>0</v>
      </c>
      <c r="D1124" s="1473" t="str">
        <f t="shared" si="177"/>
        <v>-</v>
      </c>
      <c r="E1124" s="1476">
        <f t="shared" si="177"/>
        <v>0</v>
      </c>
      <c r="F1124" s="1444">
        <f t="shared" si="178"/>
        <v>1.473342572</v>
      </c>
      <c r="G1124" s="1444">
        <f t="shared" si="179"/>
        <v>1.473342572</v>
      </c>
      <c r="H1124" s="1476">
        <f t="shared" si="171"/>
        <v>0</v>
      </c>
      <c r="I1124" s="1444">
        <v>0</v>
      </c>
      <c r="J1124" s="1444">
        <v>0</v>
      </c>
      <c r="K1124" s="1476"/>
      <c r="L1124" s="1476"/>
      <c r="M1124" s="1476">
        <f t="shared" si="173"/>
        <v>0</v>
      </c>
      <c r="N1124" s="1476">
        <f t="shared" si="172"/>
        <v>0</v>
      </c>
    </row>
    <row r="1125" spans="1:14" ht="15.5" outlineLevel="1">
      <c r="A1125" s="1454">
        <f t="shared" si="177"/>
        <v>2</v>
      </c>
      <c r="B1125" s="1454" t="str">
        <f t="shared" si="177"/>
        <v>Contract for Revamping of Apron Feeder in CHP-2X500MW</v>
      </c>
      <c r="C1125" s="1475">
        <f t="shared" si="177"/>
        <v>0</v>
      </c>
      <c r="D1125" s="1473" t="str">
        <f t="shared" si="177"/>
        <v>-</v>
      </c>
      <c r="E1125" s="1476">
        <f t="shared" si="177"/>
        <v>0</v>
      </c>
      <c r="F1125" s="1444">
        <f t="shared" si="178"/>
        <v>2.3246000000000002</v>
      </c>
      <c r="G1125" s="1444">
        <f t="shared" si="179"/>
        <v>2.3246000000000002</v>
      </c>
      <c r="H1125" s="1476">
        <f t="shared" si="171"/>
        <v>0</v>
      </c>
      <c r="I1125" s="1444">
        <v>0</v>
      </c>
      <c r="J1125" s="1444">
        <v>0</v>
      </c>
      <c r="K1125" s="1476"/>
      <c r="L1125" s="1476"/>
      <c r="M1125" s="1476">
        <f t="shared" si="173"/>
        <v>0</v>
      </c>
      <c r="N1125" s="1476">
        <f t="shared" si="172"/>
        <v>0</v>
      </c>
    </row>
    <row r="1126" spans="1:14" ht="31" outlineLevel="1">
      <c r="A1126" s="1454">
        <f t="shared" si="177"/>
        <v>3</v>
      </c>
      <c r="B1126" s="1454" t="str">
        <f t="shared" si="177"/>
        <v> Procurement of double lip skirt sealing &amp; tracking idler in CHP at 2x500MW, BTPS</v>
      </c>
      <c r="C1126" s="1475">
        <f t="shared" si="177"/>
        <v>0</v>
      </c>
      <c r="D1126" s="1473" t="str">
        <f t="shared" si="177"/>
        <v>-</v>
      </c>
      <c r="E1126" s="1476">
        <f t="shared" si="177"/>
        <v>0</v>
      </c>
      <c r="F1126" s="1444">
        <f t="shared" si="178"/>
        <v>0.57024680000000005</v>
      </c>
      <c r="G1126" s="1444">
        <f t="shared" si="179"/>
        <v>0.57024680000000005</v>
      </c>
      <c r="H1126" s="1476">
        <f t="shared" si="171"/>
        <v>0</v>
      </c>
      <c r="I1126" s="1444">
        <v>0</v>
      </c>
      <c r="J1126" s="1444">
        <v>0</v>
      </c>
      <c r="K1126" s="1476"/>
      <c r="L1126" s="1476"/>
      <c r="M1126" s="1476">
        <f t="shared" si="173"/>
        <v>0</v>
      </c>
      <c r="N1126" s="1476">
        <f t="shared" si="172"/>
        <v>0</v>
      </c>
    </row>
    <row r="1127" spans="1:14" ht="15.5" outlineLevel="1">
      <c r="A1127" s="1454">
        <f t="shared" si="177"/>
        <v>4</v>
      </c>
      <c r="B1127" s="1454" t="str">
        <f t="shared" si="177"/>
        <v>Supply, erection &amp; commissioning of vibrating feeder in CHP at 2x500MW, BTPS</v>
      </c>
      <c r="C1127" s="1475">
        <f t="shared" si="177"/>
        <v>0</v>
      </c>
      <c r="D1127" s="1473" t="str">
        <f t="shared" si="177"/>
        <v>-</v>
      </c>
      <c r="E1127" s="1476">
        <f t="shared" si="177"/>
        <v>0</v>
      </c>
      <c r="F1127" s="1444">
        <f t="shared" si="178"/>
        <v>0.57796400000000003</v>
      </c>
      <c r="G1127" s="1444">
        <f t="shared" si="179"/>
        <v>0.57796400000000003</v>
      </c>
      <c r="H1127" s="1476">
        <f t="shared" si="171"/>
        <v>0</v>
      </c>
      <c r="I1127" s="1444">
        <v>0</v>
      </c>
      <c r="J1127" s="1444">
        <v>0</v>
      </c>
      <c r="K1127" s="1476"/>
      <c r="L1127" s="1476"/>
      <c r="M1127" s="1476">
        <f t="shared" si="173"/>
        <v>0</v>
      </c>
      <c r="N1127" s="1476">
        <f t="shared" si="172"/>
        <v>0</v>
      </c>
    </row>
    <row r="1128" spans="1:14" ht="15.5" outlineLevel="1">
      <c r="A1128" s="1454">
        <f t="shared" si="177"/>
        <v>5</v>
      </c>
      <c r="B1128" s="1454" t="str">
        <f t="shared" si="177"/>
        <v xml:space="preserve"> Coal chutes with extra life wear resistance plates in CHP at 2X500MW</v>
      </c>
      <c r="C1128" s="1475">
        <f t="shared" si="177"/>
        <v>0</v>
      </c>
      <c r="D1128" s="1473" t="str">
        <f t="shared" si="177"/>
        <v>-</v>
      </c>
      <c r="E1128" s="1476">
        <f t="shared" si="177"/>
        <v>0</v>
      </c>
      <c r="F1128" s="1444">
        <f t="shared" si="178"/>
        <v>2.0319305000000001</v>
      </c>
      <c r="G1128" s="1444">
        <f t="shared" si="179"/>
        <v>2.0319305000000001</v>
      </c>
      <c r="H1128" s="1476">
        <f t="shared" si="171"/>
        <v>0</v>
      </c>
      <c r="I1128" s="1444">
        <v>0</v>
      </c>
      <c r="J1128" s="1444">
        <v>0</v>
      </c>
      <c r="K1128" s="1476"/>
      <c r="L1128" s="1476"/>
      <c r="M1128" s="1476">
        <f t="shared" si="173"/>
        <v>0</v>
      </c>
      <c r="N1128" s="1476">
        <f t="shared" si="172"/>
        <v>0</v>
      </c>
    </row>
    <row r="1129" spans="1:14" ht="31" outlineLevel="1">
      <c r="A1129" s="1454">
        <f t="shared" si="177"/>
        <v>6</v>
      </c>
      <c r="B1129" s="1454" t="str">
        <f t="shared" si="177"/>
        <v xml:space="preserve">Epoxy Painting upto all height to structural steel work in main plant boiler side area and CHP area </v>
      </c>
      <c r="C1129" s="1475">
        <f t="shared" si="177"/>
        <v>0</v>
      </c>
      <c r="D1129" s="1473" t="str">
        <f t="shared" si="177"/>
        <v>-</v>
      </c>
      <c r="E1129" s="1476">
        <f t="shared" si="177"/>
        <v>0</v>
      </c>
      <c r="F1129" s="1444">
        <f t="shared" si="178"/>
        <v>5.8625346629999999</v>
      </c>
      <c r="G1129" s="1444">
        <f t="shared" si="179"/>
        <v>5.8625346629999999</v>
      </c>
      <c r="H1129" s="1476">
        <f t="shared" si="171"/>
        <v>0</v>
      </c>
      <c r="I1129" s="1444">
        <v>0</v>
      </c>
      <c r="J1129" s="1444">
        <v>0</v>
      </c>
      <c r="K1129" s="1476"/>
      <c r="L1129" s="1476"/>
      <c r="M1129" s="1476">
        <f t="shared" si="173"/>
        <v>0</v>
      </c>
      <c r="N1129" s="1476">
        <f t="shared" si="172"/>
        <v>0</v>
      </c>
    </row>
    <row r="1130" spans="1:14" ht="15.5" outlineLevel="1">
      <c r="A1130" s="1454">
        <f t="shared" si="177"/>
        <v>7</v>
      </c>
      <c r="B1130" s="1454" t="str">
        <f t="shared" si="177"/>
        <v xml:space="preserve"> Rectification of Belt feeder &amp; Gravity Take-up  in CHP-2X500MW.</v>
      </c>
      <c r="C1130" s="1475">
        <f t="shared" si="177"/>
        <v>0</v>
      </c>
      <c r="D1130" s="1473" t="str">
        <f t="shared" si="177"/>
        <v>-</v>
      </c>
      <c r="E1130" s="1476">
        <f t="shared" si="177"/>
        <v>0</v>
      </c>
      <c r="F1130" s="1444">
        <f t="shared" si="178"/>
        <v>1.6478699999999999</v>
      </c>
      <c r="G1130" s="1444">
        <f t="shared" si="179"/>
        <v>1.6478699999999999</v>
      </c>
      <c r="H1130" s="1476">
        <f t="shared" si="171"/>
        <v>0</v>
      </c>
      <c r="I1130" s="1444">
        <v>0</v>
      </c>
      <c r="J1130" s="1444">
        <v>0</v>
      </c>
      <c r="K1130" s="1476"/>
      <c r="L1130" s="1476"/>
      <c r="M1130" s="1476">
        <f t="shared" si="173"/>
        <v>0</v>
      </c>
      <c r="N1130" s="1476">
        <f t="shared" si="172"/>
        <v>0</v>
      </c>
    </row>
    <row r="1131" spans="1:14" ht="15.5" outlineLevel="1">
      <c r="A1131" s="1454">
        <f t="shared" si="177"/>
        <v>8</v>
      </c>
      <c r="B1131" s="1454" t="str">
        <f t="shared" si="177"/>
        <v>Coal diverting chutes in CHP at 2X500MW.</v>
      </c>
      <c r="C1131" s="1475">
        <f t="shared" si="177"/>
        <v>0</v>
      </c>
      <c r="D1131" s="1473" t="str">
        <f t="shared" si="177"/>
        <v>-</v>
      </c>
      <c r="E1131" s="1476">
        <f t="shared" si="177"/>
        <v>0</v>
      </c>
      <c r="F1131" s="1444">
        <f t="shared" si="178"/>
        <v>2.218399056</v>
      </c>
      <c r="G1131" s="1444">
        <f t="shared" si="179"/>
        <v>2.218399056</v>
      </c>
      <c r="H1131" s="1476">
        <f t="shared" si="171"/>
        <v>0</v>
      </c>
      <c r="I1131" s="1444">
        <v>0</v>
      </c>
      <c r="J1131" s="1444">
        <v>0</v>
      </c>
      <c r="K1131" s="1476"/>
      <c r="L1131" s="1476"/>
      <c r="M1131" s="1476">
        <f t="shared" si="173"/>
        <v>0</v>
      </c>
      <c r="N1131" s="1476">
        <f t="shared" si="172"/>
        <v>0</v>
      </c>
    </row>
    <row r="1132" spans="1:14" ht="31" outlineLevel="1">
      <c r="A1132" s="1454">
        <f t="shared" si="177"/>
        <v>9</v>
      </c>
      <c r="B1132" s="1454" t="str">
        <f t="shared" si="177"/>
        <v>Supply of Conveyor Pulleys with Ceramic lagging at CHP-2X500MW, BTPS, Bhusawal</v>
      </c>
      <c r="C1132" s="1475">
        <f t="shared" si="177"/>
        <v>0</v>
      </c>
      <c r="D1132" s="1473" t="str">
        <f t="shared" si="177"/>
        <v>-</v>
      </c>
      <c r="E1132" s="1476">
        <f t="shared" si="177"/>
        <v>0</v>
      </c>
      <c r="F1132" s="1444">
        <f t="shared" si="178"/>
        <v>0.58051280000000005</v>
      </c>
      <c r="G1132" s="1444">
        <f t="shared" si="179"/>
        <v>0.58051280000000005</v>
      </c>
      <c r="H1132" s="1476">
        <f t="shared" si="171"/>
        <v>0</v>
      </c>
      <c r="I1132" s="1444">
        <v>0</v>
      </c>
      <c r="J1132" s="1444">
        <v>0</v>
      </c>
      <c r="K1132" s="1476"/>
      <c r="L1132" s="1476"/>
      <c r="M1132" s="1476">
        <f t="shared" si="173"/>
        <v>0</v>
      </c>
      <c r="N1132" s="1476">
        <f t="shared" si="172"/>
        <v>0</v>
      </c>
    </row>
    <row r="1133" spans="1:14" ht="31" outlineLevel="1">
      <c r="A1133" s="1454">
        <f t="shared" si="177"/>
        <v>10</v>
      </c>
      <c r="B1133" s="1454" t="str">
        <f t="shared" si="177"/>
        <v xml:space="preserve">Non-DPR Project Report for  Design, Supply,Erection &amp; Commissioning of High Performance Energy Chain System for Side Arm Charger at 2x500 at CHP </v>
      </c>
      <c r="C1133" s="1475">
        <f t="shared" si="177"/>
        <v>0</v>
      </c>
      <c r="D1133" s="1473" t="str">
        <f t="shared" si="177"/>
        <v>-</v>
      </c>
      <c r="E1133" s="1476">
        <f t="shared" si="177"/>
        <v>0</v>
      </c>
      <c r="F1133" s="1444">
        <f t="shared" si="178"/>
        <v>1.50150162</v>
      </c>
      <c r="G1133" s="1444">
        <f t="shared" si="179"/>
        <v>1.50150162</v>
      </c>
      <c r="H1133" s="1476">
        <f t="shared" si="171"/>
        <v>0</v>
      </c>
      <c r="I1133" s="1444">
        <v>0</v>
      </c>
      <c r="J1133" s="1444">
        <v>0</v>
      </c>
      <c r="K1133" s="1476"/>
      <c r="L1133" s="1476"/>
      <c r="M1133" s="1476">
        <f t="shared" ref="M1133:M1154" si="180">SUM(J1133:L1133)</f>
        <v>0</v>
      </c>
      <c r="N1133" s="1476">
        <f t="shared" si="172"/>
        <v>0</v>
      </c>
    </row>
    <row r="1134" spans="1:14" ht="31" outlineLevel="1">
      <c r="A1134" s="1454">
        <f t="shared" si="177"/>
        <v>11</v>
      </c>
      <c r="B1134" s="1454" t="str">
        <f t="shared" si="177"/>
        <v>Implementation of Energy Conservation Demonstration Project in buildings of BTPS 2x500MW</v>
      </c>
      <c r="C1134" s="1475">
        <f t="shared" si="177"/>
        <v>0</v>
      </c>
      <c r="D1134" s="1473" t="str">
        <f t="shared" si="177"/>
        <v>-</v>
      </c>
      <c r="E1134" s="1476">
        <f t="shared" si="177"/>
        <v>0</v>
      </c>
      <c r="F1134" s="1444">
        <f t="shared" si="178"/>
        <v>0</v>
      </c>
      <c r="G1134" s="1444">
        <f t="shared" si="179"/>
        <v>0</v>
      </c>
      <c r="H1134" s="1476">
        <f t="shared" si="171"/>
        <v>0</v>
      </c>
      <c r="I1134" s="1444">
        <v>0</v>
      </c>
      <c r="J1134" s="1444">
        <v>0</v>
      </c>
      <c r="K1134" s="1476"/>
      <c r="L1134" s="1476"/>
      <c r="M1134" s="1476">
        <f t="shared" si="180"/>
        <v>0</v>
      </c>
      <c r="N1134" s="1476">
        <f t="shared" si="172"/>
        <v>0</v>
      </c>
    </row>
    <row r="1135" spans="1:14" ht="15.5" outlineLevel="1">
      <c r="A1135" s="1454">
        <f t="shared" si="177"/>
        <v>12</v>
      </c>
      <c r="B1135" s="1454" t="str">
        <f t="shared" si="177"/>
        <v>Installation of Fire &amp; Explosion Prevention system at Bhusawal 500MW Unit-4.</v>
      </c>
      <c r="C1135" s="1475">
        <f t="shared" si="177"/>
        <v>0</v>
      </c>
      <c r="D1135" s="1473" t="str">
        <f t="shared" si="177"/>
        <v>-</v>
      </c>
      <c r="E1135" s="1476">
        <f t="shared" si="177"/>
        <v>0</v>
      </c>
      <c r="F1135" s="1444">
        <f t="shared" si="178"/>
        <v>2.4539</v>
      </c>
      <c r="G1135" s="1444">
        <f t="shared" si="179"/>
        <v>2.4539</v>
      </c>
      <c r="H1135" s="1476">
        <f t="shared" si="171"/>
        <v>0</v>
      </c>
      <c r="I1135" s="1444">
        <v>0</v>
      </c>
      <c r="J1135" s="1444">
        <v>0</v>
      </c>
      <c r="K1135" s="1476"/>
      <c r="L1135" s="1476"/>
      <c r="M1135" s="1476">
        <f t="shared" si="180"/>
        <v>0</v>
      </c>
      <c r="N1135" s="1476">
        <f t="shared" si="172"/>
        <v>0</v>
      </c>
    </row>
    <row r="1136" spans="1:14" ht="15.5" outlineLevel="1">
      <c r="A1136" s="1454">
        <f t="shared" si="177"/>
        <v>13</v>
      </c>
      <c r="B1136" s="1454" t="str">
        <f t="shared" si="177"/>
        <v>Fixtures &amp; Fitting (10801)</v>
      </c>
      <c r="C1136" s="1475">
        <f t="shared" si="177"/>
        <v>0</v>
      </c>
      <c r="D1136" s="1473" t="str">
        <f t="shared" si="177"/>
        <v>-</v>
      </c>
      <c r="E1136" s="1476">
        <f t="shared" si="177"/>
        <v>0</v>
      </c>
      <c r="F1136" s="1444">
        <f t="shared" si="178"/>
        <v>0.21333523199999999</v>
      </c>
      <c r="G1136" s="1444">
        <f t="shared" si="179"/>
        <v>0.21333523199999999</v>
      </c>
      <c r="H1136" s="1476">
        <f t="shared" si="171"/>
        <v>0</v>
      </c>
      <c r="I1136" s="1444">
        <v>0</v>
      </c>
      <c r="J1136" s="1444">
        <v>0</v>
      </c>
      <c r="K1136" s="1476"/>
      <c r="L1136" s="1476"/>
      <c r="M1136" s="1476">
        <f t="shared" si="180"/>
        <v>0</v>
      </c>
      <c r="N1136" s="1476">
        <f t="shared" si="172"/>
        <v>0</v>
      </c>
    </row>
    <row r="1137" spans="1:14" ht="15.5" outlineLevel="1">
      <c r="A1137" s="1454">
        <f t="shared" si="177"/>
        <v>14</v>
      </c>
      <c r="B1137" s="1454" t="str">
        <f t="shared" si="177"/>
        <v>Office equpment (10901)</v>
      </c>
      <c r="C1137" s="1475">
        <f t="shared" si="177"/>
        <v>0</v>
      </c>
      <c r="D1137" s="1473" t="str">
        <f t="shared" si="177"/>
        <v>-</v>
      </c>
      <c r="E1137" s="1476">
        <f t="shared" si="177"/>
        <v>0</v>
      </c>
      <c r="F1137" s="1444">
        <f t="shared" si="178"/>
        <v>0.22996406</v>
      </c>
      <c r="G1137" s="1444">
        <f t="shared" si="179"/>
        <v>0.22996406</v>
      </c>
      <c r="H1137" s="1476">
        <f t="shared" si="171"/>
        <v>0</v>
      </c>
      <c r="I1137" s="1444">
        <v>0</v>
      </c>
      <c r="J1137" s="1444">
        <v>0</v>
      </c>
      <c r="K1137" s="1476"/>
      <c r="L1137" s="1476"/>
      <c r="M1137" s="1476">
        <f t="shared" si="180"/>
        <v>0</v>
      </c>
      <c r="N1137" s="1476">
        <f t="shared" si="172"/>
        <v>0</v>
      </c>
    </row>
    <row r="1138" spans="1:14" ht="15.5" outlineLevel="1">
      <c r="A1138" s="1454">
        <f t="shared" ref="A1138:E1153" si="181">A908</f>
        <v>15</v>
      </c>
      <c r="B1138" s="1454" t="str">
        <f t="shared" si="181"/>
        <v>150 W &amp; 40 W LED FIXTURES AT TG HOUSE BUILDING 2X500MW</v>
      </c>
      <c r="C1138" s="1475">
        <f t="shared" si="181"/>
        <v>0</v>
      </c>
      <c r="D1138" s="1473" t="str">
        <f t="shared" si="181"/>
        <v>-</v>
      </c>
      <c r="E1138" s="1476">
        <f t="shared" si="181"/>
        <v>0</v>
      </c>
      <c r="F1138" s="1444">
        <f t="shared" si="178"/>
        <v>0.5280705</v>
      </c>
      <c r="G1138" s="1444">
        <f t="shared" si="179"/>
        <v>0.2780705</v>
      </c>
      <c r="H1138" s="1476">
        <f t="shared" si="171"/>
        <v>0.25</v>
      </c>
      <c r="I1138" s="1444">
        <v>0</v>
      </c>
      <c r="J1138" s="1444">
        <v>0</v>
      </c>
      <c r="K1138" s="1476"/>
      <c r="L1138" s="1476"/>
      <c r="M1138" s="1476">
        <f t="shared" si="180"/>
        <v>0</v>
      </c>
      <c r="N1138" s="1476">
        <f t="shared" si="172"/>
        <v>0.25</v>
      </c>
    </row>
    <row r="1139" spans="1:14" ht="15.5" outlineLevel="1">
      <c r="A1139" s="1454">
        <f t="shared" si="181"/>
        <v>16</v>
      </c>
      <c r="B1139" s="1454" t="str">
        <f t="shared" si="181"/>
        <v>JUMBO DEESERT AIR COOLERS FOR POWER TRANSFORERS</v>
      </c>
      <c r="C1139" s="1475">
        <f t="shared" si="181"/>
        <v>0</v>
      </c>
      <c r="D1139" s="1473" t="str">
        <f t="shared" si="181"/>
        <v>-</v>
      </c>
      <c r="E1139" s="1476">
        <f t="shared" si="181"/>
        <v>0</v>
      </c>
      <c r="F1139" s="1444">
        <f t="shared" si="178"/>
        <v>0.1014328</v>
      </c>
      <c r="G1139" s="1444">
        <f t="shared" si="179"/>
        <v>0.1014328</v>
      </c>
      <c r="H1139" s="1476">
        <f t="shared" si="171"/>
        <v>0</v>
      </c>
      <c r="I1139" s="1444">
        <v>0</v>
      </c>
      <c r="J1139" s="1444">
        <v>0</v>
      </c>
      <c r="K1139" s="1476"/>
      <c r="L1139" s="1476"/>
      <c r="M1139" s="1476">
        <f t="shared" si="180"/>
        <v>0</v>
      </c>
      <c r="N1139" s="1476">
        <f t="shared" si="172"/>
        <v>0</v>
      </c>
    </row>
    <row r="1140" spans="1:14" ht="15.5" outlineLevel="1">
      <c r="A1140" s="1454">
        <f t="shared" si="181"/>
        <v>17</v>
      </c>
      <c r="B1140" s="1454" t="str">
        <f t="shared" si="181"/>
        <v>GEN ASSET (ALMIRAH,TABLE &amp; CHAIR) (10801)</v>
      </c>
      <c r="C1140" s="1475">
        <f t="shared" si="181"/>
        <v>0</v>
      </c>
      <c r="D1140" s="1473" t="str">
        <f t="shared" si="181"/>
        <v>-</v>
      </c>
      <c r="E1140" s="1476">
        <f t="shared" si="181"/>
        <v>0</v>
      </c>
      <c r="F1140" s="1444">
        <f t="shared" si="178"/>
        <v>0.23453750000000001</v>
      </c>
      <c r="G1140" s="1444">
        <f t="shared" si="179"/>
        <v>0.23453750000000001</v>
      </c>
      <c r="H1140" s="1476">
        <f t="shared" si="171"/>
        <v>0</v>
      </c>
      <c r="I1140" s="1444">
        <v>0</v>
      </c>
      <c r="J1140" s="1444">
        <v>0</v>
      </c>
      <c r="K1140" s="1476"/>
      <c r="L1140" s="1476"/>
      <c r="M1140" s="1476">
        <f t="shared" si="180"/>
        <v>0</v>
      </c>
      <c r="N1140" s="1476">
        <f t="shared" si="172"/>
        <v>0</v>
      </c>
    </row>
    <row r="1141" spans="1:14" ht="15.5" outlineLevel="1">
      <c r="A1141" s="1454">
        <f t="shared" si="181"/>
        <v>18</v>
      </c>
      <c r="B1141" s="1454" t="str">
        <f t="shared" si="181"/>
        <v>LAPTOP, 50 INCH TV,PRINTER,PROJECTOR,DESKTOP,UPS &amp; ETS. (10901)</v>
      </c>
      <c r="C1141" s="1475">
        <f t="shared" si="181"/>
        <v>0</v>
      </c>
      <c r="D1141" s="1473" t="str">
        <f t="shared" si="181"/>
        <v>-</v>
      </c>
      <c r="E1141" s="1476">
        <f t="shared" si="181"/>
        <v>0</v>
      </c>
      <c r="F1141" s="1444">
        <f t="shared" si="178"/>
        <v>0.55035469999999997</v>
      </c>
      <c r="G1141" s="1444">
        <f t="shared" si="179"/>
        <v>0.55035469999999997</v>
      </c>
      <c r="H1141" s="1476">
        <f t="shared" si="171"/>
        <v>0</v>
      </c>
      <c r="I1141" s="1444">
        <v>0</v>
      </c>
      <c r="J1141" s="1444">
        <v>0</v>
      </c>
      <c r="K1141" s="1476"/>
      <c r="L1141" s="1476"/>
      <c r="M1141" s="1476">
        <f t="shared" si="180"/>
        <v>0</v>
      </c>
      <c r="N1141" s="1476">
        <f t="shared" si="172"/>
        <v>0</v>
      </c>
    </row>
    <row r="1142" spans="1:14" ht="15.5" outlineLevel="1">
      <c r="A1142" s="1454">
        <f t="shared" si="181"/>
        <v>19</v>
      </c>
      <c r="B1142" s="1454" t="str">
        <f t="shared" si="181"/>
        <v>RESTAURANT EQUIP COMPOSTING MACHINE</v>
      </c>
      <c r="C1142" s="1475">
        <f t="shared" si="181"/>
        <v>0</v>
      </c>
      <c r="D1142" s="1473" t="str">
        <f t="shared" si="181"/>
        <v>-</v>
      </c>
      <c r="E1142" s="1476">
        <f t="shared" si="181"/>
        <v>0</v>
      </c>
      <c r="F1142" s="1444">
        <f t="shared" si="178"/>
        <v>5.0490047999999996E-2</v>
      </c>
      <c r="G1142" s="1444">
        <f t="shared" si="179"/>
        <v>5.0490047999999996E-2</v>
      </c>
      <c r="H1142" s="1476">
        <f t="shared" ref="H1142:H1154" si="182">F1142-G1142</f>
        <v>0</v>
      </c>
      <c r="I1142" s="1444">
        <v>0</v>
      </c>
      <c r="J1142" s="1444">
        <v>0</v>
      </c>
      <c r="K1142" s="1476"/>
      <c r="L1142" s="1476"/>
      <c r="M1142" s="1476">
        <f t="shared" si="180"/>
        <v>0</v>
      </c>
      <c r="N1142" s="1476"/>
    </row>
    <row r="1143" spans="1:14" ht="15.5" outlineLevel="1">
      <c r="A1143" s="1454">
        <f t="shared" si="181"/>
        <v>20</v>
      </c>
      <c r="B1143" s="1454" t="str">
        <f t="shared" si="181"/>
        <v>OFFICE TABLE,STORGE RACK,FAN</v>
      </c>
      <c r="C1143" s="1475">
        <f t="shared" si="181"/>
        <v>0</v>
      </c>
      <c r="D1143" s="1473" t="str">
        <f t="shared" si="181"/>
        <v>-</v>
      </c>
      <c r="E1143" s="1476">
        <f t="shared" si="181"/>
        <v>0</v>
      </c>
      <c r="F1143" s="1444">
        <f t="shared" si="178"/>
        <v>0.57868969999999997</v>
      </c>
      <c r="G1143" s="1444">
        <f t="shared" si="179"/>
        <v>0.57868969999999997</v>
      </c>
      <c r="H1143" s="1476">
        <f t="shared" si="182"/>
        <v>0</v>
      </c>
      <c r="I1143" s="1444">
        <v>0</v>
      </c>
      <c r="J1143" s="1444">
        <v>0</v>
      </c>
      <c r="K1143" s="1476"/>
      <c r="L1143" s="1476"/>
      <c r="M1143" s="1476">
        <f t="shared" si="180"/>
        <v>0</v>
      </c>
      <c r="N1143" s="1476"/>
    </row>
    <row r="1144" spans="1:14" ht="15.5" outlineLevel="1">
      <c r="A1144" s="1454">
        <f t="shared" si="181"/>
        <v>21</v>
      </c>
      <c r="B1144" s="1454" t="str">
        <f t="shared" si="181"/>
        <v>CAMERAS</v>
      </c>
      <c r="C1144" s="1475">
        <f t="shared" si="181"/>
        <v>0</v>
      </c>
      <c r="D1144" s="1473" t="str">
        <f t="shared" si="181"/>
        <v>-</v>
      </c>
      <c r="E1144" s="1476">
        <f t="shared" si="181"/>
        <v>0</v>
      </c>
      <c r="F1144" s="1444">
        <f t="shared" si="178"/>
        <v>3.8467899999999999E-2</v>
      </c>
      <c r="G1144" s="1444">
        <f t="shared" si="179"/>
        <v>3.8467899999999999E-2</v>
      </c>
      <c r="H1144" s="1476">
        <f t="shared" si="182"/>
        <v>0</v>
      </c>
      <c r="I1144" s="1444">
        <v>0</v>
      </c>
      <c r="J1144" s="1444">
        <v>0</v>
      </c>
      <c r="K1144" s="1476"/>
      <c r="L1144" s="1476"/>
      <c r="M1144" s="1476">
        <f t="shared" si="180"/>
        <v>0</v>
      </c>
      <c r="N1144" s="1476"/>
    </row>
    <row r="1145" spans="1:14" ht="15.5" outlineLevel="1">
      <c r="A1145" s="1454">
        <f t="shared" si="181"/>
        <v>22</v>
      </c>
      <c r="B1145" s="1454" t="str">
        <f t="shared" si="181"/>
        <v>VELHALA ASH BUND RD WORK</v>
      </c>
      <c r="C1145" s="1475">
        <f t="shared" si="181"/>
        <v>0</v>
      </c>
      <c r="D1145" s="1473" t="str">
        <f t="shared" si="181"/>
        <v>-</v>
      </c>
      <c r="E1145" s="1476">
        <f t="shared" si="181"/>
        <v>0</v>
      </c>
      <c r="F1145" s="1444">
        <f t="shared" si="178"/>
        <v>2.4644665859999999</v>
      </c>
      <c r="G1145" s="1444">
        <f t="shared" si="179"/>
        <v>2.4644665859999999</v>
      </c>
      <c r="H1145" s="1476">
        <f t="shared" si="182"/>
        <v>0</v>
      </c>
      <c r="I1145" s="1444">
        <v>0</v>
      </c>
      <c r="J1145" s="1444">
        <v>0</v>
      </c>
      <c r="K1145" s="1476"/>
      <c r="L1145" s="1476"/>
      <c r="M1145" s="1476">
        <f t="shared" si="180"/>
        <v>0</v>
      </c>
      <c r="N1145" s="1476"/>
    </row>
    <row r="1146" spans="1:14" ht="15.5" outlineLevel="1">
      <c r="A1146" s="1454">
        <f t="shared" si="181"/>
        <v>23</v>
      </c>
      <c r="B1146" s="1454" t="str">
        <f t="shared" si="181"/>
        <v>CONCERETE ROAD FROM DIESEL PUMP TO 500MW FACTORY G</v>
      </c>
      <c r="C1146" s="1475">
        <f t="shared" si="181"/>
        <v>0</v>
      </c>
      <c r="D1146" s="1473" t="str">
        <f t="shared" si="181"/>
        <v>-</v>
      </c>
      <c r="E1146" s="1476">
        <f t="shared" si="181"/>
        <v>0</v>
      </c>
      <c r="F1146" s="1444">
        <f t="shared" si="178"/>
        <v>0.98448907899999993</v>
      </c>
      <c r="G1146" s="1444">
        <f t="shared" si="179"/>
        <v>0.98448907899999993</v>
      </c>
      <c r="H1146" s="1476">
        <f t="shared" si="182"/>
        <v>0</v>
      </c>
      <c r="I1146" s="1444">
        <v>0</v>
      </c>
      <c r="J1146" s="1444">
        <v>0</v>
      </c>
      <c r="K1146" s="1476"/>
      <c r="L1146" s="1476"/>
      <c r="M1146" s="1476">
        <f t="shared" si="180"/>
        <v>0</v>
      </c>
      <c r="N1146" s="1476"/>
    </row>
    <row r="1147" spans="1:14" ht="15.5" outlineLevel="1">
      <c r="A1147" s="1454">
        <f t="shared" si="181"/>
        <v>24</v>
      </c>
      <c r="B1147" s="1454" t="str">
        <f t="shared" si="181"/>
        <v>Admin Building</v>
      </c>
      <c r="C1147" s="1475">
        <f t="shared" si="181"/>
        <v>0</v>
      </c>
      <c r="D1147" s="1473" t="str">
        <f t="shared" si="181"/>
        <v>-</v>
      </c>
      <c r="E1147" s="1476">
        <f t="shared" si="181"/>
        <v>0</v>
      </c>
      <c r="F1147" s="1444">
        <f t="shared" si="178"/>
        <v>5.1749999999999997E-2</v>
      </c>
      <c r="G1147" s="1444">
        <f t="shared" si="179"/>
        <v>0</v>
      </c>
      <c r="H1147" s="1476">
        <f t="shared" si="182"/>
        <v>5.1749999999999997E-2</v>
      </c>
      <c r="I1147" s="1444">
        <v>0</v>
      </c>
      <c r="J1147" s="1444">
        <v>0</v>
      </c>
      <c r="K1147" s="1476"/>
      <c r="L1147" s="1476"/>
      <c r="M1147" s="1476">
        <f t="shared" si="180"/>
        <v>0</v>
      </c>
      <c r="N1147" s="1476"/>
    </row>
    <row r="1148" spans="1:14" ht="15.5" outlineLevel="1">
      <c r="A1148" s="1455">
        <f t="shared" si="181"/>
        <v>25</v>
      </c>
      <c r="B1148" s="1455" t="str">
        <f t="shared" si="181"/>
        <v>Furniture &amp; Fixture</v>
      </c>
      <c r="C1148" s="1475">
        <f t="shared" si="181"/>
        <v>0</v>
      </c>
      <c r="D1148" s="1473" t="str">
        <f t="shared" si="181"/>
        <v>-</v>
      </c>
      <c r="E1148" s="1476">
        <f t="shared" si="181"/>
        <v>0</v>
      </c>
      <c r="F1148" s="1444">
        <f t="shared" si="178"/>
        <v>0.13712089999999999</v>
      </c>
      <c r="G1148" s="1444">
        <f t="shared" si="179"/>
        <v>0.13712089999999999</v>
      </c>
      <c r="H1148" s="1476">
        <f t="shared" si="182"/>
        <v>0</v>
      </c>
      <c r="I1148" s="1444">
        <v>0</v>
      </c>
      <c r="J1148" s="1444">
        <v>0</v>
      </c>
      <c r="K1148" s="1476"/>
      <c r="L1148" s="1476"/>
      <c r="M1148" s="1476">
        <f t="shared" si="180"/>
        <v>0</v>
      </c>
      <c r="N1148" s="1476"/>
    </row>
    <row r="1149" spans="1:14" ht="15.5" outlineLevel="1">
      <c r="A1149" s="1455">
        <f t="shared" si="181"/>
        <v>26</v>
      </c>
      <c r="B1149" s="1455" t="str">
        <f t="shared" si="181"/>
        <v>Office Equipment</v>
      </c>
      <c r="C1149" s="1475">
        <f t="shared" si="181"/>
        <v>0</v>
      </c>
      <c r="D1149" s="1473" t="str">
        <f t="shared" si="181"/>
        <v>-</v>
      </c>
      <c r="E1149" s="1476">
        <f t="shared" si="181"/>
        <v>0</v>
      </c>
      <c r="F1149" s="1444">
        <f t="shared" si="178"/>
        <v>0.14423554</v>
      </c>
      <c r="G1149" s="1444">
        <f t="shared" si="179"/>
        <v>0.14423554</v>
      </c>
      <c r="H1149" s="1476">
        <f t="shared" si="182"/>
        <v>0</v>
      </c>
      <c r="I1149" s="1444">
        <v>0</v>
      </c>
      <c r="J1149" s="1444">
        <v>0</v>
      </c>
      <c r="K1149" s="1476"/>
      <c r="L1149" s="1476"/>
      <c r="M1149" s="1476">
        <f t="shared" si="180"/>
        <v>0</v>
      </c>
      <c r="N1149" s="1476"/>
    </row>
    <row r="1150" spans="1:14" ht="15.5" outlineLevel="1">
      <c r="A1150" s="1455">
        <f t="shared" si="181"/>
        <v>27</v>
      </c>
      <c r="B1150" s="1455" t="str">
        <f t="shared" si="181"/>
        <v>Furniture &amp; Fixture</v>
      </c>
      <c r="C1150" s="1475">
        <f t="shared" si="181"/>
        <v>0</v>
      </c>
      <c r="D1150" s="1473" t="str">
        <f t="shared" si="181"/>
        <v>-</v>
      </c>
      <c r="E1150" s="1476">
        <f t="shared" si="181"/>
        <v>0</v>
      </c>
      <c r="F1150" s="1444">
        <f t="shared" si="178"/>
        <v>7.3968300000000001E-2</v>
      </c>
      <c r="G1150" s="1444">
        <f t="shared" si="179"/>
        <v>7.3968300000000001E-2</v>
      </c>
      <c r="H1150" s="1476">
        <f t="shared" si="182"/>
        <v>0</v>
      </c>
      <c r="I1150" s="1444">
        <v>0</v>
      </c>
      <c r="J1150" s="1444">
        <v>0</v>
      </c>
      <c r="K1150" s="1476"/>
      <c r="L1150" s="1476"/>
      <c r="M1150" s="1476">
        <f t="shared" si="180"/>
        <v>0</v>
      </c>
      <c r="N1150" s="1476"/>
    </row>
    <row r="1151" spans="1:14" ht="15.5" outlineLevel="1">
      <c r="A1151" s="1455">
        <f t="shared" si="181"/>
        <v>28</v>
      </c>
      <c r="B1151" s="1455" t="str">
        <f t="shared" si="181"/>
        <v>Office Equipment</v>
      </c>
      <c r="C1151" s="1475">
        <f t="shared" si="181"/>
        <v>0</v>
      </c>
      <c r="D1151" s="1473" t="str">
        <f t="shared" si="181"/>
        <v>-</v>
      </c>
      <c r="E1151" s="1476">
        <f t="shared" si="181"/>
        <v>0</v>
      </c>
      <c r="F1151" s="1444">
        <f t="shared" si="178"/>
        <v>0.15890559299999998</v>
      </c>
      <c r="G1151" s="1444">
        <f t="shared" si="179"/>
        <v>0.15890559299999998</v>
      </c>
      <c r="H1151" s="1476">
        <f t="shared" si="182"/>
        <v>0</v>
      </c>
      <c r="I1151" s="1444">
        <v>0</v>
      </c>
      <c r="J1151" s="1444">
        <v>0</v>
      </c>
      <c r="K1151" s="1476"/>
      <c r="L1151" s="1476"/>
      <c r="M1151" s="1476">
        <f t="shared" si="180"/>
        <v>0</v>
      </c>
      <c r="N1151" s="1476"/>
    </row>
    <row r="1152" spans="1:14" ht="31" outlineLevel="1">
      <c r="A1152" s="1455">
        <f t="shared" si="181"/>
        <v>29</v>
      </c>
      <c r="B1152" s="1455" t="str">
        <f t="shared" si="181"/>
        <v>Work of repairs of 350 KW BCWP-4B &amp; BCWP-5B motor of M/s. Torishima make at BTPS 2x500 MW</v>
      </c>
      <c r="C1152" s="1475">
        <f t="shared" si="181"/>
        <v>0</v>
      </c>
      <c r="D1152" s="1473" t="str">
        <f t="shared" si="181"/>
        <v>-</v>
      </c>
      <c r="E1152" s="1476">
        <f t="shared" si="181"/>
        <v>0</v>
      </c>
      <c r="F1152" s="1444">
        <f t="shared" si="178"/>
        <v>4.8465386759999998</v>
      </c>
      <c r="G1152" s="1444">
        <f t="shared" si="179"/>
        <v>4.8465386759999998</v>
      </c>
      <c r="H1152" s="1476">
        <f t="shared" si="182"/>
        <v>0</v>
      </c>
      <c r="I1152" s="1444">
        <v>0</v>
      </c>
      <c r="J1152" s="1444">
        <v>0</v>
      </c>
      <c r="K1152" s="1476"/>
      <c r="L1152" s="1476"/>
      <c r="M1152" s="1476">
        <f t="shared" si="180"/>
        <v>0</v>
      </c>
      <c r="N1152" s="1476"/>
    </row>
    <row r="1153" spans="1:16" ht="15.5" outlineLevel="1">
      <c r="A1153" s="1455">
        <f t="shared" si="181"/>
        <v>30</v>
      </c>
      <c r="B1153" s="1455" t="str">
        <f t="shared" si="181"/>
        <v>ABC Powder Type and Foam Type Composite Fire Extinguisher</v>
      </c>
      <c r="C1153" s="1475">
        <f t="shared" si="181"/>
        <v>0</v>
      </c>
      <c r="D1153" s="1473" t="str">
        <f t="shared" si="181"/>
        <v>-</v>
      </c>
      <c r="E1153" s="1476">
        <f t="shared" si="181"/>
        <v>0</v>
      </c>
      <c r="F1153" s="1444">
        <f t="shared" si="178"/>
        <v>0.58547995599999991</v>
      </c>
      <c r="G1153" s="1444">
        <f t="shared" si="179"/>
        <v>0.58547995599999991</v>
      </c>
      <c r="H1153" s="1476">
        <f t="shared" si="182"/>
        <v>0</v>
      </c>
      <c r="I1153" s="1444">
        <v>0</v>
      </c>
      <c r="J1153" s="1444">
        <v>0</v>
      </c>
      <c r="K1153" s="1476"/>
      <c r="L1153" s="1476"/>
      <c r="M1153" s="1476">
        <f t="shared" si="180"/>
        <v>0</v>
      </c>
      <c r="N1153" s="1476"/>
    </row>
    <row r="1154" spans="1:16" ht="16" outlineLevel="1" thickBot="1">
      <c r="A1154" s="1455">
        <f t="shared" ref="A1154:E1154" si="183">A924</f>
        <v>31</v>
      </c>
      <c r="B1154" s="1455" t="str">
        <f t="shared" si="183"/>
        <v>Withdrawal of capex from Project (LD - Passenger Lifts)</v>
      </c>
      <c r="C1154" s="1475">
        <f t="shared" si="183"/>
        <v>0</v>
      </c>
      <c r="D1154" s="1473" t="str">
        <f t="shared" si="183"/>
        <v>-</v>
      </c>
      <c r="E1154" s="1476">
        <f t="shared" si="183"/>
        <v>0</v>
      </c>
      <c r="F1154" s="1444">
        <f t="shared" si="178"/>
        <v>0</v>
      </c>
      <c r="G1154" s="1444">
        <f t="shared" si="179"/>
        <v>-0.138988</v>
      </c>
      <c r="H1154" s="1476">
        <f t="shared" si="182"/>
        <v>0.138988</v>
      </c>
      <c r="I1154" s="1444">
        <v>0</v>
      </c>
      <c r="J1154" s="1444">
        <v>0</v>
      </c>
      <c r="K1154" s="1476"/>
      <c r="L1154" s="1476"/>
      <c r="M1154" s="1476">
        <f t="shared" si="180"/>
        <v>0</v>
      </c>
      <c r="N1154" s="1476"/>
    </row>
    <row r="1155" spans="1:16" ht="15.5" thickBot="1">
      <c r="A1155" s="1379"/>
      <c r="B1155" s="1484" t="str">
        <f>B925</f>
        <v>Total</v>
      </c>
      <c r="C1155" s="1380"/>
      <c r="D1155" s="1381"/>
      <c r="E1155" s="1485"/>
      <c r="F1155" s="1485">
        <f>SUM(F930:F1154)</f>
        <v>1185.8104532496593</v>
      </c>
      <c r="G1155" s="1485">
        <f t="shared" ref="G1155:N1155" si="184">SUM(G930:G1154)</f>
        <v>840.30969357865899</v>
      </c>
      <c r="H1155" s="1485">
        <f t="shared" si="184"/>
        <v>345.50075967100008</v>
      </c>
      <c r="I1155" s="1485">
        <f t="shared" si="184"/>
        <v>532.60000000000014</v>
      </c>
      <c r="J1155" s="1485">
        <f t="shared" si="184"/>
        <v>702.43000000000006</v>
      </c>
      <c r="K1155" s="1485">
        <f t="shared" si="184"/>
        <v>0</v>
      </c>
      <c r="L1155" s="1485">
        <f t="shared" si="184"/>
        <v>0</v>
      </c>
      <c r="M1155" s="1485">
        <f t="shared" si="184"/>
        <v>702.43000000000006</v>
      </c>
      <c r="N1155" s="1485">
        <f t="shared" si="184"/>
        <v>175.480021671</v>
      </c>
    </row>
    <row r="1157" spans="1:16">
      <c r="A1157" s="1434"/>
      <c r="B1157" s="574" t="s">
        <v>1719</v>
      </c>
      <c r="C1157" s="1435"/>
      <c r="D1157" s="1436"/>
      <c r="E1157" s="318"/>
      <c r="F1157" s="318"/>
      <c r="G1157" s="318"/>
      <c r="H1157" s="318"/>
      <c r="I1157" s="318"/>
      <c r="J1157" s="318"/>
      <c r="K1157" s="318"/>
      <c r="L1157" s="318"/>
      <c r="M1157" s="318"/>
      <c r="N1157" s="318"/>
    </row>
    <row r="1158" spans="1:16" outlineLevel="1">
      <c r="A1158" s="131"/>
      <c r="B1158" s="1288" t="str">
        <f t="shared" ref="B1158:E1173" si="185">B928</f>
        <v>a) DPR Schemes</v>
      </c>
      <c r="C1158" s="1435"/>
      <c r="D1158" s="1436"/>
      <c r="E1158" s="318"/>
      <c r="F1158" s="318"/>
      <c r="G1158" s="318"/>
      <c r="H1158" s="318"/>
      <c r="I1158" s="318"/>
      <c r="J1158" s="318"/>
      <c r="K1158" s="318"/>
      <c r="L1158" s="318"/>
      <c r="M1158" s="318"/>
      <c r="N1158" s="318"/>
    </row>
    <row r="1159" spans="1:16" outlineLevel="1">
      <c r="A1159" s="131"/>
      <c r="B1159" s="1437" t="str">
        <f t="shared" si="185"/>
        <v>(i) Submitted to MERC</v>
      </c>
      <c r="C1159" s="1438"/>
      <c r="D1159" s="1439"/>
      <c r="E1159" s="318"/>
      <c r="F1159" s="318"/>
      <c r="G1159" s="318"/>
      <c r="H1159" s="318"/>
      <c r="I1159" s="318"/>
      <c r="J1159" s="318"/>
      <c r="K1159" s="318"/>
      <c r="L1159" s="318"/>
      <c r="M1159" s="318"/>
      <c r="N1159" s="318"/>
    </row>
    <row r="1160" spans="1:16" ht="31" outlineLevel="1">
      <c r="A1160" s="1440">
        <f t="shared" ref="A1160:E1175" si="186">A930</f>
        <v>7</v>
      </c>
      <c r="B1160" s="1441" t="str">
        <f t="shared" si="185"/>
        <v>Interconnection of 210 MW CHP to 500 MW CHP through Conveyors BC-02 &amp; BC-03 having capacity of 500 TPH</v>
      </c>
      <c r="C1160" s="1442" t="str">
        <f t="shared" si="185"/>
        <v>MERC/CAPEX/20162017/00227</v>
      </c>
      <c r="D1160" s="1443">
        <f t="shared" si="185"/>
        <v>42514</v>
      </c>
      <c r="E1160" s="1444">
        <f t="shared" si="185"/>
        <v>24</v>
      </c>
      <c r="F1160" s="1444">
        <f t="shared" ref="F1160:F1223" si="187">F930+I930</f>
        <v>0</v>
      </c>
      <c r="G1160" s="1444">
        <f t="shared" ref="G1160:G1223" si="188">G930+M930</f>
        <v>0</v>
      </c>
      <c r="H1160" s="1444">
        <f t="shared" ref="H1160:H1223" si="189">F1160-G1160</f>
        <v>0</v>
      </c>
      <c r="I1160" s="1444">
        <v>0</v>
      </c>
      <c r="J1160" s="1444">
        <v>0</v>
      </c>
      <c r="K1160" s="1444"/>
      <c r="L1160" s="1444"/>
      <c r="M1160" s="1444">
        <f t="shared" ref="M1160" si="190">SUM(J1160:L1160)</f>
        <v>0</v>
      </c>
      <c r="N1160" s="1444">
        <f t="shared" ref="N1160:N1223" si="191">H1160+I1160-M1160</f>
        <v>0</v>
      </c>
      <c r="O1160" s="1445">
        <f t="shared" ref="O1160:O1223" si="192">MAX(0,IF(M1160=0,0,IF(G1160+M1160&lt;E1160,M1160,E1160-G1160)))</f>
        <v>0</v>
      </c>
      <c r="P1160" s="1377">
        <f t="shared" ref="P1160:P1223" si="193">M1160-O1160</f>
        <v>0</v>
      </c>
    </row>
    <row r="1161" spans="1:16" ht="31" outlineLevel="1">
      <c r="A1161" s="1446">
        <f t="shared" si="186"/>
        <v>7.1</v>
      </c>
      <c r="B1161" s="1447" t="str">
        <f t="shared" si="185"/>
        <v>Interconnection of 210 MW CHP to 500 MW CHP through Conveyors BC-02 &amp; BC-03 having capacity of 500 TPH</v>
      </c>
      <c r="C1161" s="1472" t="str">
        <f t="shared" si="185"/>
        <v>MERC/CAPEX/20162017/00227</v>
      </c>
      <c r="D1161" s="1473">
        <f t="shared" si="185"/>
        <v>42514</v>
      </c>
      <c r="E1161" s="1474">
        <f t="shared" si="185"/>
        <v>22.73</v>
      </c>
      <c r="F1161" s="1444">
        <f t="shared" si="187"/>
        <v>19.106691754</v>
      </c>
      <c r="G1161" s="1444">
        <f t="shared" si="188"/>
        <v>19.106691754</v>
      </c>
      <c r="H1161" s="1474">
        <f t="shared" si="189"/>
        <v>0</v>
      </c>
      <c r="I1161" s="1444">
        <v>0</v>
      </c>
      <c r="J1161" s="1444">
        <v>0</v>
      </c>
      <c r="K1161" s="1474"/>
      <c r="L1161" s="1474"/>
      <c r="M1161" s="1474">
        <f t="shared" ref="M1161:M1224" si="194">SUM(J1161:L1161)</f>
        <v>0</v>
      </c>
      <c r="N1161" s="1474">
        <f t="shared" si="191"/>
        <v>0</v>
      </c>
      <c r="O1161" s="1445">
        <f t="shared" si="192"/>
        <v>0</v>
      </c>
      <c r="P1161" s="1377">
        <f t="shared" si="193"/>
        <v>0</v>
      </c>
    </row>
    <row r="1162" spans="1:16" ht="15.5" outlineLevel="1">
      <c r="A1162" s="1446">
        <f t="shared" si="186"/>
        <v>0</v>
      </c>
      <c r="B1162" s="1447" t="str">
        <f t="shared" si="185"/>
        <v>IDC</v>
      </c>
      <c r="C1162" s="1472" t="str">
        <f t="shared" si="185"/>
        <v>MERC/CAPEX/20162017/00227</v>
      </c>
      <c r="D1162" s="1473">
        <f t="shared" si="185"/>
        <v>42514</v>
      </c>
      <c r="E1162" s="1474">
        <f t="shared" si="185"/>
        <v>1.27</v>
      </c>
      <c r="F1162" s="1444">
        <f t="shared" si="187"/>
        <v>0</v>
      </c>
      <c r="G1162" s="1444">
        <f t="shared" si="188"/>
        <v>0</v>
      </c>
      <c r="H1162" s="1474">
        <f t="shared" si="189"/>
        <v>0</v>
      </c>
      <c r="I1162" s="1444">
        <v>0</v>
      </c>
      <c r="J1162" s="1444">
        <v>0</v>
      </c>
      <c r="K1162" s="1474"/>
      <c r="L1162" s="1474"/>
      <c r="M1162" s="1474">
        <f t="shared" si="194"/>
        <v>0</v>
      </c>
      <c r="N1162" s="1474">
        <f t="shared" si="191"/>
        <v>0</v>
      </c>
      <c r="O1162" s="1445">
        <f t="shared" si="192"/>
        <v>0</v>
      </c>
      <c r="P1162" s="1377">
        <f t="shared" si="193"/>
        <v>0</v>
      </c>
    </row>
    <row r="1163" spans="1:16" ht="31" outlineLevel="1">
      <c r="A1163" s="1440">
        <f t="shared" si="186"/>
        <v>8</v>
      </c>
      <c r="B1163" s="1441" t="str">
        <f t="shared" si="185"/>
        <v>Stack management by procurement of Bulldozer &amp; LOCO and CHP area schemes for performance &amp; unloading improvement</v>
      </c>
      <c r="C1163" s="1442" t="str">
        <f t="shared" si="185"/>
        <v>MERC/CAPEX/20162017/01426</v>
      </c>
      <c r="D1163" s="1443">
        <f t="shared" si="185"/>
        <v>42768</v>
      </c>
      <c r="E1163" s="1444">
        <f t="shared" si="185"/>
        <v>9.9669421487603316</v>
      </c>
      <c r="F1163" s="1444">
        <f t="shared" si="187"/>
        <v>0</v>
      </c>
      <c r="G1163" s="1444">
        <f t="shared" si="188"/>
        <v>0</v>
      </c>
      <c r="H1163" s="1444">
        <f t="shared" si="189"/>
        <v>0</v>
      </c>
      <c r="I1163" s="1444">
        <v>0</v>
      </c>
      <c r="J1163" s="1444">
        <v>0</v>
      </c>
      <c r="K1163" s="1444"/>
      <c r="L1163" s="1444"/>
      <c r="M1163" s="1444">
        <f t="shared" si="194"/>
        <v>0</v>
      </c>
      <c r="N1163" s="1444">
        <f t="shared" si="191"/>
        <v>0</v>
      </c>
      <c r="O1163" s="1445">
        <f t="shared" si="192"/>
        <v>0</v>
      </c>
      <c r="P1163" s="1377">
        <f t="shared" si="193"/>
        <v>0</v>
      </c>
    </row>
    <row r="1164" spans="1:16" ht="15.5" outlineLevel="1">
      <c r="A1164" s="1446">
        <f t="shared" si="186"/>
        <v>8.1</v>
      </c>
      <c r="B1164" s="1447" t="str">
        <f t="shared" si="185"/>
        <v>Procurement of Locomotive 800 HP (2 No.’s)</v>
      </c>
      <c r="C1164" s="1472" t="str">
        <f t="shared" si="185"/>
        <v>MERC/CAPEX/20162017/01426</v>
      </c>
      <c r="D1164" s="1473">
        <f t="shared" si="185"/>
        <v>42768</v>
      </c>
      <c r="E1164" s="1474">
        <f t="shared" si="185"/>
        <v>4.9504132231404956</v>
      </c>
      <c r="F1164" s="1444">
        <f t="shared" si="187"/>
        <v>4.8260800000000001</v>
      </c>
      <c r="G1164" s="1444">
        <f t="shared" si="188"/>
        <v>4.8260800000000001</v>
      </c>
      <c r="H1164" s="1474">
        <f t="shared" si="189"/>
        <v>0</v>
      </c>
      <c r="I1164" s="1444">
        <v>0</v>
      </c>
      <c r="J1164" s="1444">
        <v>0</v>
      </c>
      <c r="K1164" s="1474"/>
      <c r="L1164" s="1474"/>
      <c r="M1164" s="1474">
        <f t="shared" si="194"/>
        <v>0</v>
      </c>
      <c r="N1164" s="1474">
        <f t="shared" si="191"/>
        <v>0</v>
      </c>
      <c r="O1164" s="1445">
        <f t="shared" si="192"/>
        <v>0</v>
      </c>
      <c r="P1164" s="1377">
        <f t="shared" si="193"/>
        <v>0</v>
      </c>
    </row>
    <row r="1165" spans="1:16" ht="15.5" outlineLevel="1">
      <c r="A1165" s="1446">
        <f t="shared" si="186"/>
        <v>8.1999999999999993</v>
      </c>
      <c r="B1165" s="1447" t="str">
        <f t="shared" si="185"/>
        <v>Procurement of 2 No’s of Bulldozer Model D-155(2 No.’s)</v>
      </c>
      <c r="C1165" s="1472" t="str">
        <f t="shared" si="185"/>
        <v>MERC/CAPEX/20162017/01426</v>
      </c>
      <c r="D1165" s="1473">
        <f t="shared" si="185"/>
        <v>42768</v>
      </c>
      <c r="E1165" s="1474">
        <f t="shared" si="185"/>
        <v>2.5619834710743801</v>
      </c>
      <c r="F1165" s="1444">
        <f t="shared" si="187"/>
        <v>3.4747105785123966</v>
      </c>
      <c r="G1165" s="1444">
        <f t="shared" si="188"/>
        <v>3.4747105785123966</v>
      </c>
      <c r="H1165" s="1474">
        <f t="shared" si="189"/>
        <v>0</v>
      </c>
      <c r="I1165" s="1444">
        <v>0</v>
      </c>
      <c r="J1165" s="1444">
        <v>0</v>
      </c>
      <c r="K1165" s="1474"/>
      <c r="L1165" s="1474"/>
      <c r="M1165" s="1474">
        <f t="shared" si="194"/>
        <v>0</v>
      </c>
      <c r="N1165" s="1474">
        <f t="shared" si="191"/>
        <v>0</v>
      </c>
      <c r="O1165" s="1445">
        <f t="shared" si="192"/>
        <v>0</v>
      </c>
      <c r="P1165" s="1377">
        <f t="shared" si="193"/>
        <v>0</v>
      </c>
    </row>
    <row r="1166" spans="1:16" ht="15.5" outlineLevel="1">
      <c r="A1166" s="1446">
        <f t="shared" si="186"/>
        <v>8.3000000000000007</v>
      </c>
      <c r="B1166" s="1447" t="str">
        <f t="shared" si="185"/>
        <v>Modification below primary crusher chutes 15A/B &amp; Conv.02</v>
      </c>
      <c r="C1166" s="1472" t="str">
        <f t="shared" si="185"/>
        <v>MERC/CAPEX/20162017/01426</v>
      </c>
      <c r="D1166" s="1473">
        <f t="shared" si="185"/>
        <v>42768</v>
      </c>
      <c r="E1166" s="1474">
        <f t="shared" si="185"/>
        <v>0.42975206611570249</v>
      </c>
      <c r="F1166" s="1444">
        <f t="shared" si="187"/>
        <v>0.38033057851239671</v>
      </c>
      <c r="G1166" s="1444">
        <f t="shared" si="188"/>
        <v>0.38033057851239671</v>
      </c>
      <c r="H1166" s="1474">
        <f t="shared" si="189"/>
        <v>0</v>
      </c>
      <c r="I1166" s="1444">
        <v>0</v>
      </c>
      <c r="J1166" s="1444">
        <v>0</v>
      </c>
      <c r="K1166" s="1474"/>
      <c r="L1166" s="1474"/>
      <c r="M1166" s="1474">
        <f t="shared" si="194"/>
        <v>0</v>
      </c>
      <c r="N1166" s="1474">
        <f t="shared" si="191"/>
        <v>0</v>
      </c>
      <c r="O1166" s="1445">
        <f t="shared" si="192"/>
        <v>0</v>
      </c>
      <c r="P1166" s="1377">
        <f t="shared" si="193"/>
        <v>0</v>
      </c>
    </row>
    <row r="1167" spans="1:16" ht="15.5" outlineLevel="1">
      <c r="A1167" s="1446">
        <f t="shared" si="186"/>
        <v>8.4</v>
      </c>
      <c r="B1167" s="1447" t="str">
        <f t="shared" si="185"/>
        <v>New helical gear box for various conveyors</v>
      </c>
      <c r="C1167" s="1472" t="str">
        <f t="shared" si="185"/>
        <v>MERC/CAPEX/20162017/01426</v>
      </c>
      <c r="D1167" s="1473">
        <f t="shared" si="185"/>
        <v>42768</v>
      </c>
      <c r="E1167" s="1474">
        <f t="shared" si="185"/>
        <v>0.79338842975206614</v>
      </c>
      <c r="F1167" s="1444">
        <f t="shared" si="187"/>
        <v>0</v>
      </c>
      <c r="G1167" s="1444">
        <f t="shared" si="188"/>
        <v>0</v>
      </c>
      <c r="H1167" s="1474">
        <f t="shared" si="189"/>
        <v>0</v>
      </c>
      <c r="I1167" s="1444">
        <v>0</v>
      </c>
      <c r="J1167" s="1444">
        <v>0</v>
      </c>
      <c r="K1167" s="1474"/>
      <c r="L1167" s="1474"/>
      <c r="M1167" s="1474">
        <f t="shared" si="194"/>
        <v>0</v>
      </c>
      <c r="N1167" s="1474">
        <f t="shared" si="191"/>
        <v>0</v>
      </c>
      <c r="O1167" s="1445">
        <f t="shared" si="192"/>
        <v>0</v>
      </c>
      <c r="P1167" s="1377">
        <f t="shared" si="193"/>
        <v>0</v>
      </c>
    </row>
    <row r="1168" spans="1:16" ht="15.5" outlineLevel="1">
      <c r="A1168" s="1446">
        <f t="shared" si="186"/>
        <v>8.5</v>
      </c>
      <c r="B1168" s="1447" t="str">
        <f t="shared" si="185"/>
        <v xml:space="preserve">Procurement of Elecon Make Ring Granulator Type TK-09-38B </v>
      </c>
      <c r="C1168" s="1472" t="str">
        <f t="shared" si="185"/>
        <v>MERC/CAPEX/20162017/01426</v>
      </c>
      <c r="D1168" s="1473">
        <f t="shared" si="185"/>
        <v>42768</v>
      </c>
      <c r="E1168" s="1474">
        <f t="shared" si="185"/>
        <v>0.53719008264462809</v>
      </c>
      <c r="F1168" s="1444">
        <f t="shared" si="187"/>
        <v>0</v>
      </c>
      <c r="G1168" s="1444">
        <f t="shared" si="188"/>
        <v>0</v>
      </c>
      <c r="H1168" s="1474">
        <f t="shared" si="189"/>
        <v>0</v>
      </c>
      <c r="I1168" s="1444">
        <v>0</v>
      </c>
      <c r="J1168" s="1444">
        <v>0</v>
      </c>
      <c r="K1168" s="1474"/>
      <c r="L1168" s="1474"/>
      <c r="M1168" s="1474">
        <f t="shared" si="194"/>
        <v>0</v>
      </c>
      <c r="N1168" s="1474">
        <f t="shared" si="191"/>
        <v>0</v>
      </c>
      <c r="O1168" s="1445">
        <f t="shared" si="192"/>
        <v>0</v>
      </c>
      <c r="P1168" s="1377">
        <f t="shared" si="193"/>
        <v>0</v>
      </c>
    </row>
    <row r="1169" spans="1:16" ht="15.5" outlineLevel="1">
      <c r="A1169" s="1446">
        <f t="shared" si="186"/>
        <v>8.6</v>
      </c>
      <c r="B1169" s="1447" t="str">
        <f t="shared" si="185"/>
        <v>Procurement of Elecon Make Ring Granulator Type TK6 32B Ring Granulator</v>
      </c>
      <c r="C1169" s="1472" t="str">
        <f t="shared" si="185"/>
        <v>MERC/CAPEX/20162017/01426</v>
      </c>
      <c r="D1169" s="1473">
        <f t="shared" si="185"/>
        <v>42768</v>
      </c>
      <c r="E1169" s="1474">
        <f t="shared" si="185"/>
        <v>0.33884297520661155</v>
      </c>
      <c r="F1169" s="1444">
        <f t="shared" si="187"/>
        <v>0</v>
      </c>
      <c r="G1169" s="1444">
        <f t="shared" si="188"/>
        <v>0</v>
      </c>
      <c r="H1169" s="1474">
        <f t="shared" si="189"/>
        <v>0</v>
      </c>
      <c r="I1169" s="1444">
        <v>0</v>
      </c>
      <c r="J1169" s="1444">
        <v>0</v>
      </c>
      <c r="K1169" s="1474"/>
      <c r="L1169" s="1474"/>
      <c r="M1169" s="1474">
        <f t="shared" si="194"/>
        <v>0</v>
      </c>
      <c r="N1169" s="1474">
        <f t="shared" si="191"/>
        <v>0</v>
      </c>
      <c r="O1169" s="1445">
        <f t="shared" si="192"/>
        <v>0</v>
      </c>
      <c r="P1169" s="1377">
        <f t="shared" si="193"/>
        <v>0</v>
      </c>
    </row>
    <row r="1170" spans="1:16" ht="15.5" outlineLevel="1">
      <c r="A1170" s="1446">
        <f t="shared" si="186"/>
        <v>0</v>
      </c>
      <c r="B1170" s="1447" t="str">
        <f t="shared" si="185"/>
        <v>IDC</v>
      </c>
      <c r="C1170" s="1472" t="str">
        <f t="shared" si="185"/>
        <v>MERC/CAPEX/20162017/01426</v>
      </c>
      <c r="D1170" s="1473">
        <f t="shared" si="185"/>
        <v>42768</v>
      </c>
      <c r="E1170" s="1474">
        <f t="shared" si="185"/>
        <v>0.35537190082644626</v>
      </c>
      <c r="F1170" s="1444">
        <f t="shared" si="187"/>
        <v>0</v>
      </c>
      <c r="G1170" s="1444">
        <f t="shared" si="188"/>
        <v>0</v>
      </c>
      <c r="H1170" s="1474">
        <f t="shared" si="189"/>
        <v>0</v>
      </c>
      <c r="I1170" s="1444">
        <v>0</v>
      </c>
      <c r="J1170" s="1444">
        <v>0</v>
      </c>
      <c r="K1170" s="1474"/>
      <c r="L1170" s="1474"/>
      <c r="M1170" s="1474">
        <f t="shared" si="194"/>
        <v>0</v>
      </c>
      <c r="N1170" s="1474">
        <f t="shared" si="191"/>
        <v>0</v>
      </c>
      <c r="O1170" s="1445">
        <f t="shared" si="192"/>
        <v>0</v>
      </c>
      <c r="P1170" s="1377">
        <f t="shared" si="193"/>
        <v>0</v>
      </c>
    </row>
    <row r="1171" spans="1:16" ht="15.5" outlineLevel="1">
      <c r="A1171" s="1440">
        <f t="shared" si="186"/>
        <v>9</v>
      </c>
      <c r="B1171" s="1441" t="str">
        <f t="shared" si="185"/>
        <v>Construction of 1st raising of Ash bund from T.B.L. 258M to 264M at Bhusawal TPS</v>
      </c>
      <c r="C1171" s="1442" t="str">
        <f t="shared" si="185"/>
        <v>MERC/CAPEX/20172018/4267</v>
      </c>
      <c r="D1171" s="1443">
        <f t="shared" si="185"/>
        <v>43006</v>
      </c>
      <c r="E1171" s="1444">
        <f t="shared" si="185"/>
        <v>64.22</v>
      </c>
      <c r="F1171" s="1444">
        <f t="shared" si="187"/>
        <v>0</v>
      </c>
      <c r="G1171" s="1444">
        <f t="shared" si="188"/>
        <v>0</v>
      </c>
      <c r="H1171" s="1444">
        <f t="shared" si="189"/>
        <v>0</v>
      </c>
      <c r="I1171" s="1444">
        <v>0</v>
      </c>
      <c r="J1171" s="1444">
        <v>0</v>
      </c>
      <c r="K1171" s="1444"/>
      <c r="L1171" s="1444"/>
      <c r="M1171" s="1444">
        <f t="shared" si="194"/>
        <v>0</v>
      </c>
      <c r="N1171" s="1444">
        <f t="shared" si="191"/>
        <v>0</v>
      </c>
      <c r="O1171" s="1445">
        <f t="shared" si="192"/>
        <v>0</v>
      </c>
      <c r="P1171" s="1377">
        <f t="shared" si="193"/>
        <v>0</v>
      </c>
    </row>
    <row r="1172" spans="1:16" ht="31" outlineLevel="1">
      <c r="A1172" s="1446">
        <f t="shared" si="186"/>
        <v>9.1</v>
      </c>
      <c r="B1172" s="1447" t="str">
        <f t="shared" si="185"/>
        <v>Construction of 1st raising of Ash bund from T.B.L. 258M to 264M at Bhusawal TPS</v>
      </c>
      <c r="C1172" s="1472" t="str">
        <f t="shared" si="185"/>
        <v>MERC/CAPEX/20172018/4267</v>
      </c>
      <c r="D1172" s="1473">
        <f t="shared" si="185"/>
        <v>43006</v>
      </c>
      <c r="E1172" s="1474">
        <f t="shared" si="185"/>
        <v>64.22</v>
      </c>
      <c r="F1172" s="1444">
        <f t="shared" si="187"/>
        <v>64.498238246301369</v>
      </c>
      <c r="G1172" s="1444">
        <f t="shared" si="188"/>
        <v>64.498238246301369</v>
      </c>
      <c r="H1172" s="1474">
        <f t="shared" si="189"/>
        <v>0</v>
      </c>
      <c r="I1172" s="1444">
        <v>0</v>
      </c>
      <c r="J1172" s="1444">
        <v>0</v>
      </c>
      <c r="K1172" s="1474"/>
      <c r="L1172" s="1474"/>
      <c r="M1172" s="1474">
        <f t="shared" si="194"/>
        <v>0</v>
      </c>
      <c r="N1172" s="1474">
        <f t="shared" si="191"/>
        <v>0</v>
      </c>
      <c r="O1172" s="1445">
        <f t="shared" si="192"/>
        <v>0</v>
      </c>
      <c r="P1172" s="1377">
        <f t="shared" si="193"/>
        <v>0</v>
      </c>
    </row>
    <row r="1173" spans="1:16" ht="31" outlineLevel="1">
      <c r="A1173" s="1440">
        <f t="shared" si="186"/>
        <v>10</v>
      </c>
      <c r="B1173" s="1441" t="str">
        <f t="shared" si="185"/>
        <v>Augmentation of Ash Evacuation System &amp; Procurement of BCW Pump Motors at Bhusawal &amp; Khaperkheda TPS 500 MW Units</v>
      </c>
      <c r="C1173" s="1442" t="str">
        <f t="shared" si="185"/>
        <v>MERC/CAPEX/20172018/4782</v>
      </c>
      <c r="D1173" s="1443">
        <f t="shared" si="185"/>
        <v>43067</v>
      </c>
      <c r="E1173" s="1444">
        <f t="shared" si="185"/>
        <v>17.439999999999998</v>
      </c>
      <c r="F1173" s="1444">
        <f t="shared" si="187"/>
        <v>0</v>
      </c>
      <c r="G1173" s="1444">
        <f t="shared" si="188"/>
        <v>0</v>
      </c>
      <c r="H1173" s="1444">
        <f t="shared" si="189"/>
        <v>0</v>
      </c>
      <c r="I1173" s="1444">
        <v>0</v>
      </c>
      <c r="J1173" s="1444">
        <v>0</v>
      </c>
      <c r="K1173" s="1444"/>
      <c r="L1173" s="1444"/>
      <c r="M1173" s="1444">
        <f t="shared" si="194"/>
        <v>0</v>
      </c>
      <c r="N1173" s="1444">
        <f t="shared" si="191"/>
        <v>0</v>
      </c>
      <c r="O1173" s="1445">
        <f t="shared" si="192"/>
        <v>0</v>
      </c>
      <c r="P1173" s="1377">
        <f t="shared" si="193"/>
        <v>0</v>
      </c>
    </row>
    <row r="1174" spans="1:16" ht="15.5" outlineLevel="1">
      <c r="A1174" s="1446">
        <f t="shared" si="186"/>
        <v>10.1</v>
      </c>
      <c r="B1174" s="1447" t="str">
        <f t="shared" si="186"/>
        <v>Installation of standby Buffer Hopper parallel to existing pair of buffer hoppers</v>
      </c>
      <c r="C1174" s="1472" t="str">
        <f t="shared" si="186"/>
        <v>MERC/CAPEX/20172018/4782</v>
      </c>
      <c r="D1174" s="1473">
        <f t="shared" si="186"/>
        <v>43067</v>
      </c>
      <c r="E1174" s="1474">
        <f t="shared" si="186"/>
        <v>11.5</v>
      </c>
      <c r="F1174" s="1444">
        <f t="shared" si="187"/>
        <v>0</v>
      </c>
      <c r="G1174" s="1444">
        <f t="shared" si="188"/>
        <v>0</v>
      </c>
      <c r="H1174" s="1474">
        <f t="shared" si="189"/>
        <v>0</v>
      </c>
      <c r="I1174" s="1444">
        <v>0</v>
      </c>
      <c r="J1174" s="1444">
        <v>0</v>
      </c>
      <c r="K1174" s="1474"/>
      <c r="L1174" s="1474"/>
      <c r="M1174" s="1474">
        <f t="shared" si="194"/>
        <v>0</v>
      </c>
      <c r="N1174" s="1474">
        <f t="shared" si="191"/>
        <v>0</v>
      </c>
      <c r="O1174" s="1445">
        <f t="shared" si="192"/>
        <v>0</v>
      </c>
      <c r="P1174" s="1377">
        <f t="shared" si="193"/>
        <v>0</v>
      </c>
    </row>
    <row r="1175" spans="1:16" ht="31" outlineLevel="1">
      <c r="A1175" s="1446">
        <f t="shared" si="186"/>
        <v>10.199999999999999</v>
      </c>
      <c r="B1175" s="1447" t="str">
        <f t="shared" si="186"/>
        <v>Installation of additional vacuum pump for every two passes, near to intermediate hopper.</v>
      </c>
      <c r="C1175" s="1472" t="str">
        <f t="shared" si="186"/>
        <v>MERC/CAPEX/20172018/4782</v>
      </c>
      <c r="D1175" s="1473">
        <f t="shared" si="186"/>
        <v>43067</v>
      </c>
      <c r="E1175" s="1474">
        <f t="shared" si="186"/>
        <v>0.6</v>
      </c>
      <c r="F1175" s="1444">
        <f t="shared" si="187"/>
        <v>0</v>
      </c>
      <c r="G1175" s="1444">
        <f t="shared" si="188"/>
        <v>0</v>
      </c>
      <c r="H1175" s="1474">
        <f t="shared" si="189"/>
        <v>0</v>
      </c>
      <c r="I1175" s="1444">
        <v>0</v>
      </c>
      <c r="J1175" s="1444">
        <v>0</v>
      </c>
      <c r="K1175" s="1474"/>
      <c r="L1175" s="1474"/>
      <c r="M1175" s="1474">
        <f t="shared" si="194"/>
        <v>0</v>
      </c>
      <c r="N1175" s="1474">
        <f t="shared" si="191"/>
        <v>0</v>
      </c>
      <c r="O1175" s="1445">
        <f t="shared" si="192"/>
        <v>0</v>
      </c>
      <c r="P1175" s="1377">
        <f t="shared" si="193"/>
        <v>0</v>
      </c>
    </row>
    <row r="1176" spans="1:16" ht="62" outlineLevel="1">
      <c r="A1176" s="1446">
        <f t="shared" ref="A1176:E1191" si="195">A946</f>
        <v>10.3</v>
      </c>
      <c r="B1176" s="1447" t="str">
        <f t="shared" si="195"/>
        <v>Procurement of 02 Nos of M/s Torishima, Japan make, 350 KW, 6.6KV, Boiler Circulating Water (BCW) Pump Motors (without pump casing) with 02 lots of recommended Electrical &amp; C&amp;I spares for Bhusawal and Khaparkheda TPS 500MW.</v>
      </c>
      <c r="C1176" s="1472" t="str">
        <f t="shared" si="195"/>
        <v>MERC/CAPEX/20172018/4782</v>
      </c>
      <c r="D1176" s="1473">
        <f t="shared" si="195"/>
        <v>43067</v>
      </c>
      <c r="E1176" s="1474">
        <f t="shared" si="195"/>
        <v>4.24</v>
      </c>
      <c r="F1176" s="1444">
        <f t="shared" si="187"/>
        <v>4.6696428000000001</v>
      </c>
      <c r="G1176" s="1444">
        <f t="shared" si="188"/>
        <v>4.6696428000000001</v>
      </c>
      <c r="H1176" s="1474">
        <f t="shared" si="189"/>
        <v>0</v>
      </c>
      <c r="I1176" s="1444">
        <v>0</v>
      </c>
      <c r="J1176" s="1444">
        <v>0</v>
      </c>
      <c r="K1176" s="1474"/>
      <c r="L1176" s="1474"/>
      <c r="M1176" s="1474">
        <f t="shared" si="194"/>
        <v>0</v>
      </c>
      <c r="N1176" s="1474">
        <f t="shared" si="191"/>
        <v>0</v>
      </c>
      <c r="O1176" s="1445">
        <f t="shared" si="192"/>
        <v>0</v>
      </c>
      <c r="P1176" s="1377">
        <f t="shared" si="193"/>
        <v>0</v>
      </c>
    </row>
    <row r="1177" spans="1:16" ht="31" outlineLevel="1">
      <c r="A1177" s="1446">
        <f t="shared" si="195"/>
        <v>10.4</v>
      </c>
      <c r="B1177" s="1447" t="str">
        <f t="shared" si="195"/>
        <v>Procurement of complete ACVF drive module comprising of 2 Nos. of Supply and 3 Nos. of  Inverter modules for GEHO pumps</v>
      </c>
      <c r="C1177" s="1472" t="str">
        <f t="shared" si="195"/>
        <v>MERC/CAPEX/20172018/4782</v>
      </c>
      <c r="D1177" s="1473">
        <f t="shared" si="195"/>
        <v>43067</v>
      </c>
      <c r="E1177" s="1474">
        <f t="shared" si="195"/>
        <v>0.95</v>
      </c>
      <c r="F1177" s="1444">
        <f t="shared" si="187"/>
        <v>0.92864275500000004</v>
      </c>
      <c r="G1177" s="1444">
        <f t="shared" si="188"/>
        <v>0.92864275500000004</v>
      </c>
      <c r="H1177" s="1474">
        <f t="shared" si="189"/>
        <v>0</v>
      </c>
      <c r="I1177" s="1444">
        <v>0</v>
      </c>
      <c r="J1177" s="1444">
        <v>0</v>
      </c>
      <c r="K1177" s="1474"/>
      <c r="L1177" s="1474"/>
      <c r="M1177" s="1474">
        <f t="shared" si="194"/>
        <v>0</v>
      </c>
      <c r="N1177" s="1474">
        <f t="shared" si="191"/>
        <v>0</v>
      </c>
      <c r="O1177" s="1445">
        <f t="shared" si="192"/>
        <v>0</v>
      </c>
      <c r="P1177" s="1377">
        <f t="shared" si="193"/>
        <v>0</v>
      </c>
    </row>
    <row r="1178" spans="1:16" ht="31" outlineLevel="1">
      <c r="A1178" s="1446">
        <f t="shared" si="195"/>
        <v>10.5</v>
      </c>
      <c r="B1178" s="1447" t="str">
        <f t="shared" si="195"/>
        <v>Supply, erection and commissioning of 24VDC, 100A Float &amp; Float cum Boost Battery Charger with 325Ah Battery Bank for CWPH at BTPS 2x500 MW.</v>
      </c>
      <c r="C1178" s="1472" t="str">
        <f t="shared" si="195"/>
        <v>MERC/CAPEX/20172018/4782</v>
      </c>
      <c r="D1178" s="1473">
        <f t="shared" si="195"/>
        <v>43067</v>
      </c>
      <c r="E1178" s="1474">
        <f t="shared" si="195"/>
        <v>0.15</v>
      </c>
      <c r="F1178" s="1444">
        <f t="shared" si="187"/>
        <v>0.157884</v>
      </c>
      <c r="G1178" s="1444">
        <f t="shared" si="188"/>
        <v>0.157884</v>
      </c>
      <c r="H1178" s="1474">
        <f t="shared" si="189"/>
        <v>0</v>
      </c>
      <c r="I1178" s="1444">
        <v>0</v>
      </c>
      <c r="J1178" s="1444">
        <v>0</v>
      </c>
      <c r="K1178" s="1474"/>
      <c r="L1178" s="1474"/>
      <c r="M1178" s="1474">
        <f t="shared" si="194"/>
        <v>0</v>
      </c>
      <c r="N1178" s="1474">
        <f t="shared" si="191"/>
        <v>0</v>
      </c>
      <c r="O1178" s="1445">
        <f t="shared" si="192"/>
        <v>0</v>
      </c>
      <c r="P1178" s="1377">
        <f t="shared" si="193"/>
        <v>0</v>
      </c>
    </row>
    <row r="1179" spans="1:16" ht="15.5" outlineLevel="1">
      <c r="A1179" s="1446">
        <f t="shared" si="195"/>
        <v>0</v>
      </c>
      <c r="B1179" s="1447" t="str">
        <f t="shared" si="195"/>
        <v xml:space="preserve">IDC </v>
      </c>
      <c r="C1179" s="1472" t="str">
        <f t="shared" si="195"/>
        <v>MERC/CAPEX/20172018/4782</v>
      </c>
      <c r="D1179" s="1473">
        <f t="shared" si="195"/>
        <v>43067</v>
      </c>
      <c r="E1179" s="1474">
        <f t="shared" si="195"/>
        <v>0</v>
      </c>
      <c r="F1179" s="1444">
        <f t="shared" si="187"/>
        <v>0</v>
      </c>
      <c r="G1179" s="1444">
        <f t="shared" si="188"/>
        <v>0</v>
      </c>
      <c r="H1179" s="1474">
        <f t="shared" si="189"/>
        <v>0</v>
      </c>
      <c r="I1179" s="1444">
        <v>0</v>
      </c>
      <c r="J1179" s="1444">
        <v>0</v>
      </c>
      <c r="K1179" s="1474"/>
      <c r="L1179" s="1474"/>
      <c r="M1179" s="1474">
        <f t="shared" si="194"/>
        <v>0</v>
      </c>
      <c r="N1179" s="1474">
        <f t="shared" si="191"/>
        <v>0</v>
      </c>
      <c r="O1179" s="1445">
        <f t="shared" si="192"/>
        <v>0</v>
      </c>
      <c r="P1179" s="1377">
        <f t="shared" si="193"/>
        <v>0</v>
      </c>
    </row>
    <row r="1180" spans="1:16" ht="15.5" outlineLevel="1">
      <c r="A1180" s="1440">
        <f t="shared" si="195"/>
        <v>11</v>
      </c>
      <c r="B1180" s="1441" t="str">
        <f t="shared" si="195"/>
        <v>Various schemes for renovation of colony at Bhusawal TPS</v>
      </c>
      <c r="C1180" s="1442" t="str">
        <f t="shared" si="195"/>
        <v>MERC/CAPEX/20172018/0221</v>
      </c>
      <c r="D1180" s="1443">
        <f t="shared" si="195"/>
        <v>43143</v>
      </c>
      <c r="E1180" s="1444">
        <f t="shared" si="195"/>
        <v>19.334125999999998</v>
      </c>
      <c r="F1180" s="1444">
        <f t="shared" si="187"/>
        <v>0</v>
      </c>
      <c r="G1180" s="1444">
        <f t="shared" si="188"/>
        <v>0</v>
      </c>
      <c r="H1180" s="1444">
        <f t="shared" si="189"/>
        <v>0</v>
      </c>
      <c r="I1180" s="1444">
        <v>0</v>
      </c>
      <c r="J1180" s="1444">
        <v>0</v>
      </c>
      <c r="K1180" s="1444"/>
      <c r="L1180" s="1444"/>
      <c r="M1180" s="1444">
        <f t="shared" si="194"/>
        <v>0</v>
      </c>
      <c r="N1180" s="1444">
        <f t="shared" si="191"/>
        <v>0</v>
      </c>
      <c r="O1180" s="1445">
        <f t="shared" si="192"/>
        <v>0</v>
      </c>
      <c r="P1180" s="1377">
        <f t="shared" si="193"/>
        <v>0</v>
      </c>
    </row>
    <row r="1181" spans="1:16" ht="15.5" outlineLevel="1">
      <c r="A1181" s="1446">
        <f t="shared" si="195"/>
        <v>11.1</v>
      </c>
      <c r="B1181" s="1447" t="str">
        <f t="shared" si="195"/>
        <v>Renovation of staff quarters &amp; related work at BTPS Deepnagar</v>
      </c>
      <c r="C1181" s="1472" t="str">
        <f t="shared" si="195"/>
        <v>MERC/CAPEX/20172018/0221</v>
      </c>
      <c r="D1181" s="1473">
        <f t="shared" si="195"/>
        <v>43143</v>
      </c>
      <c r="E1181" s="1474">
        <f t="shared" si="195"/>
        <v>7.0209999999999999</v>
      </c>
      <c r="F1181" s="1444">
        <f t="shared" si="187"/>
        <v>5.45837182</v>
      </c>
      <c r="G1181" s="1444">
        <f t="shared" si="188"/>
        <v>5.45837182</v>
      </c>
      <c r="H1181" s="1474">
        <f t="shared" si="189"/>
        <v>0</v>
      </c>
      <c r="I1181" s="1444">
        <v>0</v>
      </c>
      <c r="J1181" s="1444">
        <v>0</v>
      </c>
      <c r="K1181" s="1474"/>
      <c r="L1181" s="1474"/>
      <c r="M1181" s="1474">
        <f t="shared" si="194"/>
        <v>0</v>
      </c>
      <c r="N1181" s="1474">
        <f t="shared" si="191"/>
        <v>0</v>
      </c>
      <c r="O1181" s="1445">
        <f t="shared" si="192"/>
        <v>0</v>
      </c>
      <c r="P1181" s="1377">
        <f t="shared" si="193"/>
        <v>0</v>
      </c>
    </row>
    <row r="1182" spans="1:16" ht="15.5" outlineLevel="1">
      <c r="A1182" s="1446">
        <f t="shared" si="195"/>
        <v>11.2</v>
      </c>
      <c r="B1182" s="1447" t="str">
        <f t="shared" si="195"/>
        <v>Colony Internal Roads at BTPS, Deepnagar</v>
      </c>
      <c r="C1182" s="1472" t="str">
        <f t="shared" si="195"/>
        <v>MERC/CAPEX/20172018/0221</v>
      </c>
      <c r="D1182" s="1473">
        <f t="shared" si="195"/>
        <v>43143</v>
      </c>
      <c r="E1182" s="1474">
        <f t="shared" si="195"/>
        <v>3.85</v>
      </c>
      <c r="F1182" s="1444">
        <f t="shared" si="187"/>
        <v>3.2500731940000001</v>
      </c>
      <c r="G1182" s="1444">
        <f t="shared" si="188"/>
        <v>3.2514022229999999</v>
      </c>
      <c r="H1182" s="1474">
        <f t="shared" si="189"/>
        <v>-1.3290289999998706E-3</v>
      </c>
      <c r="I1182" s="1444">
        <v>0</v>
      </c>
      <c r="J1182" s="1444">
        <v>0</v>
      </c>
      <c r="K1182" s="1474"/>
      <c r="L1182" s="1474"/>
      <c r="M1182" s="1474">
        <f t="shared" si="194"/>
        <v>0</v>
      </c>
      <c r="N1182" s="1474">
        <f t="shared" si="191"/>
        <v>-1.3290289999998706E-3</v>
      </c>
      <c r="O1182" s="1445">
        <f t="shared" si="192"/>
        <v>0</v>
      </c>
      <c r="P1182" s="1377">
        <f t="shared" si="193"/>
        <v>0</v>
      </c>
    </row>
    <row r="1183" spans="1:16" ht="15.5" outlineLevel="1">
      <c r="A1183" s="1446">
        <f t="shared" si="195"/>
        <v>11.3</v>
      </c>
      <c r="B1183" s="1447" t="str">
        <f t="shared" si="195"/>
        <v>Water supply , sanitary &amp; drainage works at BTPS, Deepnagar</v>
      </c>
      <c r="C1183" s="1472" t="str">
        <f t="shared" si="195"/>
        <v>MERC/CAPEX/20172018/0221</v>
      </c>
      <c r="D1183" s="1473">
        <f t="shared" si="195"/>
        <v>43143</v>
      </c>
      <c r="E1183" s="1474">
        <f t="shared" si="195"/>
        <v>7.3</v>
      </c>
      <c r="F1183" s="1444">
        <f t="shared" si="187"/>
        <v>5.8360794</v>
      </c>
      <c r="G1183" s="1444">
        <f t="shared" si="188"/>
        <v>5.8108501159999992</v>
      </c>
      <c r="H1183" s="1474">
        <f t="shared" si="189"/>
        <v>2.5229284000000796E-2</v>
      </c>
      <c r="I1183" s="1444">
        <v>0</v>
      </c>
      <c r="J1183" s="1444">
        <v>0</v>
      </c>
      <c r="K1183" s="1474"/>
      <c r="L1183" s="1474"/>
      <c r="M1183" s="1474">
        <f t="shared" si="194"/>
        <v>0</v>
      </c>
      <c r="N1183" s="1474">
        <f t="shared" si="191"/>
        <v>2.5229284000000796E-2</v>
      </c>
      <c r="O1183" s="1445">
        <f t="shared" si="192"/>
        <v>0</v>
      </c>
      <c r="P1183" s="1377">
        <f t="shared" si="193"/>
        <v>0</v>
      </c>
    </row>
    <row r="1184" spans="1:16" ht="15.5" outlineLevel="1">
      <c r="A1184" s="1446">
        <f t="shared" si="195"/>
        <v>11.4</v>
      </c>
      <c r="B1184" s="1447" t="str">
        <f t="shared" si="195"/>
        <v>Plinth protection to existing buildings at BTPS, Deepnagar</v>
      </c>
      <c r="C1184" s="1472" t="str">
        <f t="shared" si="195"/>
        <v>MERC/CAPEX/20172018/0221</v>
      </c>
      <c r="D1184" s="1473">
        <f t="shared" si="195"/>
        <v>43143</v>
      </c>
      <c r="E1184" s="1474">
        <f t="shared" si="195"/>
        <v>1.1631259999999999</v>
      </c>
      <c r="F1184" s="1444">
        <f t="shared" si="187"/>
        <v>0.91823160000000004</v>
      </c>
      <c r="G1184" s="1444">
        <f t="shared" si="188"/>
        <v>0.91823162200000008</v>
      </c>
      <c r="H1184" s="1474">
        <f t="shared" si="189"/>
        <v>-2.2000000043931323E-8</v>
      </c>
      <c r="I1184" s="1444">
        <v>0</v>
      </c>
      <c r="J1184" s="1444">
        <v>0</v>
      </c>
      <c r="K1184" s="1474"/>
      <c r="L1184" s="1474"/>
      <c r="M1184" s="1474">
        <f t="shared" si="194"/>
        <v>0</v>
      </c>
      <c r="N1184" s="1474">
        <f t="shared" si="191"/>
        <v>-2.2000000043931323E-8</v>
      </c>
      <c r="O1184" s="1445">
        <f t="shared" si="192"/>
        <v>0</v>
      </c>
      <c r="P1184" s="1377">
        <f t="shared" si="193"/>
        <v>0</v>
      </c>
    </row>
    <row r="1185" spans="1:16" ht="31" outlineLevel="1">
      <c r="A1185" s="1440">
        <f t="shared" si="195"/>
        <v>12</v>
      </c>
      <c r="B1185" s="1441" t="str">
        <f t="shared" si="195"/>
        <v>Pipeline from River Water Pump House (RWPH) to aquaduct over Bhogawati River and Other allied power house road works under DPR scheme at BTPS, Bhusawal</v>
      </c>
      <c r="C1185" s="1442" t="str">
        <f t="shared" si="195"/>
        <v>MERC/CAPEX/2018-2019/0104</v>
      </c>
      <c r="D1185" s="1443">
        <f t="shared" si="195"/>
        <v>43559</v>
      </c>
      <c r="E1185" s="1444">
        <f t="shared" si="195"/>
        <v>13.1172</v>
      </c>
      <c r="F1185" s="1444">
        <f t="shared" si="187"/>
        <v>0</v>
      </c>
      <c r="G1185" s="1444">
        <f t="shared" si="188"/>
        <v>0</v>
      </c>
      <c r="H1185" s="1444">
        <f t="shared" si="189"/>
        <v>0</v>
      </c>
      <c r="I1185" s="1444">
        <v>0</v>
      </c>
      <c r="J1185" s="1444">
        <v>0</v>
      </c>
      <c r="K1185" s="1444"/>
      <c r="L1185" s="1444"/>
      <c r="M1185" s="1444">
        <f t="shared" si="194"/>
        <v>0</v>
      </c>
      <c r="N1185" s="1444">
        <f t="shared" si="191"/>
        <v>0</v>
      </c>
      <c r="O1185" s="1445">
        <f t="shared" si="192"/>
        <v>0</v>
      </c>
      <c r="P1185" s="1377">
        <f t="shared" si="193"/>
        <v>0</v>
      </c>
    </row>
    <row r="1186" spans="1:16" ht="46.5" outlineLevel="1">
      <c r="A1186" s="1448">
        <f t="shared" si="195"/>
        <v>12.1</v>
      </c>
      <c r="B1186" s="1449" t="str">
        <f t="shared" si="195"/>
        <v>Providing supplying laying, jointing, testing and commissioning of 1650 mm Ø ID 8 mm thick M.S. pipeline for raw water supply from RWPH to aquaduct over Bhogawati river at, BTPS, Bhusawal.</v>
      </c>
      <c r="C1186" s="1472" t="str">
        <f t="shared" si="195"/>
        <v>MERC/CAPEX/2018-2019/0104</v>
      </c>
      <c r="D1186" s="1473">
        <f t="shared" si="195"/>
        <v>43559</v>
      </c>
      <c r="E1186" s="1474">
        <f t="shared" si="195"/>
        <v>7.2569999999999997</v>
      </c>
      <c r="F1186" s="1444">
        <f t="shared" si="187"/>
        <v>0</v>
      </c>
      <c r="G1186" s="1444">
        <f t="shared" si="188"/>
        <v>0</v>
      </c>
      <c r="H1186" s="1474">
        <f t="shared" si="189"/>
        <v>0</v>
      </c>
      <c r="I1186" s="1444">
        <v>0</v>
      </c>
      <c r="J1186" s="1444">
        <v>0</v>
      </c>
      <c r="K1186" s="1474"/>
      <c r="L1186" s="1474"/>
      <c r="M1186" s="1474">
        <f t="shared" si="194"/>
        <v>0</v>
      </c>
      <c r="N1186" s="1474">
        <f t="shared" si="191"/>
        <v>0</v>
      </c>
      <c r="O1186" s="1445">
        <f t="shared" si="192"/>
        <v>0</v>
      </c>
      <c r="P1186" s="1377">
        <f t="shared" si="193"/>
        <v>0</v>
      </c>
    </row>
    <row r="1187" spans="1:16" ht="31" outlineLevel="1">
      <c r="A1187" s="1448">
        <f t="shared" si="195"/>
        <v>12.2</v>
      </c>
      <c r="B1187" s="1449" t="str">
        <f t="shared" si="195"/>
        <v>Construction of WBM and Bituminous road along inlet &amp; outlet canals and concreate road along periphery of Major store at BTPS, Bhusawal.</v>
      </c>
      <c r="C1187" s="1472" t="str">
        <f t="shared" si="195"/>
        <v>MERC/CAPEX/2018-2019/0104</v>
      </c>
      <c r="D1187" s="1473">
        <f t="shared" si="195"/>
        <v>43559</v>
      </c>
      <c r="E1187" s="1474">
        <f t="shared" si="195"/>
        <v>4.22</v>
      </c>
      <c r="F1187" s="1444">
        <f t="shared" si="187"/>
        <v>3.8304708600000001</v>
      </c>
      <c r="G1187" s="1444">
        <f t="shared" si="188"/>
        <v>3.8304708869999997</v>
      </c>
      <c r="H1187" s="1474">
        <f t="shared" si="189"/>
        <v>-2.6999999569454758E-8</v>
      </c>
      <c r="I1187" s="1444">
        <v>0</v>
      </c>
      <c r="J1187" s="1444">
        <v>0</v>
      </c>
      <c r="K1187" s="1474"/>
      <c r="L1187" s="1474"/>
      <c r="M1187" s="1474">
        <f t="shared" si="194"/>
        <v>0</v>
      </c>
      <c r="N1187" s="1474">
        <f t="shared" si="191"/>
        <v>-2.6999999569454758E-8</v>
      </c>
      <c r="O1187" s="1445">
        <f t="shared" si="192"/>
        <v>0</v>
      </c>
      <c r="P1187" s="1377">
        <f t="shared" si="193"/>
        <v>0</v>
      </c>
    </row>
    <row r="1188" spans="1:16" ht="31" outlineLevel="1">
      <c r="A1188" s="1446">
        <f t="shared" si="195"/>
        <v>12.3</v>
      </c>
      <c r="B1188" s="1447" t="str">
        <f t="shared" si="195"/>
        <v>Work of construction of self-supporting steel roofing system for a major store godown shed of span 25M at BTPS, Deepnagar.</v>
      </c>
      <c r="C1188" s="1472" t="str">
        <f t="shared" si="195"/>
        <v>MERC/CAPEX/2018-2019/0104</v>
      </c>
      <c r="D1188" s="1473">
        <f t="shared" si="195"/>
        <v>43559</v>
      </c>
      <c r="E1188" s="1474">
        <f t="shared" si="195"/>
        <v>1.6401999999999999</v>
      </c>
      <c r="F1188" s="1444">
        <f t="shared" si="187"/>
        <v>0.27</v>
      </c>
      <c r="G1188" s="1444">
        <f t="shared" si="188"/>
        <v>1.6376399460000002</v>
      </c>
      <c r="H1188" s="1474">
        <f t="shared" si="189"/>
        <v>-1.3676399460000002</v>
      </c>
      <c r="I1188" s="1444">
        <v>0</v>
      </c>
      <c r="J1188" s="1444">
        <v>0</v>
      </c>
      <c r="K1188" s="1474"/>
      <c r="L1188" s="1474"/>
      <c r="M1188" s="1474">
        <f t="shared" si="194"/>
        <v>0</v>
      </c>
      <c r="N1188" s="1474">
        <f t="shared" si="191"/>
        <v>-1.3676399460000002</v>
      </c>
      <c r="O1188" s="1445">
        <f t="shared" si="192"/>
        <v>0</v>
      </c>
      <c r="P1188" s="1377">
        <f t="shared" si="193"/>
        <v>0</v>
      </c>
    </row>
    <row r="1189" spans="1:16" ht="15.5" outlineLevel="1">
      <c r="A1189" s="1448">
        <f t="shared" si="195"/>
        <v>0</v>
      </c>
      <c r="B1189" s="1449" t="str">
        <f t="shared" si="195"/>
        <v>IDC</v>
      </c>
      <c r="C1189" s="1472" t="str">
        <f t="shared" si="195"/>
        <v>MERC/CAPEX/2018-2019/0104</v>
      </c>
      <c r="D1189" s="1473">
        <f t="shared" si="195"/>
        <v>43559</v>
      </c>
      <c r="E1189" s="1474">
        <f t="shared" si="195"/>
        <v>0</v>
      </c>
      <c r="F1189" s="1444">
        <f t="shared" si="187"/>
        <v>0.14917520000000001</v>
      </c>
      <c r="G1189" s="1444">
        <f t="shared" si="188"/>
        <v>0.14917520000000001</v>
      </c>
      <c r="H1189" s="1474">
        <f t="shared" si="189"/>
        <v>0</v>
      </c>
      <c r="I1189" s="1444">
        <v>0</v>
      </c>
      <c r="J1189" s="1444">
        <v>0</v>
      </c>
      <c r="K1189" s="1474"/>
      <c r="L1189" s="1474"/>
      <c r="M1189" s="1474">
        <f t="shared" si="194"/>
        <v>0</v>
      </c>
      <c r="N1189" s="1474">
        <f t="shared" si="191"/>
        <v>0</v>
      </c>
      <c r="O1189" s="1445">
        <f t="shared" si="192"/>
        <v>0</v>
      </c>
      <c r="P1189" s="1377">
        <f t="shared" si="193"/>
        <v>0</v>
      </c>
    </row>
    <row r="1190" spans="1:16" ht="46.5" outlineLevel="1">
      <c r="A1190" s="1440">
        <f t="shared" si="195"/>
        <v>13</v>
      </c>
      <c r="B1190" s="1441" t="str">
        <f t="shared" si="195"/>
        <v>Supply, erection, commissioning &amp; site testing of 220 V, 2035 AH, Station Battery Sets (4 Nos.) and 24 V, 2250 AH, SG/TG &amp; BOP Battery Sets (8 Nos.) for U# 4 &amp; 5 along with accessories at 2 x 500 MW BTPS, Bhusawal</v>
      </c>
      <c r="C1190" s="1442" t="str">
        <f t="shared" si="195"/>
        <v>MERC/CAPEX/2017-2018/1226</v>
      </c>
      <c r="D1190" s="1443">
        <f t="shared" si="195"/>
        <v>43322</v>
      </c>
      <c r="E1190" s="1444">
        <f t="shared" si="195"/>
        <v>11.59</v>
      </c>
      <c r="F1190" s="1444">
        <f t="shared" si="187"/>
        <v>0</v>
      </c>
      <c r="G1190" s="1444">
        <f t="shared" si="188"/>
        <v>0</v>
      </c>
      <c r="H1190" s="1444">
        <f t="shared" si="189"/>
        <v>0</v>
      </c>
      <c r="I1190" s="1444">
        <v>0</v>
      </c>
      <c r="J1190" s="1444">
        <v>0</v>
      </c>
      <c r="K1190" s="1444"/>
      <c r="L1190" s="1444"/>
      <c r="M1190" s="1444">
        <f t="shared" si="194"/>
        <v>0</v>
      </c>
      <c r="N1190" s="1444">
        <f t="shared" si="191"/>
        <v>0</v>
      </c>
      <c r="O1190" s="1445">
        <f t="shared" si="192"/>
        <v>0</v>
      </c>
      <c r="P1190" s="1377">
        <f t="shared" si="193"/>
        <v>0</v>
      </c>
    </row>
    <row r="1191" spans="1:16" ht="46.5" outlineLevel="1">
      <c r="A1191" s="1446">
        <f t="shared" si="195"/>
        <v>13.1</v>
      </c>
      <c r="B1191" s="1447" t="str">
        <f t="shared" si="195"/>
        <v>Supply, erection, commissioning &amp; site testing of 220V, 2035 AH Station Battery Sets (02 Nos.) and 24V, 2250AH, SG/TG &amp; BOP Battery Set (04 Nos.) along with accessories for Unit No.5 at BTPS 2x500MW.</v>
      </c>
      <c r="C1191" s="1472" t="str">
        <f t="shared" si="195"/>
        <v>MERC/CAPEX/2017-2018/1226</v>
      </c>
      <c r="D1191" s="1473">
        <f t="shared" si="195"/>
        <v>43322</v>
      </c>
      <c r="E1191" s="1474">
        <f t="shared" si="195"/>
        <v>5.7949999999999999</v>
      </c>
      <c r="F1191" s="1444">
        <f t="shared" si="187"/>
        <v>6.3739579500000003</v>
      </c>
      <c r="G1191" s="1444">
        <f t="shared" si="188"/>
        <v>6.3739579500000003</v>
      </c>
      <c r="H1191" s="1474">
        <f t="shared" si="189"/>
        <v>0</v>
      </c>
      <c r="I1191" s="1444">
        <v>0</v>
      </c>
      <c r="J1191" s="1444">
        <v>0</v>
      </c>
      <c r="K1191" s="1474"/>
      <c r="L1191" s="1474"/>
      <c r="M1191" s="1474">
        <f t="shared" si="194"/>
        <v>0</v>
      </c>
      <c r="N1191" s="1474">
        <f t="shared" si="191"/>
        <v>0</v>
      </c>
      <c r="O1191" s="1445">
        <f t="shared" si="192"/>
        <v>0</v>
      </c>
      <c r="P1191" s="1377">
        <f t="shared" si="193"/>
        <v>0</v>
      </c>
    </row>
    <row r="1192" spans="1:16" ht="46.5" outlineLevel="1">
      <c r="A1192" s="1446">
        <f t="shared" ref="A1192:E1207" si="196">A962</f>
        <v>13.2</v>
      </c>
      <c r="B1192" s="1447" t="str">
        <f t="shared" si="196"/>
        <v>Supply, erection, commissioning &amp; site testing of 220V, 2035 AH Station Battery Sets (02 Nos.) and 24V, 2250AH, SG/TG &amp; BOP Battery Set (04 Nos.) along with accessories for Unit No.4 at BTPS 2x500MW.</v>
      </c>
      <c r="C1192" s="1472" t="str">
        <f t="shared" si="196"/>
        <v>MERC/CAPEX/2017-2018/1226</v>
      </c>
      <c r="D1192" s="1473">
        <f t="shared" si="196"/>
        <v>43322</v>
      </c>
      <c r="E1192" s="1474">
        <f t="shared" si="196"/>
        <v>5.7949999999999999</v>
      </c>
      <c r="F1192" s="1444">
        <f t="shared" si="187"/>
        <v>6.3227326000000001</v>
      </c>
      <c r="G1192" s="1444">
        <f t="shared" si="188"/>
        <v>6.3227326000000001</v>
      </c>
      <c r="H1192" s="1474">
        <f t="shared" si="189"/>
        <v>0</v>
      </c>
      <c r="I1192" s="1444">
        <v>0</v>
      </c>
      <c r="J1192" s="1444">
        <v>0</v>
      </c>
      <c r="K1192" s="1474"/>
      <c r="L1192" s="1474"/>
      <c r="M1192" s="1474">
        <f t="shared" si="194"/>
        <v>0</v>
      </c>
      <c r="N1192" s="1474">
        <f t="shared" si="191"/>
        <v>0</v>
      </c>
      <c r="O1192" s="1445">
        <f t="shared" si="192"/>
        <v>0</v>
      </c>
      <c r="P1192" s="1377">
        <f t="shared" si="193"/>
        <v>0</v>
      </c>
    </row>
    <row r="1193" spans="1:16" ht="31" outlineLevel="1">
      <c r="A1193" s="1440">
        <f t="shared" si="196"/>
        <v>15</v>
      </c>
      <c r="B1193" s="1441" t="str">
        <f t="shared" si="196"/>
        <v>Flue Gas Desulphurization (FGD) System for 500 MW Units (Total 8 Nos) of MSPGCL</v>
      </c>
      <c r="C1193" s="1442" t="str">
        <f t="shared" si="196"/>
        <v>MERC/CAPEX/2020-2021/WFH/SBR/45</v>
      </c>
      <c r="D1193" s="1443">
        <f t="shared" si="196"/>
        <v>44232</v>
      </c>
      <c r="E1193" s="1444">
        <f t="shared" si="196"/>
        <v>869.5</v>
      </c>
      <c r="F1193" s="1444">
        <f t="shared" si="187"/>
        <v>0</v>
      </c>
      <c r="G1193" s="1444">
        <f t="shared" si="188"/>
        <v>0</v>
      </c>
      <c r="H1193" s="1444">
        <f t="shared" si="189"/>
        <v>0</v>
      </c>
      <c r="I1193" s="1444">
        <v>0</v>
      </c>
      <c r="J1193" s="1444">
        <v>0</v>
      </c>
      <c r="K1193" s="1444"/>
      <c r="L1193" s="1444"/>
      <c r="M1193" s="1444">
        <f t="shared" si="194"/>
        <v>0</v>
      </c>
      <c r="N1193" s="1444">
        <f t="shared" si="191"/>
        <v>0</v>
      </c>
      <c r="O1193" s="1445">
        <f t="shared" si="192"/>
        <v>0</v>
      </c>
      <c r="P1193" s="1377">
        <f t="shared" si="193"/>
        <v>0</v>
      </c>
    </row>
    <row r="1194" spans="1:16" ht="15.5" outlineLevel="1">
      <c r="A1194" s="1450">
        <f t="shared" si="196"/>
        <v>15.1</v>
      </c>
      <c r="B1194" s="1451" t="str">
        <f t="shared" si="196"/>
        <v>Flue Gas Desulphurization (FGD) System for Bhusawal Unit 4-5</v>
      </c>
      <c r="C1194" s="1475" t="str">
        <f t="shared" si="196"/>
        <v>MERC/CAPEX/2020-2021/WFH/SBR/45</v>
      </c>
      <c r="D1194" s="1473">
        <f t="shared" si="196"/>
        <v>44232</v>
      </c>
      <c r="E1194" s="1476">
        <f t="shared" si="196"/>
        <v>830.4</v>
      </c>
      <c r="F1194" s="1444">
        <f t="shared" si="187"/>
        <v>849.16000000000008</v>
      </c>
      <c r="G1194" s="1444">
        <f t="shared" si="188"/>
        <v>849.16</v>
      </c>
      <c r="H1194" s="1476">
        <f t="shared" si="189"/>
        <v>0</v>
      </c>
      <c r="I1194" s="1444">
        <v>0</v>
      </c>
      <c r="J1194" s="1444">
        <v>424.58</v>
      </c>
      <c r="K1194" s="1476"/>
      <c r="L1194" s="1476"/>
      <c r="M1194" s="1476">
        <f t="shared" si="194"/>
        <v>424.58</v>
      </c>
      <c r="N1194" s="1476">
        <f t="shared" si="191"/>
        <v>-424.58</v>
      </c>
      <c r="O1194" s="1445">
        <f t="shared" si="192"/>
        <v>0</v>
      </c>
      <c r="P1194" s="1377">
        <f t="shared" si="193"/>
        <v>424.58</v>
      </c>
    </row>
    <row r="1195" spans="1:16" ht="15.5" outlineLevel="1">
      <c r="A1195" s="1450">
        <f t="shared" si="196"/>
        <v>0</v>
      </c>
      <c r="B1195" s="1452" t="str">
        <f t="shared" si="196"/>
        <v>IDC</v>
      </c>
      <c r="C1195" s="1475" t="str">
        <f t="shared" si="196"/>
        <v>MERC/CAPEX/2020-2021/WFH/SBR/45</v>
      </c>
      <c r="D1195" s="1473">
        <f t="shared" si="196"/>
        <v>44232</v>
      </c>
      <c r="E1195" s="1476">
        <f t="shared" si="196"/>
        <v>39.1</v>
      </c>
      <c r="F1195" s="1444">
        <f t="shared" si="187"/>
        <v>0</v>
      </c>
      <c r="G1195" s="1444">
        <f t="shared" si="188"/>
        <v>0</v>
      </c>
      <c r="H1195" s="1476">
        <f t="shared" si="189"/>
        <v>0</v>
      </c>
      <c r="I1195" s="1444">
        <v>0</v>
      </c>
      <c r="J1195" s="1444">
        <v>0</v>
      </c>
      <c r="K1195" s="1476"/>
      <c r="L1195" s="1476"/>
      <c r="M1195" s="1476">
        <f t="shared" si="194"/>
        <v>0</v>
      </c>
      <c r="N1195" s="1476">
        <f t="shared" si="191"/>
        <v>0</v>
      </c>
      <c r="O1195" s="1445">
        <f t="shared" si="192"/>
        <v>0</v>
      </c>
      <c r="P1195" s="1377">
        <f t="shared" si="193"/>
        <v>0</v>
      </c>
    </row>
    <row r="1196" spans="1:16" ht="31" outlineLevel="1">
      <c r="A1196" s="1440">
        <f t="shared" si="196"/>
        <v>16</v>
      </c>
      <c r="B1196" s="1441" t="str">
        <f t="shared" si="196"/>
        <v>Procurement of two BFP Cartridges &amp; one rotor of Turbine driven BFP &amp; at 500MW BTPS, Bhusawal</v>
      </c>
      <c r="C1196" s="1442" t="str">
        <f t="shared" si="196"/>
        <v>MERC/CAPEX/2020-2021/WFO/SBR/49</v>
      </c>
      <c r="D1196" s="1443">
        <f t="shared" si="196"/>
        <v>44263</v>
      </c>
      <c r="E1196" s="1444">
        <f t="shared" si="196"/>
        <v>10.520000000000001</v>
      </c>
      <c r="F1196" s="1444">
        <f t="shared" si="187"/>
        <v>0</v>
      </c>
      <c r="G1196" s="1444">
        <f t="shared" si="188"/>
        <v>0</v>
      </c>
      <c r="H1196" s="1444">
        <f t="shared" si="189"/>
        <v>0</v>
      </c>
      <c r="I1196" s="1444">
        <v>0</v>
      </c>
      <c r="J1196" s="1444">
        <v>0</v>
      </c>
      <c r="K1196" s="1444"/>
      <c r="L1196" s="1444"/>
      <c r="M1196" s="1444">
        <f t="shared" si="194"/>
        <v>0</v>
      </c>
      <c r="N1196" s="1444">
        <f t="shared" si="191"/>
        <v>0</v>
      </c>
      <c r="O1196" s="1445">
        <f t="shared" si="192"/>
        <v>0</v>
      </c>
      <c r="P1196" s="1377">
        <f t="shared" si="193"/>
        <v>0</v>
      </c>
    </row>
    <row r="1197" spans="1:16" ht="15.5" outlineLevel="1">
      <c r="A1197" s="1450">
        <f t="shared" si="196"/>
        <v>16.100000000000001</v>
      </c>
      <c r="B1197" s="1452" t="str">
        <f t="shared" si="196"/>
        <v>Procurement of two BFP Cartridges at 500MW BTPS, Bhusawal</v>
      </c>
      <c r="C1197" s="1475" t="str">
        <f t="shared" si="196"/>
        <v>MERC/CAPEX/2020-2021/WFO/SBR/49</v>
      </c>
      <c r="D1197" s="1473">
        <f t="shared" si="196"/>
        <v>44263</v>
      </c>
      <c r="E1197" s="1476">
        <f t="shared" si="196"/>
        <v>3.84</v>
      </c>
      <c r="F1197" s="1444">
        <f t="shared" si="187"/>
        <v>2.2399997760000003</v>
      </c>
      <c r="G1197" s="1444">
        <f t="shared" si="188"/>
        <v>2.2399997760000003</v>
      </c>
      <c r="H1197" s="1476">
        <f t="shared" si="189"/>
        <v>0</v>
      </c>
      <c r="I1197" s="1444">
        <v>0</v>
      </c>
      <c r="J1197" s="1444">
        <v>0</v>
      </c>
      <c r="K1197" s="1476"/>
      <c r="L1197" s="1476"/>
      <c r="M1197" s="1476">
        <f t="shared" si="194"/>
        <v>0</v>
      </c>
      <c r="N1197" s="1476">
        <f t="shared" si="191"/>
        <v>0</v>
      </c>
      <c r="O1197" s="1445">
        <f t="shared" si="192"/>
        <v>0</v>
      </c>
      <c r="P1197" s="1377">
        <f t="shared" si="193"/>
        <v>0</v>
      </c>
    </row>
    <row r="1198" spans="1:16" ht="15.5" outlineLevel="1">
      <c r="A1198" s="1450">
        <f t="shared" si="196"/>
        <v>16.2</v>
      </c>
      <c r="B1198" s="1452" t="str">
        <f t="shared" si="196"/>
        <v>Procurement of one rotor of Turbine driven BFP at 500MW BTPS, Bhusawal</v>
      </c>
      <c r="C1198" s="1475" t="str">
        <f t="shared" si="196"/>
        <v>MERC/CAPEX/2020-2021/WFO/SBR/49</v>
      </c>
      <c r="D1198" s="1473">
        <f t="shared" si="196"/>
        <v>44263</v>
      </c>
      <c r="E1198" s="1476">
        <f t="shared" si="196"/>
        <v>6.46</v>
      </c>
      <c r="F1198" s="1444">
        <f t="shared" si="187"/>
        <v>7.6135872999999998</v>
      </c>
      <c r="G1198" s="1444">
        <f t="shared" si="188"/>
        <v>7.6135872999999998</v>
      </c>
      <c r="H1198" s="1476">
        <f t="shared" si="189"/>
        <v>0</v>
      </c>
      <c r="I1198" s="1444">
        <v>0</v>
      </c>
      <c r="J1198" s="1444">
        <v>0</v>
      </c>
      <c r="K1198" s="1476"/>
      <c r="L1198" s="1476"/>
      <c r="M1198" s="1476">
        <f t="shared" si="194"/>
        <v>0</v>
      </c>
      <c r="N1198" s="1476">
        <f t="shared" si="191"/>
        <v>0</v>
      </c>
      <c r="O1198" s="1445">
        <f t="shared" si="192"/>
        <v>0</v>
      </c>
      <c r="P1198" s="1377">
        <f t="shared" si="193"/>
        <v>0</v>
      </c>
    </row>
    <row r="1199" spans="1:16" ht="15.5" outlineLevel="1">
      <c r="A1199" s="1450">
        <f t="shared" si="196"/>
        <v>0</v>
      </c>
      <c r="B1199" s="1452" t="str">
        <f t="shared" si="196"/>
        <v>IDC</v>
      </c>
      <c r="C1199" s="1475" t="str">
        <f t="shared" si="196"/>
        <v>MERC/CAPEX/2020-2021/WFO/SBR/49</v>
      </c>
      <c r="D1199" s="1473">
        <f t="shared" si="196"/>
        <v>44263</v>
      </c>
      <c r="E1199" s="1476">
        <f t="shared" si="196"/>
        <v>0.22</v>
      </c>
      <c r="F1199" s="1444">
        <f t="shared" si="187"/>
        <v>0</v>
      </c>
      <c r="G1199" s="1444">
        <f t="shared" si="188"/>
        <v>0</v>
      </c>
      <c r="H1199" s="1476">
        <f t="shared" si="189"/>
        <v>0</v>
      </c>
      <c r="I1199" s="1444">
        <v>0</v>
      </c>
      <c r="J1199" s="1444">
        <v>0</v>
      </c>
      <c r="K1199" s="1476"/>
      <c r="L1199" s="1476"/>
      <c r="M1199" s="1476">
        <f t="shared" si="194"/>
        <v>0</v>
      </c>
      <c r="N1199" s="1476">
        <f t="shared" si="191"/>
        <v>0</v>
      </c>
      <c r="O1199" s="1445">
        <f t="shared" si="192"/>
        <v>0</v>
      </c>
      <c r="P1199" s="1377">
        <f t="shared" si="193"/>
        <v>0</v>
      </c>
    </row>
    <row r="1200" spans="1:16" ht="31" outlineLevel="1">
      <c r="A1200" s="1440">
        <f t="shared" si="196"/>
        <v>17</v>
      </c>
      <c r="B1200" s="1441" t="str">
        <f t="shared" si="196"/>
        <v>CHP Improvement Schemes at 2X500MW, BTPS, Bhusawal</v>
      </c>
      <c r="C1200" s="1442" t="str">
        <f t="shared" si="196"/>
        <v>MERC/CAPEX/2020-2021/WFH/SBR/09</v>
      </c>
      <c r="D1200" s="1443">
        <f t="shared" si="196"/>
        <v>44357</v>
      </c>
      <c r="E1200" s="1444">
        <f t="shared" si="196"/>
        <v>21.22</v>
      </c>
      <c r="F1200" s="1444">
        <f t="shared" si="187"/>
        <v>0</v>
      </c>
      <c r="G1200" s="1444">
        <f t="shared" si="188"/>
        <v>0</v>
      </c>
      <c r="H1200" s="1444">
        <f t="shared" si="189"/>
        <v>0</v>
      </c>
      <c r="I1200" s="1444">
        <v>0</v>
      </c>
      <c r="J1200" s="1444">
        <v>0</v>
      </c>
      <c r="K1200" s="1444"/>
      <c r="L1200" s="1444"/>
      <c r="M1200" s="1444">
        <f t="shared" si="194"/>
        <v>0</v>
      </c>
      <c r="N1200" s="1444">
        <f t="shared" si="191"/>
        <v>0</v>
      </c>
      <c r="O1200" s="1445">
        <f t="shared" si="192"/>
        <v>0</v>
      </c>
      <c r="P1200" s="1377">
        <f t="shared" si="193"/>
        <v>0</v>
      </c>
    </row>
    <row r="1201" spans="1:16" ht="15.5" outlineLevel="1">
      <c r="A1201" s="1450">
        <f t="shared" si="196"/>
        <v>17.100000000000001</v>
      </c>
      <c r="B1201" s="1452" t="str">
        <f t="shared" si="196"/>
        <v>Revamping of Apron Feeder in CHP at 2X500MW, BTPS</v>
      </c>
      <c r="C1201" s="1475" t="str">
        <f t="shared" si="196"/>
        <v>MERC/CAPEX/2020-2021/WFH/SBR/09</v>
      </c>
      <c r="D1201" s="1473">
        <f t="shared" si="196"/>
        <v>44357</v>
      </c>
      <c r="E1201" s="1476">
        <f t="shared" si="196"/>
        <v>4.67</v>
      </c>
      <c r="F1201" s="1444">
        <f t="shared" si="187"/>
        <v>4.6492000000000004</v>
      </c>
      <c r="G1201" s="1444">
        <f t="shared" si="188"/>
        <v>4.6492000000000004</v>
      </c>
      <c r="H1201" s="1476">
        <f t="shared" si="189"/>
        <v>0</v>
      </c>
      <c r="I1201" s="1444">
        <v>0</v>
      </c>
      <c r="J1201" s="1444">
        <v>0</v>
      </c>
      <c r="K1201" s="1476"/>
      <c r="L1201" s="1476"/>
      <c r="M1201" s="1476">
        <f t="shared" si="194"/>
        <v>0</v>
      </c>
      <c r="N1201" s="1476">
        <f t="shared" si="191"/>
        <v>0</v>
      </c>
      <c r="O1201" s="1445">
        <f t="shared" si="192"/>
        <v>0</v>
      </c>
      <c r="P1201" s="1377">
        <f t="shared" si="193"/>
        <v>0</v>
      </c>
    </row>
    <row r="1202" spans="1:16" ht="31" outlineLevel="1">
      <c r="A1202" s="1450">
        <f t="shared" si="196"/>
        <v>17.2</v>
      </c>
      <c r="B1202" s="1452" t="str">
        <f t="shared" si="196"/>
        <v>Design, engineering, manufacturing, supply, Erection and commissioning of short conveyor from stack yard to belt feeder 112 in CHP 2x500MW BTPS.</v>
      </c>
      <c r="C1202" s="1475" t="str">
        <f t="shared" si="196"/>
        <v>MERC/CAPEX/2020-2021/WFH/SBR/09</v>
      </c>
      <c r="D1202" s="1473">
        <f t="shared" si="196"/>
        <v>44357</v>
      </c>
      <c r="E1202" s="1476">
        <f t="shared" si="196"/>
        <v>3.53</v>
      </c>
      <c r="F1202" s="1444">
        <f t="shared" si="187"/>
        <v>3.9647536259999998</v>
      </c>
      <c r="G1202" s="1444">
        <f t="shared" si="188"/>
        <v>3.9647536259999998</v>
      </c>
      <c r="H1202" s="1476">
        <f t="shared" si="189"/>
        <v>0</v>
      </c>
      <c r="I1202" s="1444">
        <v>0</v>
      </c>
      <c r="J1202" s="1444">
        <v>0</v>
      </c>
      <c r="K1202" s="1476"/>
      <c r="L1202" s="1476"/>
      <c r="M1202" s="1476">
        <f t="shared" si="194"/>
        <v>0</v>
      </c>
      <c r="N1202" s="1476">
        <f t="shared" si="191"/>
        <v>0</v>
      </c>
      <c r="O1202" s="1445">
        <f t="shared" si="192"/>
        <v>0</v>
      </c>
      <c r="P1202" s="1377">
        <f t="shared" si="193"/>
        <v>0</v>
      </c>
    </row>
    <row r="1203" spans="1:16" ht="31" outlineLevel="1">
      <c r="A1203" s="1450">
        <f t="shared" si="196"/>
        <v>17.3</v>
      </c>
      <c r="B1203" s="1452" t="str">
        <f t="shared" si="196"/>
        <v>Design, engineering, manufacturing, supply, Erection and commissioning of stone grappler at Wagon Tippler No.3 in CHP 2x500MW BTPS.</v>
      </c>
      <c r="C1203" s="1475" t="str">
        <f t="shared" si="196"/>
        <v>MERC/CAPEX/2020-2021/WFH/SBR/09</v>
      </c>
      <c r="D1203" s="1473">
        <f t="shared" si="196"/>
        <v>44357</v>
      </c>
      <c r="E1203" s="1476">
        <f t="shared" si="196"/>
        <v>0.84</v>
      </c>
      <c r="F1203" s="1444">
        <f t="shared" si="187"/>
        <v>0.84</v>
      </c>
      <c r="G1203" s="1444">
        <f t="shared" si="188"/>
        <v>0.84</v>
      </c>
      <c r="H1203" s="1476">
        <f t="shared" si="189"/>
        <v>0</v>
      </c>
      <c r="I1203" s="1444">
        <v>0</v>
      </c>
      <c r="J1203" s="1444">
        <v>0</v>
      </c>
      <c r="K1203" s="1476"/>
      <c r="L1203" s="1476"/>
      <c r="M1203" s="1476">
        <f t="shared" si="194"/>
        <v>0</v>
      </c>
      <c r="N1203" s="1476">
        <f t="shared" si="191"/>
        <v>0</v>
      </c>
      <c r="O1203" s="1445">
        <f t="shared" si="192"/>
        <v>0</v>
      </c>
      <c r="P1203" s="1377">
        <f t="shared" si="193"/>
        <v>0</v>
      </c>
    </row>
    <row r="1204" spans="1:16" ht="15.5" outlineLevel="1">
      <c r="A1204" s="1450">
        <f t="shared" si="196"/>
        <v>17.399999999999999</v>
      </c>
      <c r="B1204" s="1452" t="str">
        <f t="shared" si="196"/>
        <v>Procurement of suspended magnets in CHP 2x500MW BTPS.</v>
      </c>
      <c r="C1204" s="1475" t="str">
        <f t="shared" si="196"/>
        <v>MERC/CAPEX/2020-2021/WFH/SBR/09</v>
      </c>
      <c r="D1204" s="1473">
        <f t="shared" si="196"/>
        <v>44357</v>
      </c>
      <c r="E1204" s="1476">
        <f t="shared" si="196"/>
        <v>2.95</v>
      </c>
      <c r="F1204" s="1444">
        <f t="shared" si="187"/>
        <v>2.9470499999999999</v>
      </c>
      <c r="G1204" s="1444">
        <f t="shared" si="188"/>
        <v>2.9470499999999999</v>
      </c>
      <c r="H1204" s="1476">
        <f t="shared" si="189"/>
        <v>0</v>
      </c>
      <c r="I1204" s="1444">
        <v>0</v>
      </c>
      <c r="J1204" s="1444">
        <v>0</v>
      </c>
      <c r="K1204" s="1476"/>
      <c r="L1204" s="1476"/>
      <c r="M1204" s="1476">
        <f t="shared" si="194"/>
        <v>0</v>
      </c>
      <c r="N1204" s="1476">
        <f t="shared" si="191"/>
        <v>0</v>
      </c>
      <c r="O1204" s="1445">
        <f t="shared" si="192"/>
        <v>0</v>
      </c>
      <c r="P1204" s="1377">
        <f t="shared" si="193"/>
        <v>0</v>
      </c>
    </row>
    <row r="1205" spans="1:16" ht="31" outlineLevel="1">
      <c r="A1205" s="1450">
        <f t="shared" si="196"/>
        <v>17.5</v>
      </c>
      <c r="B1205" s="1452" t="str">
        <f t="shared" si="196"/>
        <v>Supply, Erection And Commissioning of Electro-Mechanical Drive to Apron Feeder at CHP 500MW</v>
      </c>
      <c r="C1205" s="1475" t="str">
        <f t="shared" si="196"/>
        <v>MERC/CAPEX/2020-2021/WFH/SBR/09</v>
      </c>
      <c r="D1205" s="1473">
        <f t="shared" si="196"/>
        <v>44357</v>
      </c>
      <c r="E1205" s="1476">
        <f t="shared" si="196"/>
        <v>7.57</v>
      </c>
      <c r="F1205" s="1444">
        <f t="shared" si="187"/>
        <v>7.57</v>
      </c>
      <c r="G1205" s="1444">
        <f t="shared" si="188"/>
        <v>0</v>
      </c>
      <c r="H1205" s="1476">
        <f t="shared" si="189"/>
        <v>7.57</v>
      </c>
      <c r="I1205" s="1444">
        <v>0</v>
      </c>
      <c r="J1205" s="1444">
        <v>0</v>
      </c>
      <c r="K1205" s="1476"/>
      <c r="L1205" s="1476"/>
      <c r="M1205" s="1476">
        <f t="shared" si="194"/>
        <v>0</v>
      </c>
      <c r="N1205" s="1476">
        <f t="shared" si="191"/>
        <v>7.57</v>
      </c>
      <c r="O1205" s="1445">
        <f t="shared" si="192"/>
        <v>0</v>
      </c>
      <c r="P1205" s="1377">
        <f t="shared" si="193"/>
        <v>0</v>
      </c>
    </row>
    <row r="1206" spans="1:16" ht="15.5" outlineLevel="1">
      <c r="A1206" s="1450">
        <f t="shared" si="196"/>
        <v>0</v>
      </c>
      <c r="B1206" s="1453" t="str">
        <f t="shared" si="196"/>
        <v>IDC</v>
      </c>
      <c r="C1206" s="1475" t="str">
        <f t="shared" si="196"/>
        <v>MERC/CAPEX/2020-2021/WFH/SBR/09</v>
      </c>
      <c r="D1206" s="1473">
        <f t="shared" si="196"/>
        <v>44357</v>
      </c>
      <c r="E1206" s="1476">
        <f t="shared" si="196"/>
        <v>1.66</v>
      </c>
      <c r="F1206" s="1444">
        <f t="shared" si="187"/>
        <v>6.7524100000000004E-2</v>
      </c>
      <c r="G1206" s="1444">
        <f t="shared" si="188"/>
        <v>6.7524100000000004E-2</v>
      </c>
      <c r="H1206" s="1476">
        <f t="shared" si="189"/>
        <v>0</v>
      </c>
      <c r="I1206" s="1444">
        <v>0</v>
      </c>
      <c r="J1206" s="1444">
        <v>0</v>
      </c>
      <c r="K1206" s="1476"/>
      <c r="L1206" s="1476"/>
      <c r="M1206" s="1476">
        <f t="shared" si="194"/>
        <v>0</v>
      </c>
      <c r="N1206" s="1476">
        <f t="shared" si="191"/>
        <v>0</v>
      </c>
      <c r="O1206" s="1445">
        <f t="shared" si="192"/>
        <v>0</v>
      </c>
      <c r="P1206" s="1377">
        <f t="shared" si="193"/>
        <v>0</v>
      </c>
    </row>
    <row r="1207" spans="1:16" ht="31" outlineLevel="1">
      <c r="A1207" s="1440" t="str">
        <f t="shared" si="196"/>
        <v>HO
DPR 6</v>
      </c>
      <c r="B1207" s="1441" t="str">
        <f t="shared" si="196"/>
        <v>Supply, Installation, Commissioning and Operation &amp; Maintenance Services of Continuous Ambient Air Quality Monitoring Stations (CAAQMS) at various TPS</v>
      </c>
      <c r="C1207" s="1442" t="str">
        <f t="shared" si="196"/>
        <v>MERC/CAPEX/20162017/00423</v>
      </c>
      <c r="D1207" s="1443">
        <f t="shared" si="196"/>
        <v>42585</v>
      </c>
      <c r="E1207" s="1444">
        <f t="shared" si="196"/>
        <v>3.9772580142857143</v>
      </c>
      <c r="F1207" s="1444">
        <f t="shared" si="187"/>
        <v>0</v>
      </c>
      <c r="G1207" s="1444">
        <f t="shared" si="188"/>
        <v>0</v>
      </c>
      <c r="H1207" s="1444">
        <f t="shared" si="189"/>
        <v>0</v>
      </c>
      <c r="I1207" s="1444">
        <v>0</v>
      </c>
      <c r="J1207" s="1444">
        <v>0</v>
      </c>
      <c r="K1207" s="1444"/>
      <c r="L1207" s="1444"/>
      <c r="M1207" s="1444">
        <f t="shared" si="194"/>
        <v>0</v>
      </c>
      <c r="N1207" s="1444">
        <f t="shared" si="191"/>
        <v>0</v>
      </c>
      <c r="O1207" s="1445">
        <f t="shared" si="192"/>
        <v>0</v>
      </c>
      <c r="P1207" s="1377">
        <f t="shared" si="193"/>
        <v>0</v>
      </c>
    </row>
    <row r="1208" spans="1:16" ht="15.5" outlineLevel="1">
      <c r="A1208" s="1450">
        <f t="shared" ref="A1208:E1223" si="197">A978</f>
        <v>1</v>
      </c>
      <c r="B1208" s="1452" t="str">
        <f t="shared" si="197"/>
        <v>Bhusawal: Unit 4-5 (3 Nos.)</v>
      </c>
      <c r="C1208" s="1475" t="str">
        <f t="shared" si="197"/>
        <v>MERC/CAPEX/20162017/00423</v>
      </c>
      <c r="D1208" s="1473">
        <f t="shared" si="197"/>
        <v>42585</v>
      </c>
      <c r="E1208" s="1476">
        <f t="shared" si="197"/>
        <v>3.9772580142857143</v>
      </c>
      <c r="F1208" s="1444">
        <f t="shared" si="187"/>
        <v>1.9467999333333335</v>
      </c>
      <c r="G1208" s="1444">
        <f t="shared" si="188"/>
        <v>1.9457999143333333</v>
      </c>
      <c r="H1208" s="1476">
        <f t="shared" si="189"/>
        <v>1.0000190000001297E-3</v>
      </c>
      <c r="I1208" s="1444">
        <v>0</v>
      </c>
      <c r="J1208" s="1444">
        <v>0</v>
      </c>
      <c r="K1208" s="1476"/>
      <c r="L1208" s="1476"/>
      <c r="M1208" s="1476">
        <f t="shared" si="194"/>
        <v>0</v>
      </c>
      <c r="N1208" s="1476">
        <f t="shared" si="191"/>
        <v>1.0000190000001297E-3</v>
      </c>
      <c r="O1208" s="1445">
        <f t="shared" si="192"/>
        <v>0</v>
      </c>
      <c r="P1208" s="1377">
        <f t="shared" si="193"/>
        <v>0</v>
      </c>
    </row>
    <row r="1209" spans="1:16" ht="31" outlineLevel="1">
      <c r="A1209" s="1440" t="str">
        <f t="shared" si="197"/>
        <v>HO
DPR 7</v>
      </c>
      <c r="B1209" s="1441" t="str">
        <f t="shared" si="197"/>
        <v>Installation of Real Time Online Coal-Ash Analyzer at various TPS</v>
      </c>
      <c r="C1209" s="1442" t="str">
        <f t="shared" si="197"/>
        <v>MERC/CAPEX/20162017/00774</v>
      </c>
      <c r="D1209" s="1443">
        <f t="shared" si="197"/>
        <v>42643</v>
      </c>
      <c r="E1209" s="1444">
        <f t="shared" si="197"/>
        <v>4.0552000000000001</v>
      </c>
      <c r="F1209" s="1444">
        <f t="shared" si="187"/>
        <v>0</v>
      </c>
      <c r="G1209" s="1444">
        <f t="shared" si="188"/>
        <v>0</v>
      </c>
      <c r="H1209" s="1444">
        <f t="shared" si="189"/>
        <v>0</v>
      </c>
      <c r="I1209" s="1444">
        <v>0</v>
      </c>
      <c r="J1209" s="1444">
        <v>0</v>
      </c>
      <c r="K1209" s="1444"/>
      <c r="L1209" s="1444"/>
      <c r="M1209" s="1444">
        <f t="shared" si="194"/>
        <v>0</v>
      </c>
      <c r="N1209" s="1444">
        <f t="shared" si="191"/>
        <v>0</v>
      </c>
      <c r="O1209" s="1445">
        <f t="shared" si="192"/>
        <v>0</v>
      </c>
      <c r="P1209" s="1377">
        <f t="shared" si="193"/>
        <v>0</v>
      </c>
    </row>
    <row r="1210" spans="1:16" ht="15.5" outlineLevel="1">
      <c r="A1210" s="1450">
        <f t="shared" si="197"/>
        <v>1</v>
      </c>
      <c r="B1210" s="1452" t="str">
        <f t="shared" si="197"/>
        <v>Bhusawal: Unit 4-5</v>
      </c>
      <c r="C1210" s="1475" t="str">
        <f t="shared" si="197"/>
        <v>MERC/CAPEX/20162017/00774</v>
      </c>
      <c r="D1210" s="1473">
        <f t="shared" si="197"/>
        <v>42643</v>
      </c>
      <c r="E1210" s="1476">
        <f t="shared" si="197"/>
        <v>4.0552000000000001</v>
      </c>
      <c r="F1210" s="1444">
        <f t="shared" si="187"/>
        <v>0</v>
      </c>
      <c r="G1210" s="1444">
        <f t="shared" si="188"/>
        <v>0</v>
      </c>
      <c r="H1210" s="1476">
        <f t="shared" si="189"/>
        <v>0</v>
      </c>
      <c r="I1210" s="1444">
        <v>0</v>
      </c>
      <c r="J1210" s="1444">
        <v>0</v>
      </c>
      <c r="K1210" s="1476"/>
      <c r="L1210" s="1476"/>
      <c r="M1210" s="1476">
        <f t="shared" si="194"/>
        <v>0</v>
      </c>
      <c r="N1210" s="1476">
        <f t="shared" si="191"/>
        <v>0</v>
      </c>
      <c r="O1210" s="1445">
        <f t="shared" si="192"/>
        <v>0</v>
      </c>
      <c r="P1210" s="1377">
        <f t="shared" si="193"/>
        <v>0</v>
      </c>
    </row>
    <row r="1211" spans="1:16" ht="31" outlineLevel="1">
      <c r="A1211" s="1440" t="str">
        <f t="shared" si="197"/>
        <v>HO
DPR 8</v>
      </c>
      <c r="B1211" s="1441" t="str">
        <f t="shared" si="197"/>
        <v>Replacement of Fire Tenders at Various Power Stations of Mahagenco</v>
      </c>
      <c r="C1211" s="1442" t="str">
        <f t="shared" si="197"/>
        <v>MERC/CAPEX/20172018/4653</v>
      </c>
      <c r="D1211" s="1443">
        <f t="shared" si="197"/>
        <v>43052</v>
      </c>
      <c r="E1211" s="1444">
        <f t="shared" si="197"/>
        <v>3.95</v>
      </c>
      <c r="F1211" s="1444">
        <f t="shared" si="187"/>
        <v>0</v>
      </c>
      <c r="G1211" s="1444">
        <f t="shared" si="188"/>
        <v>0</v>
      </c>
      <c r="H1211" s="1444">
        <f t="shared" si="189"/>
        <v>0</v>
      </c>
      <c r="I1211" s="1444">
        <v>0</v>
      </c>
      <c r="J1211" s="1444">
        <v>0</v>
      </c>
      <c r="K1211" s="1444"/>
      <c r="L1211" s="1444"/>
      <c r="M1211" s="1444">
        <f t="shared" si="194"/>
        <v>0</v>
      </c>
      <c r="N1211" s="1444">
        <f t="shared" si="191"/>
        <v>0</v>
      </c>
      <c r="O1211" s="1445">
        <f t="shared" si="192"/>
        <v>0</v>
      </c>
      <c r="P1211" s="1377">
        <f t="shared" si="193"/>
        <v>0</v>
      </c>
    </row>
    <row r="1212" spans="1:16" ht="15.5" outlineLevel="1">
      <c r="A1212" s="1450">
        <f t="shared" si="197"/>
        <v>1</v>
      </c>
      <c r="B1212" s="1452" t="str">
        <f t="shared" si="197"/>
        <v>Advance Multipurpose Fire Tender for BTPS 4-5</v>
      </c>
      <c r="C1212" s="1477" t="str">
        <f t="shared" si="197"/>
        <v>MERC/CAPEX/20172018/4653</v>
      </c>
      <c r="D1212" s="1473">
        <f t="shared" si="197"/>
        <v>43052</v>
      </c>
      <c r="E1212" s="1476">
        <f t="shared" si="197"/>
        <v>1.45</v>
      </c>
      <c r="F1212" s="1444">
        <f t="shared" si="187"/>
        <v>1.7765</v>
      </c>
      <c r="G1212" s="1444">
        <f t="shared" si="188"/>
        <v>1.7765</v>
      </c>
      <c r="H1212" s="1476">
        <f t="shared" si="189"/>
        <v>0</v>
      </c>
      <c r="I1212" s="1444">
        <v>0</v>
      </c>
      <c r="J1212" s="1444">
        <v>0</v>
      </c>
      <c r="K1212" s="1476"/>
      <c r="L1212" s="1476"/>
      <c r="M1212" s="1476">
        <f t="shared" si="194"/>
        <v>0</v>
      </c>
      <c r="N1212" s="1476">
        <f t="shared" si="191"/>
        <v>0</v>
      </c>
      <c r="O1212" s="1445">
        <f t="shared" si="192"/>
        <v>0</v>
      </c>
      <c r="P1212" s="1377">
        <f t="shared" si="193"/>
        <v>0</v>
      </c>
    </row>
    <row r="1213" spans="1:16" ht="15.5" outlineLevel="1">
      <c r="A1213" s="1450">
        <f t="shared" si="197"/>
        <v>2</v>
      </c>
      <c r="B1213" s="1452" t="str">
        <f t="shared" si="197"/>
        <v>Normal Multipurpose Fire Tender for BTPS 4-5</v>
      </c>
      <c r="C1213" s="1477" t="str">
        <f t="shared" si="197"/>
        <v>MERC/CAPEX/20172018/4653</v>
      </c>
      <c r="D1213" s="1473">
        <f t="shared" si="197"/>
        <v>43052</v>
      </c>
      <c r="E1213" s="1476">
        <f t="shared" si="197"/>
        <v>2.5</v>
      </c>
      <c r="F1213" s="1444">
        <f t="shared" si="187"/>
        <v>2.1846524010000001</v>
      </c>
      <c r="G1213" s="1444">
        <f t="shared" si="188"/>
        <v>2.1846524010000001</v>
      </c>
      <c r="H1213" s="1476">
        <f t="shared" si="189"/>
        <v>0</v>
      </c>
      <c r="I1213" s="1444">
        <v>0</v>
      </c>
      <c r="J1213" s="1444">
        <v>0</v>
      </c>
      <c r="K1213" s="1476"/>
      <c r="L1213" s="1476"/>
      <c r="M1213" s="1476">
        <f t="shared" si="194"/>
        <v>0</v>
      </c>
      <c r="N1213" s="1476">
        <f t="shared" si="191"/>
        <v>0</v>
      </c>
      <c r="O1213" s="1445">
        <f t="shared" si="192"/>
        <v>0</v>
      </c>
      <c r="P1213" s="1377">
        <f t="shared" si="193"/>
        <v>0</v>
      </c>
    </row>
    <row r="1214" spans="1:16" ht="15.5" outlineLevel="1">
      <c r="A1214" s="1450">
        <f t="shared" si="197"/>
        <v>0</v>
      </c>
      <c r="B1214" s="1452" t="str">
        <f t="shared" si="197"/>
        <v>IDC</v>
      </c>
      <c r="C1214" s="1477" t="str">
        <f t="shared" si="197"/>
        <v>MERC/CAPEX/20172018/4653</v>
      </c>
      <c r="D1214" s="1473">
        <f t="shared" si="197"/>
        <v>43052</v>
      </c>
      <c r="E1214" s="1476">
        <f t="shared" si="197"/>
        <v>0</v>
      </c>
      <c r="F1214" s="1444">
        <f t="shared" si="187"/>
        <v>0</v>
      </c>
      <c r="G1214" s="1444">
        <f t="shared" si="188"/>
        <v>0</v>
      </c>
      <c r="H1214" s="1476">
        <f t="shared" si="189"/>
        <v>0</v>
      </c>
      <c r="I1214" s="1444">
        <v>0</v>
      </c>
      <c r="J1214" s="1444">
        <v>0</v>
      </c>
      <c r="K1214" s="1476"/>
      <c r="L1214" s="1476"/>
      <c r="M1214" s="1476">
        <f t="shared" si="194"/>
        <v>0</v>
      </c>
      <c r="N1214" s="1476">
        <f t="shared" si="191"/>
        <v>0</v>
      </c>
      <c r="O1214" s="1445">
        <f t="shared" si="192"/>
        <v>0</v>
      </c>
      <c r="P1214" s="1377">
        <f t="shared" si="193"/>
        <v>0</v>
      </c>
    </row>
    <row r="1215" spans="1:16" ht="31" outlineLevel="1">
      <c r="A1215" s="1440" t="str">
        <f t="shared" si="197"/>
        <v>HO
DPR 10</v>
      </c>
      <c r="B1215" s="1441" t="str">
        <f t="shared" si="197"/>
        <v>Implementation of IB recommendations- Civil works at various TPS of Mahagenco</v>
      </c>
      <c r="C1215" s="1442" t="str">
        <f t="shared" si="197"/>
        <v>MERC/CAPEX/20172018/0177</v>
      </c>
      <c r="D1215" s="1443">
        <f t="shared" si="197"/>
        <v>43137</v>
      </c>
      <c r="E1215" s="1444">
        <f t="shared" si="197"/>
        <v>10.065399999999999</v>
      </c>
      <c r="F1215" s="1444">
        <f t="shared" si="187"/>
        <v>0</v>
      </c>
      <c r="G1215" s="1444">
        <f t="shared" si="188"/>
        <v>0</v>
      </c>
      <c r="H1215" s="1444">
        <f t="shared" si="189"/>
        <v>0</v>
      </c>
      <c r="I1215" s="1444">
        <v>0</v>
      </c>
      <c r="J1215" s="1444">
        <v>0</v>
      </c>
      <c r="K1215" s="1444"/>
      <c r="L1215" s="1444"/>
      <c r="M1215" s="1444">
        <f t="shared" si="194"/>
        <v>0</v>
      </c>
      <c r="N1215" s="1444">
        <f t="shared" si="191"/>
        <v>0</v>
      </c>
      <c r="O1215" s="1445">
        <f t="shared" si="192"/>
        <v>0</v>
      </c>
      <c r="P1215" s="1377">
        <f t="shared" si="193"/>
        <v>0</v>
      </c>
    </row>
    <row r="1216" spans="1:16" ht="15.5" outlineLevel="1">
      <c r="A1216" s="1450">
        <f t="shared" si="197"/>
        <v>1</v>
      </c>
      <c r="B1216" s="1452" t="str">
        <f t="shared" si="197"/>
        <v>Bhusawal: Unit 4-5</v>
      </c>
      <c r="C1216" s="1478" t="str">
        <f t="shared" si="197"/>
        <v>MERC/CAPEX/20172018/0177</v>
      </c>
      <c r="D1216" s="1473">
        <f t="shared" si="197"/>
        <v>43137</v>
      </c>
      <c r="E1216" s="1476">
        <f t="shared" si="197"/>
        <v>10.065399999999999</v>
      </c>
      <c r="F1216" s="1444">
        <f t="shared" si="187"/>
        <v>9.1854371740000005</v>
      </c>
      <c r="G1216" s="1444">
        <f t="shared" si="188"/>
        <v>9.1836757359999996</v>
      </c>
      <c r="H1216" s="1476">
        <f t="shared" si="189"/>
        <v>1.7614380000008367E-3</v>
      </c>
      <c r="I1216" s="1444">
        <v>0</v>
      </c>
      <c r="J1216" s="1444">
        <v>0</v>
      </c>
      <c r="K1216" s="1476"/>
      <c r="L1216" s="1476"/>
      <c r="M1216" s="1476">
        <f t="shared" si="194"/>
        <v>0</v>
      </c>
      <c r="N1216" s="1476">
        <f t="shared" si="191"/>
        <v>1.7614380000008367E-3</v>
      </c>
      <c r="O1216" s="1445">
        <f t="shared" si="192"/>
        <v>0</v>
      </c>
      <c r="P1216" s="1377">
        <f t="shared" si="193"/>
        <v>0</v>
      </c>
    </row>
    <row r="1217" spans="1:16" ht="46.5" outlineLevel="1">
      <c r="A1217" s="1440">
        <f t="shared" si="197"/>
        <v>18</v>
      </c>
      <c r="B1217" s="1441" t="str">
        <f t="shared" si="197"/>
        <v>Procurement of assembly of baskets for Air Pre-heater of type 31.5 VIM 2000 (72° PA), Replacement of thermal insulation of Boiler, Ducts &amp; Steam Pipelines and Coal Mill Gear Box in 2x500MW at BTPS, Bhusawal</v>
      </c>
      <c r="C1217" s="1442" t="str">
        <f t="shared" si="197"/>
        <v>MERC/CAPEX/2021-2022/ SBR/ 15</v>
      </c>
      <c r="D1217" s="1443">
        <f t="shared" si="197"/>
        <v>44461</v>
      </c>
      <c r="E1217" s="1444">
        <f t="shared" si="197"/>
        <v>14.96</v>
      </c>
      <c r="F1217" s="1444">
        <f t="shared" si="187"/>
        <v>0</v>
      </c>
      <c r="G1217" s="1444">
        <f t="shared" si="188"/>
        <v>0</v>
      </c>
      <c r="H1217" s="1444">
        <f t="shared" si="189"/>
        <v>0</v>
      </c>
      <c r="I1217" s="1444">
        <v>0</v>
      </c>
      <c r="J1217" s="1444">
        <v>0</v>
      </c>
      <c r="K1217" s="1444"/>
      <c r="L1217" s="1444"/>
      <c r="M1217" s="1444">
        <f t="shared" si="194"/>
        <v>0</v>
      </c>
      <c r="N1217" s="1444">
        <f t="shared" si="191"/>
        <v>0</v>
      </c>
      <c r="O1217" s="1445">
        <f t="shared" si="192"/>
        <v>0</v>
      </c>
      <c r="P1217" s="1377">
        <f t="shared" si="193"/>
        <v>0</v>
      </c>
    </row>
    <row r="1218" spans="1:16" ht="31" outlineLevel="1">
      <c r="A1218" s="1314">
        <f t="shared" si="197"/>
        <v>18.100000000000001</v>
      </c>
      <c r="B1218" s="1447" t="str">
        <f t="shared" si="197"/>
        <v>Procurement of assembly of baskets for Air Preheater of type 31.5 VIM 2000 (72° PA) for Unit-4&amp;5</v>
      </c>
      <c r="C1218" s="1378" t="str">
        <f t="shared" si="197"/>
        <v>MERC/CAPEX/2021-2022/ SBR/ 15</v>
      </c>
      <c r="D1218" s="1473">
        <f t="shared" si="197"/>
        <v>44461</v>
      </c>
      <c r="E1218" s="305">
        <f t="shared" si="197"/>
        <v>5.53</v>
      </c>
      <c r="F1218" s="1444">
        <f t="shared" si="187"/>
        <v>8.4110399999999998</v>
      </c>
      <c r="G1218" s="1444">
        <f t="shared" si="188"/>
        <v>8.4110399999999998</v>
      </c>
      <c r="H1218" s="305">
        <f t="shared" si="189"/>
        <v>0</v>
      </c>
      <c r="I1218" s="1444">
        <v>0</v>
      </c>
      <c r="J1218" s="1444">
        <v>0</v>
      </c>
      <c r="K1218" s="305"/>
      <c r="L1218" s="305"/>
      <c r="M1218" s="305">
        <f t="shared" si="194"/>
        <v>0</v>
      </c>
      <c r="N1218" s="305">
        <f t="shared" si="191"/>
        <v>0</v>
      </c>
      <c r="O1218" s="1445">
        <f t="shared" si="192"/>
        <v>0</v>
      </c>
      <c r="P1218" s="1377">
        <f t="shared" si="193"/>
        <v>0</v>
      </c>
    </row>
    <row r="1219" spans="1:16" ht="31" outlineLevel="1">
      <c r="A1219" s="1450">
        <f t="shared" si="197"/>
        <v>18.2</v>
      </c>
      <c r="B1219" s="1452" t="str">
        <f t="shared" si="197"/>
        <v>Replacement of thermal insulation of Boiler, Ducts &amp; Steam Pipelines along with supply</v>
      </c>
      <c r="C1219" s="1378" t="str">
        <f t="shared" si="197"/>
        <v>MERC/CAPEX/2021-2022/ SBR/ 15</v>
      </c>
      <c r="D1219" s="1473">
        <f t="shared" si="197"/>
        <v>44461</v>
      </c>
      <c r="E1219" s="305">
        <f t="shared" si="197"/>
        <v>3.52</v>
      </c>
      <c r="F1219" s="1444">
        <f t="shared" si="187"/>
        <v>3.52</v>
      </c>
      <c r="G1219" s="1444">
        <f t="shared" si="188"/>
        <v>2</v>
      </c>
      <c r="H1219" s="305">
        <f t="shared" si="189"/>
        <v>1.52</v>
      </c>
      <c r="I1219" s="1444">
        <v>0</v>
      </c>
      <c r="J1219" s="1444">
        <v>0</v>
      </c>
      <c r="K1219" s="305"/>
      <c r="L1219" s="305"/>
      <c r="M1219" s="305">
        <f t="shared" si="194"/>
        <v>0</v>
      </c>
      <c r="N1219" s="305">
        <f t="shared" si="191"/>
        <v>1.52</v>
      </c>
      <c r="O1219" s="1445">
        <f t="shared" si="192"/>
        <v>0</v>
      </c>
      <c r="P1219" s="1377">
        <f t="shared" si="193"/>
        <v>0</v>
      </c>
    </row>
    <row r="1220" spans="1:16" ht="15.5" outlineLevel="1">
      <c r="A1220" s="1450">
        <f t="shared" si="197"/>
        <v>18.3</v>
      </c>
      <c r="B1220" s="1452" t="str">
        <f t="shared" si="197"/>
        <v>Supply of XRP-1043 coal mill gearbox spares in unit-4&amp;5.</v>
      </c>
      <c r="C1220" s="1378" t="str">
        <f t="shared" si="197"/>
        <v>MERC/CAPEX/2021-2022/ SBR/ 15</v>
      </c>
      <c r="D1220" s="1473">
        <f t="shared" si="197"/>
        <v>44461</v>
      </c>
      <c r="E1220" s="305">
        <f t="shared" si="197"/>
        <v>5.39</v>
      </c>
      <c r="F1220" s="1444">
        <f t="shared" si="187"/>
        <v>3.7043508740000002</v>
      </c>
      <c r="G1220" s="1444">
        <f t="shared" si="188"/>
        <v>3.7043509000000001</v>
      </c>
      <c r="H1220" s="305">
        <f t="shared" si="189"/>
        <v>-2.5999999930803597E-8</v>
      </c>
      <c r="I1220" s="1444">
        <v>0</v>
      </c>
      <c r="J1220" s="1444">
        <v>0</v>
      </c>
      <c r="K1220" s="305"/>
      <c r="L1220" s="305"/>
      <c r="M1220" s="305">
        <f t="shared" si="194"/>
        <v>0</v>
      </c>
      <c r="N1220" s="305">
        <f t="shared" si="191"/>
        <v>-2.5999999930803597E-8</v>
      </c>
      <c r="O1220" s="1445">
        <f t="shared" si="192"/>
        <v>0</v>
      </c>
      <c r="P1220" s="1377">
        <f t="shared" si="193"/>
        <v>0</v>
      </c>
    </row>
    <row r="1221" spans="1:16" ht="15.5" outlineLevel="1">
      <c r="A1221" s="1314">
        <f t="shared" si="197"/>
        <v>0</v>
      </c>
      <c r="B1221" s="1452" t="str">
        <f t="shared" si="197"/>
        <v>IDC</v>
      </c>
      <c r="C1221" s="1378" t="str">
        <f t="shared" si="197"/>
        <v>MERC/CAPEX/2021-2022/ SBR/ 15</v>
      </c>
      <c r="D1221" s="1473">
        <f t="shared" si="197"/>
        <v>44461</v>
      </c>
      <c r="E1221" s="305">
        <f t="shared" si="197"/>
        <v>0.52</v>
      </c>
      <c r="F1221" s="1444">
        <f t="shared" si="187"/>
        <v>0</v>
      </c>
      <c r="G1221" s="1444">
        <f t="shared" si="188"/>
        <v>0</v>
      </c>
      <c r="H1221" s="305">
        <f t="shared" si="189"/>
        <v>0</v>
      </c>
      <c r="I1221" s="1444">
        <v>0</v>
      </c>
      <c r="J1221" s="1444">
        <v>0</v>
      </c>
      <c r="K1221" s="305"/>
      <c r="L1221" s="305"/>
      <c r="M1221" s="305">
        <f t="shared" si="194"/>
        <v>0</v>
      </c>
      <c r="N1221" s="305">
        <f t="shared" si="191"/>
        <v>0</v>
      </c>
      <c r="O1221" s="1445">
        <f t="shared" si="192"/>
        <v>0</v>
      </c>
      <c r="P1221" s="1377">
        <f t="shared" si="193"/>
        <v>0</v>
      </c>
    </row>
    <row r="1222" spans="1:16" ht="46.5" outlineLevel="1">
      <c r="A1222" s="1440">
        <f t="shared" si="197"/>
        <v>19</v>
      </c>
      <c r="B1222" s="1441" t="str">
        <f t="shared" si="197"/>
        <v>Up-gradation of Operating System of Max DNA DCS, GE Fanuc PLC system &amp; Schneider PLC system &amp; Procurement of Critical Insurance spares for PA and FD fans System at 2 x 500 MW Units BTPS Bhusawal</v>
      </c>
      <c r="C1222" s="1442" t="str">
        <f t="shared" si="197"/>
        <v>MERC/CAPEX/2023-2024/0178</v>
      </c>
      <c r="D1222" s="1443">
        <f t="shared" si="197"/>
        <v>45362</v>
      </c>
      <c r="E1222" s="1444">
        <f t="shared" si="197"/>
        <v>31.049999999999997</v>
      </c>
      <c r="F1222" s="1444">
        <f t="shared" si="187"/>
        <v>0</v>
      </c>
      <c r="G1222" s="1444">
        <f t="shared" si="188"/>
        <v>0</v>
      </c>
      <c r="H1222" s="1444">
        <f t="shared" si="189"/>
        <v>0</v>
      </c>
      <c r="I1222" s="1444">
        <v>0</v>
      </c>
      <c r="J1222" s="1444">
        <v>0</v>
      </c>
      <c r="K1222" s="1444"/>
      <c r="L1222" s="1444"/>
      <c r="M1222" s="1444">
        <f t="shared" si="194"/>
        <v>0</v>
      </c>
      <c r="N1222" s="1444">
        <f t="shared" si="191"/>
        <v>0</v>
      </c>
      <c r="O1222" s="1445">
        <f t="shared" si="192"/>
        <v>0</v>
      </c>
      <c r="P1222" s="1377">
        <f t="shared" si="193"/>
        <v>0</v>
      </c>
    </row>
    <row r="1223" spans="1:16" ht="15.5" outlineLevel="1">
      <c r="A1223" s="1450">
        <f t="shared" si="197"/>
        <v>19.100000000000001</v>
      </c>
      <c r="B1223" s="1452" t="str">
        <f t="shared" si="197"/>
        <v>Up-gradation of Existing MaxDNA System (HMI) at 500MW BTPS, Bhusawal</v>
      </c>
      <c r="C1223" s="1378" t="str">
        <f t="shared" si="197"/>
        <v>MERC/CAPEX/2023-2024/0178</v>
      </c>
      <c r="D1223" s="1473">
        <f t="shared" si="197"/>
        <v>45362</v>
      </c>
      <c r="E1223" s="305">
        <f t="shared" si="197"/>
        <v>8.69</v>
      </c>
      <c r="F1223" s="1444">
        <f t="shared" si="187"/>
        <v>8.69</v>
      </c>
      <c r="G1223" s="1444">
        <f t="shared" si="188"/>
        <v>8.69</v>
      </c>
      <c r="H1223" s="305">
        <f t="shared" si="189"/>
        <v>0</v>
      </c>
      <c r="I1223" s="1444">
        <v>0</v>
      </c>
      <c r="J1223" s="1444">
        <v>0</v>
      </c>
      <c r="K1223" s="305"/>
      <c r="L1223" s="305"/>
      <c r="M1223" s="305">
        <f t="shared" si="194"/>
        <v>0</v>
      </c>
      <c r="N1223" s="305">
        <f t="shared" si="191"/>
        <v>0</v>
      </c>
      <c r="O1223" s="1445">
        <f t="shared" si="192"/>
        <v>0</v>
      </c>
      <c r="P1223" s="1377">
        <f t="shared" si="193"/>
        <v>0</v>
      </c>
    </row>
    <row r="1224" spans="1:16" ht="31" outlineLevel="1">
      <c r="A1224" s="1450">
        <f t="shared" ref="A1224:E1239" si="198">A994</f>
        <v>19.2</v>
      </c>
      <c r="B1224" s="1452" t="str">
        <f t="shared" si="198"/>
        <v>Up-gradation of GE IP (GE-Fanuc) make PLC system (HMI) installed at AHP, CPU plant, FOPH, FWPH and Mill Reject system at 2x500MW BTPS, Bhusawal.</v>
      </c>
      <c r="C1224" s="1378" t="str">
        <f t="shared" si="198"/>
        <v>MERC/CAPEX/2023-2024/0178</v>
      </c>
      <c r="D1224" s="1473">
        <f t="shared" si="198"/>
        <v>45362</v>
      </c>
      <c r="E1224" s="305">
        <f t="shared" si="198"/>
        <v>1.35</v>
      </c>
      <c r="F1224" s="1444">
        <f t="shared" ref="F1224:F1287" si="199">F994+I994</f>
        <v>1.2948010000000001</v>
      </c>
      <c r="G1224" s="1444">
        <f t="shared" ref="G1224:G1287" si="200">G994+M994</f>
        <v>1.3538010199999999</v>
      </c>
      <c r="H1224" s="305">
        <f t="shared" ref="H1224:H1287" si="201">F1224-G1224</f>
        <v>-5.900001999999982E-2</v>
      </c>
      <c r="I1224" s="1444">
        <v>0</v>
      </c>
      <c r="J1224" s="1444">
        <v>0</v>
      </c>
      <c r="K1224" s="305"/>
      <c r="L1224" s="305"/>
      <c r="M1224" s="305">
        <f t="shared" si="194"/>
        <v>0</v>
      </c>
      <c r="N1224" s="305">
        <f t="shared" ref="N1224:N1287" si="202">H1224+I1224-M1224</f>
        <v>-5.900001999999982E-2</v>
      </c>
      <c r="O1224" s="1445">
        <f t="shared" ref="O1224:O1234" si="203">MAX(0,IF(M1224=0,0,IF(G1224+M1224&lt;E1224,M1224,E1224-G1224)))</f>
        <v>0</v>
      </c>
      <c r="P1224" s="1377">
        <f t="shared" ref="P1224:P1234" si="204">M1224-O1224</f>
        <v>0</v>
      </c>
    </row>
    <row r="1225" spans="1:16" ht="15.5" outlineLevel="1">
      <c r="A1225" s="1450">
        <f t="shared" si="198"/>
        <v>19.3</v>
      </c>
      <c r="B1225" s="1452" t="str">
        <f t="shared" si="198"/>
        <v>Up-gradation of Schneider PLC System at 2x500MW, BTPS, Bhusawal</v>
      </c>
      <c r="C1225" s="1442" t="str">
        <f t="shared" si="198"/>
        <v>MERC/CAPEX/2023-2024/0178</v>
      </c>
      <c r="D1225" s="1443">
        <f t="shared" si="198"/>
        <v>45362</v>
      </c>
      <c r="E1225" s="1444">
        <f t="shared" si="198"/>
        <v>2.33</v>
      </c>
      <c r="F1225" s="1444">
        <f t="shared" si="199"/>
        <v>2.3093444879999998</v>
      </c>
      <c r="G1225" s="1444">
        <f t="shared" si="200"/>
        <v>2.3093444879999998</v>
      </c>
      <c r="H1225" s="1444">
        <f t="shared" si="201"/>
        <v>0</v>
      </c>
      <c r="I1225" s="1444">
        <v>0</v>
      </c>
      <c r="J1225" s="1444">
        <v>0</v>
      </c>
      <c r="K1225" s="1444"/>
      <c r="L1225" s="1444"/>
      <c r="M1225" s="1444">
        <f t="shared" ref="M1225:M1234" si="205">SUM(J1225:L1225)</f>
        <v>0</v>
      </c>
      <c r="N1225" s="1444">
        <f t="shared" si="202"/>
        <v>0</v>
      </c>
      <c r="O1225" s="1445">
        <f t="shared" si="203"/>
        <v>0</v>
      </c>
      <c r="P1225" s="1377">
        <f t="shared" si="204"/>
        <v>0</v>
      </c>
    </row>
    <row r="1226" spans="1:16" ht="31" outlineLevel="1">
      <c r="A1226" s="1450">
        <f t="shared" si="198"/>
        <v>19.399999999999999</v>
      </c>
      <c r="B1226" s="1452" t="str">
        <f t="shared" si="198"/>
        <v>Procurement of Rotor assembly with blade set for PA and FD fan at 2 X 500 MW BTPS Bhusawal</v>
      </c>
      <c r="C1226" s="1475" t="str">
        <f t="shared" si="198"/>
        <v>MERC/CAPEX/2023-2024/0178</v>
      </c>
      <c r="D1226" s="1473">
        <f t="shared" si="198"/>
        <v>45362</v>
      </c>
      <c r="E1226" s="1476">
        <f t="shared" si="198"/>
        <v>18.18</v>
      </c>
      <c r="F1226" s="1444">
        <f t="shared" si="199"/>
        <v>16.16</v>
      </c>
      <c r="G1226" s="1444">
        <f t="shared" si="200"/>
        <v>16.16</v>
      </c>
      <c r="H1226" s="1476">
        <f t="shared" si="201"/>
        <v>0</v>
      </c>
      <c r="I1226" s="1444">
        <v>0</v>
      </c>
      <c r="J1226" s="1444">
        <v>0</v>
      </c>
      <c r="K1226" s="1476"/>
      <c r="L1226" s="1476"/>
      <c r="M1226" s="1476">
        <f t="shared" si="205"/>
        <v>0</v>
      </c>
      <c r="N1226" s="1476">
        <f t="shared" si="202"/>
        <v>0</v>
      </c>
      <c r="O1226" s="1445">
        <f t="shared" si="203"/>
        <v>0</v>
      </c>
      <c r="P1226" s="1377">
        <f t="shared" si="204"/>
        <v>0</v>
      </c>
    </row>
    <row r="1227" spans="1:16" ht="15.5" outlineLevel="1">
      <c r="A1227" s="1314">
        <f t="shared" si="198"/>
        <v>0</v>
      </c>
      <c r="B1227" s="1452" t="str">
        <f t="shared" si="198"/>
        <v>IDC</v>
      </c>
      <c r="C1227" s="1475" t="str">
        <f t="shared" si="198"/>
        <v>MERC/CAPEX/2023-2024/0178</v>
      </c>
      <c r="D1227" s="1473">
        <f t="shared" si="198"/>
        <v>45362</v>
      </c>
      <c r="E1227" s="1476">
        <f t="shared" si="198"/>
        <v>0.5</v>
      </c>
      <c r="F1227" s="1444">
        <f t="shared" si="199"/>
        <v>0.5</v>
      </c>
      <c r="G1227" s="1444">
        <f t="shared" si="200"/>
        <v>0.5</v>
      </c>
      <c r="H1227" s="1476">
        <f t="shared" si="201"/>
        <v>0</v>
      </c>
      <c r="I1227" s="1444">
        <v>0</v>
      </c>
      <c r="J1227" s="1444">
        <v>0</v>
      </c>
      <c r="K1227" s="1476"/>
      <c r="L1227" s="1476"/>
      <c r="M1227" s="1476">
        <f t="shared" si="205"/>
        <v>0</v>
      </c>
      <c r="N1227" s="1476">
        <f t="shared" si="202"/>
        <v>0</v>
      </c>
      <c r="O1227" s="1445">
        <f t="shared" si="203"/>
        <v>0</v>
      </c>
      <c r="P1227" s="1377">
        <f t="shared" si="204"/>
        <v>0</v>
      </c>
    </row>
    <row r="1228" spans="1:16" ht="31" outlineLevel="1">
      <c r="A1228" s="1440" t="str">
        <f t="shared" si="198"/>
        <v>HO
DPR 13</v>
      </c>
      <c r="B1228" s="1441" t="str">
        <f t="shared" si="198"/>
        <v>Construction of new Administrative Building for Mahagenco at Vidyut Bhawan, Katol Road, Nagpur</v>
      </c>
      <c r="C1228" s="1475" t="str">
        <f t="shared" si="198"/>
        <v>MERC/CAPEX/2021-2022/MSPGCL/063</v>
      </c>
      <c r="D1228" s="1473">
        <f t="shared" si="198"/>
        <v>44604</v>
      </c>
      <c r="E1228" s="1476">
        <f t="shared" si="198"/>
        <v>57</v>
      </c>
      <c r="F1228" s="1444">
        <f t="shared" si="199"/>
        <v>0</v>
      </c>
      <c r="G1228" s="1444">
        <f t="shared" si="200"/>
        <v>0</v>
      </c>
      <c r="H1228" s="1476">
        <f t="shared" si="201"/>
        <v>0</v>
      </c>
      <c r="I1228" s="1444">
        <v>0</v>
      </c>
      <c r="J1228" s="1444">
        <v>0</v>
      </c>
      <c r="K1228" s="1476"/>
      <c r="L1228" s="1476"/>
      <c r="M1228" s="1476">
        <f t="shared" si="205"/>
        <v>0</v>
      </c>
      <c r="N1228" s="1476">
        <f t="shared" si="202"/>
        <v>0</v>
      </c>
      <c r="O1228" s="1445">
        <f t="shared" si="203"/>
        <v>0</v>
      </c>
      <c r="P1228" s="1377">
        <f t="shared" si="204"/>
        <v>0</v>
      </c>
    </row>
    <row r="1229" spans="1:16" ht="31" outlineLevel="1">
      <c r="A1229" s="1446">
        <f t="shared" si="198"/>
        <v>1</v>
      </c>
      <c r="B1229" s="1447" t="str">
        <f t="shared" si="198"/>
        <v>Construction of new Administrative Building for Mahagenco at Vidyut Bhawan, Katol Road, Nagpur</v>
      </c>
      <c r="C1229" s="1475" t="str">
        <f t="shared" si="198"/>
        <v>MERC/CAPEX/2021-2022/MSPGCL/063</v>
      </c>
      <c r="D1229" s="1473">
        <f t="shared" si="198"/>
        <v>44604</v>
      </c>
      <c r="E1229" s="1476">
        <f t="shared" si="198"/>
        <v>54.24</v>
      </c>
      <c r="F1229" s="1444">
        <f t="shared" si="199"/>
        <v>0</v>
      </c>
      <c r="G1229" s="1444">
        <f t="shared" si="200"/>
        <v>0</v>
      </c>
      <c r="H1229" s="1476">
        <f t="shared" si="201"/>
        <v>0</v>
      </c>
      <c r="I1229" s="1444">
        <v>0</v>
      </c>
      <c r="J1229" s="1444">
        <v>0</v>
      </c>
      <c r="K1229" s="1476"/>
      <c r="L1229" s="1476"/>
      <c r="M1229" s="1476">
        <f t="shared" si="205"/>
        <v>0</v>
      </c>
      <c r="N1229" s="1476">
        <f t="shared" si="202"/>
        <v>0</v>
      </c>
      <c r="O1229" s="1445">
        <f t="shared" si="203"/>
        <v>0</v>
      </c>
      <c r="P1229" s="1377">
        <f t="shared" si="204"/>
        <v>0</v>
      </c>
    </row>
    <row r="1230" spans="1:16" ht="31" outlineLevel="1">
      <c r="A1230" s="1446">
        <f t="shared" si="198"/>
        <v>0</v>
      </c>
      <c r="B1230" s="1447" t="str">
        <f t="shared" si="198"/>
        <v>IDC</v>
      </c>
      <c r="C1230" s="1442" t="str">
        <f t="shared" si="198"/>
        <v>MERC/CAPEX/2021-2022/MSPGCL/063</v>
      </c>
      <c r="D1230" s="1443">
        <f t="shared" si="198"/>
        <v>44604</v>
      </c>
      <c r="E1230" s="1444">
        <f t="shared" si="198"/>
        <v>2.76</v>
      </c>
      <c r="F1230" s="1444">
        <f t="shared" si="199"/>
        <v>0</v>
      </c>
      <c r="G1230" s="1444">
        <f t="shared" si="200"/>
        <v>0</v>
      </c>
      <c r="H1230" s="1444">
        <f t="shared" si="201"/>
        <v>0</v>
      </c>
      <c r="I1230" s="1444">
        <v>0</v>
      </c>
      <c r="J1230" s="1444">
        <v>0</v>
      </c>
      <c r="K1230" s="1444"/>
      <c r="L1230" s="1444"/>
      <c r="M1230" s="1444">
        <f t="shared" si="205"/>
        <v>0</v>
      </c>
      <c r="N1230" s="1444">
        <f t="shared" si="202"/>
        <v>0</v>
      </c>
      <c r="O1230" s="1445">
        <f t="shared" si="203"/>
        <v>0</v>
      </c>
      <c r="P1230" s="1377">
        <f t="shared" si="204"/>
        <v>0</v>
      </c>
    </row>
    <row r="1231" spans="1:16" ht="31" outlineLevel="1">
      <c r="A1231" s="1440" t="str">
        <f t="shared" si="198"/>
        <v>HO
DPR 16</v>
      </c>
      <c r="B1231" s="1441" t="str">
        <f t="shared" si="198"/>
        <v>Centralized Monitoring Solution</v>
      </c>
      <c r="C1231" s="1475" t="str">
        <f t="shared" si="198"/>
        <v>MERC/CAPEX/MSPGCL/2023-24/0576</v>
      </c>
      <c r="D1231" s="1473">
        <f t="shared" si="198"/>
        <v>45232</v>
      </c>
      <c r="E1231" s="1476">
        <f t="shared" si="198"/>
        <v>69.308999999999997</v>
      </c>
      <c r="F1231" s="1444">
        <f t="shared" si="199"/>
        <v>0</v>
      </c>
      <c r="G1231" s="1444">
        <f t="shared" si="200"/>
        <v>0</v>
      </c>
      <c r="H1231" s="1476">
        <f t="shared" si="201"/>
        <v>0</v>
      </c>
      <c r="I1231" s="1444">
        <v>0</v>
      </c>
      <c r="J1231" s="1444">
        <v>0</v>
      </c>
      <c r="K1231" s="1476"/>
      <c r="L1231" s="1476"/>
      <c r="M1231" s="1476">
        <f t="shared" si="205"/>
        <v>0</v>
      </c>
      <c r="N1231" s="1476">
        <f t="shared" si="202"/>
        <v>0</v>
      </c>
      <c r="O1231" s="1445">
        <f t="shared" si="203"/>
        <v>0</v>
      </c>
      <c r="P1231" s="1377">
        <f t="shared" si="204"/>
        <v>0</v>
      </c>
    </row>
    <row r="1232" spans="1:16" ht="15.5" outlineLevel="1">
      <c r="A1232" s="1446">
        <f t="shared" si="198"/>
        <v>1</v>
      </c>
      <c r="B1232" s="1447" t="str">
        <f t="shared" si="198"/>
        <v>Centralized Monitoring Solution</v>
      </c>
      <c r="C1232" s="1475" t="str">
        <f t="shared" si="198"/>
        <v>MERC/CAPEX/MSPGCL/2023-24/0576</v>
      </c>
      <c r="D1232" s="1473">
        <f t="shared" si="198"/>
        <v>45232</v>
      </c>
      <c r="E1232" s="1476">
        <f t="shared" si="198"/>
        <v>66.009</v>
      </c>
      <c r="F1232" s="1444">
        <f t="shared" si="199"/>
        <v>0</v>
      </c>
      <c r="G1232" s="1444">
        <f t="shared" si="200"/>
        <v>0</v>
      </c>
      <c r="H1232" s="1476">
        <f t="shared" si="201"/>
        <v>0</v>
      </c>
      <c r="I1232" s="1444">
        <v>0</v>
      </c>
      <c r="J1232" s="1444">
        <v>0</v>
      </c>
      <c r="K1232" s="1476"/>
      <c r="L1232" s="1476"/>
      <c r="M1232" s="1476">
        <f t="shared" si="205"/>
        <v>0</v>
      </c>
      <c r="N1232" s="1476">
        <f t="shared" si="202"/>
        <v>0</v>
      </c>
      <c r="O1232" s="1445">
        <f t="shared" si="203"/>
        <v>0</v>
      </c>
      <c r="P1232" s="1377">
        <f t="shared" si="204"/>
        <v>0</v>
      </c>
    </row>
    <row r="1233" spans="1:16" ht="15.5" outlineLevel="1">
      <c r="A1233" s="1446">
        <f t="shared" si="198"/>
        <v>0</v>
      </c>
      <c r="B1233" s="1447" t="str">
        <f t="shared" si="198"/>
        <v>IDC</v>
      </c>
      <c r="C1233" s="1475" t="str">
        <f t="shared" si="198"/>
        <v>MERC/CAPEX/MSPGCL/2023-24/0576</v>
      </c>
      <c r="D1233" s="1473">
        <f t="shared" si="198"/>
        <v>45232</v>
      </c>
      <c r="E1233" s="1476">
        <f t="shared" si="198"/>
        <v>3.3</v>
      </c>
      <c r="F1233" s="1444">
        <f t="shared" si="199"/>
        <v>0</v>
      </c>
      <c r="G1233" s="1444">
        <f t="shared" si="200"/>
        <v>0</v>
      </c>
      <c r="H1233" s="1476">
        <f t="shared" si="201"/>
        <v>0</v>
      </c>
      <c r="I1233" s="1444">
        <v>0</v>
      </c>
      <c r="J1233" s="1444">
        <v>0</v>
      </c>
      <c r="K1233" s="1476"/>
      <c r="L1233" s="1476"/>
      <c r="M1233" s="1476">
        <f t="shared" si="205"/>
        <v>0</v>
      </c>
      <c r="N1233" s="1476">
        <f t="shared" si="202"/>
        <v>0</v>
      </c>
      <c r="O1233" s="1445">
        <f t="shared" si="203"/>
        <v>0</v>
      </c>
      <c r="P1233" s="1377">
        <f t="shared" si="204"/>
        <v>0</v>
      </c>
    </row>
    <row r="1234" spans="1:16" ht="31" outlineLevel="1">
      <c r="A1234" s="1440">
        <f t="shared" si="198"/>
        <v>20</v>
      </c>
      <c r="B1234" s="1441" t="str">
        <f t="shared" si="198"/>
        <v>Improvement of Loadability and Availability of Coal Handling Plant at BTPS, Bhusawal</v>
      </c>
      <c r="C1234" s="1475" t="str">
        <f t="shared" si="198"/>
        <v>MERC/CAPEX/MSPGCL/2024-25/0309</v>
      </c>
      <c r="D1234" s="1473">
        <f t="shared" si="198"/>
        <v>45429</v>
      </c>
      <c r="E1234" s="1476">
        <f t="shared" si="198"/>
        <v>0</v>
      </c>
      <c r="F1234" s="1444">
        <f t="shared" si="199"/>
        <v>0</v>
      </c>
      <c r="G1234" s="1444">
        <f t="shared" si="200"/>
        <v>0</v>
      </c>
      <c r="H1234" s="1476">
        <f t="shared" si="201"/>
        <v>0</v>
      </c>
      <c r="I1234" s="1444">
        <v>0</v>
      </c>
      <c r="J1234" s="1444">
        <v>0</v>
      </c>
      <c r="K1234" s="1476"/>
      <c r="L1234" s="1476"/>
      <c r="M1234" s="1476">
        <f t="shared" si="205"/>
        <v>0</v>
      </c>
      <c r="N1234" s="1476">
        <f t="shared" si="202"/>
        <v>0</v>
      </c>
      <c r="O1234" s="1445">
        <f t="shared" si="203"/>
        <v>0</v>
      </c>
      <c r="P1234" s="1377">
        <f t="shared" si="204"/>
        <v>0</v>
      </c>
    </row>
    <row r="1235" spans="1:16" ht="46.5" outlineLevel="1">
      <c r="A1235" s="1446">
        <f t="shared" si="198"/>
        <v>20.100000000000001</v>
      </c>
      <c r="B1235" s="1447" t="str">
        <f t="shared" si="198"/>
        <v>Scheme-1:-Design Engineering, Supply, Erection, commissioning, Extension of travel Length &amp; Capacity Enhancement of coal yard with additional drive system of stacker reclaimer conveyor No. 110 at in coal handling Plant BTPS.</v>
      </c>
      <c r="C1235" s="1475" t="str">
        <f t="shared" si="198"/>
        <v>MERC/CAPEX/MSPGCL/2024-25/0309</v>
      </c>
      <c r="D1235" s="1473">
        <f t="shared" si="198"/>
        <v>45429</v>
      </c>
      <c r="E1235" s="1476">
        <f t="shared" si="198"/>
        <v>14.27</v>
      </c>
      <c r="F1235" s="1444">
        <f t="shared" si="199"/>
        <v>14.27</v>
      </c>
      <c r="G1235" s="1444">
        <f t="shared" si="200"/>
        <v>14.27</v>
      </c>
      <c r="H1235" s="1476">
        <f t="shared" si="201"/>
        <v>0</v>
      </c>
      <c r="I1235" s="1444">
        <v>0</v>
      </c>
      <c r="J1235" s="1444">
        <v>0</v>
      </c>
      <c r="K1235" s="1476"/>
      <c r="L1235" s="1476"/>
      <c r="M1235" s="1476">
        <f t="shared" ref="M1235:M1298" si="206">SUM(J1235:L1235)</f>
        <v>0</v>
      </c>
      <c r="N1235" s="1476">
        <f t="shared" si="202"/>
        <v>0</v>
      </c>
      <c r="O1235" s="1445"/>
      <c r="P1235" s="1377"/>
    </row>
    <row r="1236" spans="1:16" ht="31" outlineLevel="1">
      <c r="A1236" s="1446">
        <f t="shared" si="198"/>
        <v>20.2</v>
      </c>
      <c r="B1236" s="1447" t="str">
        <f t="shared" si="198"/>
        <v>Scheme-2:-Design, Engineering, Rectification, Erection &amp; Commissioning of Z point at Conveyor 108A &amp; B at CHP-500MW.</v>
      </c>
      <c r="C1236" s="1475" t="str">
        <f t="shared" si="198"/>
        <v>MERC/CAPEX/MSPGCL/2024-25/0309</v>
      </c>
      <c r="D1236" s="1473">
        <f t="shared" si="198"/>
        <v>45429</v>
      </c>
      <c r="E1236" s="1476">
        <f t="shared" si="198"/>
        <v>8.18</v>
      </c>
      <c r="F1236" s="1444">
        <f t="shared" si="199"/>
        <v>8.18</v>
      </c>
      <c r="G1236" s="1444">
        <f t="shared" si="200"/>
        <v>8.18</v>
      </c>
      <c r="H1236" s="1476">
        <f t="shared" si="201"/>
        <v>0</v>
      </c>
      <c r="I1236" s="1444">
        <v>0</v>
      </c>
      <c r="J1236" s="1444">
        <v>0</v>
      </c>
      <c r="K1236" s="1476"/>
      <c r="L1236" s="1476"/>
      <c r="M1236" s="1476">
        <f t="shared" si="206"/>
        <v>0</v>
      </c>
      <c r="N1236" s="1476">
        <f t="shared" si="202"/>
        <v>0</v>
      </c>
      <c r="O1236" s="1445"/>
      <c r="P1236" s="1377"/>
    </row>
    <row r="1237" spans="1:16" ht="31" outlineLevel="1">
      <c r="A1237" s="1446">
        <f t="shared" si="198"/>
        <v>20.3</v>
      </c>
      <c r="B1237" s="1447" t="str">
        <f t="shared" si="198"/>
        <v>Scheme-3:-Design, Engineering and provision of material lifting arrangement for crusher floor, wobbler feeder  &amp; C-105 floor In CHP BTPS.</v>
      </c>
      <c r="C1237" s="1475" t="str">
        <f t="shared" si="198"/>
        <v>MERC/CAPEX/MSPGCL/2024-25/0309</v>
      </c>
      <c r="D1237" s="1473">
        <f t="shared" si="198"/>
        <v>45429</v>
      </c>
      <c r="E1237" s="1476">
        <f t="shared" si="198"/>
        <v>1.88</v>
      </c>
      <c r="F1237" s="1444">
        <f t="shared" si="199"/>
        <v>1.88</v>
      </c>
      <c r="G1237" s="1444">
        <f t="shared" si="200"/>
        <v>1.88</v>
      </c>
      <c r="H1237" s="1476">
        <f t="shared" si="201"/>
        <v>0</v>
      </c>
      <c r="I1237" s="1444">
        <v>0</v>
      </c>
      <c r="J1237" s="1444">
        <v>0</v>
      </c>
      <c r="K1237" s="1476"/>
      <c r="L1237" s="1476"/>
      <c r="M1237" s="1476">
        <f t="shared" si="206"/>
        <v>0</v>
      </c>
      <c r="N1237" s="1476">
        <f t="shared" si="202"/>
        <v>0</v>
      </c>
      <c r="O1237" s="1445"/>
      <c r="P1237" s="1377"/>
    </row>
    <row r="1238" spans="1:16" ht="31" outlineLevel="1">
      <c r="A1238" s="1446">
        <f t="shared" si="198"/>
        <v>20.399999999999999</v>
      </c>
      <c r="B1238" s="1447" t="str">
        <f t="shared" si="198"/>
        <v>Scheme-4:-Structural up-gradation and rehabilitation of reversible yard conveyor in coal handling plant.</v>
      </c>
      <c r="C1238" s="1475" t="str">
        <f t="shared" si="198"/>
        <v>MERC/CAPEX/MSPGCL/2024-25/0309</v>
      </c>
      <c r="D1238" s="1473">
        <f t="shared" si="198"/>
        <v>45429</v>
      </c>
      <c r="E1238" s="1476">
        <f t="shared" si="198"/>
        <v>4.21</v>
      </c>
      <c r="F1238" s="1444">
        <f t="shared" si="199"/>
        <v>4.21</v>
      </c>
      <c r="G1238" s="1444">
        <f t="shared" si="200"/>
        <v>4.21</v>
      </c>
      <c r="H1238" s="1476">
        <f t="shared" si="201"/>
        <v>0</v>
      </c>
      <c r="I1238" s="1444">
        <v>0</v>
      </c>
      <c r="J1238" s="1444">
        <v>0</v>
      </c>
      <c r="K1238" s="1476"/>
      <c r="L1238" s="1476"/>
      <c r="M1238" s="1476">
        <f t="shared" si="206"/>
        <v>0</v>
      </c>
      <c r="N1238" s="1476">
        <f t="shared" si="202"/>
        <v>0</v>
      </c>
      <c r="O1238" s="1445"/>
      <c r="P1238" s="1377"/>
    </row>
    <row r="1239" spans="1:16" ht="31" outlineLevel="1">
      <c r="A1239" s="1446">
        <f t="shared" si="198"/>
        <v>20.5</v>
      </c>
      <c r="B1239" s="1447" t="str">
        <f t="shared" si="198"/>
        <v>Scheme-5:-Design, Engineering, Erection and commissioning of Receiving and discharge chutes of wobbler feeders in CHP BTPS.</v>
      </c>
      <c r="C1239" s="1475" t="str">
        <f t="shared" si="198"/>
        <v>MERC/CAPEX/MSPGCL/2024-25/0309</v>
      </c>
      <c r="D1239" s="1473">
        <f t="shared" si="198"/>
        <v>45429</v>
      </c>
      <c r="E1239" s="1476">
        <f t="shared" si="198"/>
        <v>6.25</v>
      </c>
      <c r="F1239" s="1444">
        <f t="shared" si="199"/>
        <v>6.25</v>
      </c>
      <c r="G1239" s="1444">
        <f t="shared" si="200"/>
        <v>6.25</v>
      </c>
      <c r="H1239" s="1476">
        <f t="shared" si="201"/>
        <v>0</v>
      </c>
      <c r="I1239" s="1444">
        <v>0</v>
      </c>
      <c r="J1239" s="1444">
        <v>0</v>
      </c>
      <c r="K1239" s="1476"/>
      <c r="L1239" s="1476"/>
      <c r="M1239" s="1476">
        <f t="shared" si="206"/>
        <v>0</v>
      </c>
      <c r="N1239" s="1476">
        <f t="shared" si="202"/>
        <v>0</v>
      </c>
      <c r="O1239" s="1445"/>
      <c r="P1239" s="1377"/>
    </row>
    <row r="1240" spans="1:16" ht="15.5" outlineLevel="1">
      <c r="A1240" s="1446">
        <f t="shared" ref="A1240:E1255" si="207">A1010</f>
        <v>20.6</v>
      </c>
      <c r="B1240" s="1447" t="str">
        <f t="shared" si="207"/>
        <v>Scheme-6: Procurement of 3 Nos. of Bulldozers at BTPS, Bhusawal.</v>
      </c>
      <c r="C1240" s="1475" t="str">
        <f t="shared" si="207"/>
        <v>MERC/CAPEX/MSPGCL/2024-25/0309</v>
      </c>
      <c r="D1240" s="1473">
        <f t="shared" si="207"/>
        <v>45429</v>
      </c>
      <c r="E1240" s="1476">
        <f t="shared" si="207"/>
        <v>7.35</v>
      </c>
      <c r="F1240" s="1444">
        <f t="shared" si="199"/>
        <v>7.35</v>
      </c>
      <c r="G1240" s="1444">
        <f t="shared" si="200"/>
        <v>7.35</v>
      </c>
      <c r="H1240" s="1476">
        <f t="shared" si="201"/>
        <v>0</v>
      </c>
      <c r="I1240" s="1444">
        <v>0</v>
      </c>
      <c r="J1240" s="1444">
        <v>0</v>
      </c>
      <c r="K1240" s="1476"/>
      <c r="L1240" s="1476"/>
      <c r="M1240" s="1476">
        <f t="shared" si="206"/>
        <v>0</v>
      </c>
      <c r="N1240" s="1476">
        <f t="shared" si="202"/>
        <v>0</v>
      </c>
      <c r="O1240" s="1445"/>
      <c r="P1240" s="1377"/>
    </row>
    <row r="1241" spans="1:16" ht="15.5" outlineLevel="1">
      <c r="A1241" s="1446">
        <f t="shared" si="207"/>
        <v>0</v>
      </c>
      <c r="B1241" s="1447" t="str">
        <f t="shared" si="207"/>
        <v>IDC</v>
      </c>
      <c r="C1241" s="1475">
        <f t="shared" si="207"/>
        <v>0</v>
      </c>
      <c r="D1241" s="1473" t="str">
        <f t="shared" si="207"/>
        <v>-</v>
      </c>
      <c r="E1241" s="1476">
        <f t="shared" si="207"/>
        <v>0</v>
      </c>
      <c r="F1241" s="1444">
        <f t="shared" si="199"/>
        <v>0.42</v>
      </c>
      <c r="G1241" s="1444">
        <f t="shared" si="200"/>
        <v>0.42</v>
      </c>
      <c r="H1241" s="1476">
        <f t="shared" si="201"/>
        <v>0</v>
      </c>
      <c r="I1241" s="1444">
        <v>0</v>
      </c>
      <c r="J1241" s="1444">
        <v>0</v>
      </c>
      <c r="K1241" s="1476"/>
      <c r="L1241" s="1476"/>
      <c r="M1241" s="1476">
        <f t="shared" si="206"/>
        <v>0</v>
      </c>
      <c r="N1241" s="1476">
        <f t="shared" si="202"/>
        <v>0</v>
      </c>
      <c r="O1241" s="1445"/>
      <c r="P1241" s="1377"/>
    </row>
    <row r="1242" spans="1:16" ht="15.5" outlineLevel="1">
      <c r="A1242" s="1440">
        <f t="shared" si="207"/>
        <v>21</v>
      </c>
      <c r="B1242" s="1441" t="str">
        <f t="shared" si="207"/>
        <v>Performance Improvement of Coal Handling Plant at BTPS-U4 &amp; 5, Bhusawal</v>
      </c>
      <c r="C1242" s="1475" t="str">
        <f t="shared" si="207"/>
        <v>MERC/CAPEX/MSPGCL/2024-25/0310</v>
      </c>
      <c r="D1242" s="1473" t="str">
        <f t="shared" si="207"/>
        <v>-</v>
      </c>
      <c r="E1242" s="1476">
        <f t="shared" si="207"/>
        <v>0</v>
      </c>
      <c r="F1242" s="1444">
        <f t="shared" si="199"/>
        <v>0</v>
      </c>
      <c r="G1242" s="1444">
        <f t="shared" si="200"/>
        <v>0</v>
      </c>
      <c r="H1242" s="1476">
        <f t="shared" si="201"/>
        <v>0</v>
      </c>
      <c r="I1242" s="1444">
        <v>0</v>
      </c>
      <c r="J1242" s="1444">
        <v>0</v>
      </c>
      <c r="K1242" s="1476"/>
      <c r="L1242" s="1476"/>
      <c r="M1242" s="1476">
        <f t="shared" si="206"/>
        <v>0</v>
      </c>
      <c r="N1242" s="1476">
        <f t="shared" si="202"/>
        <v>0</v>
      </c>
      <c r="O1242" s="1445"/>
      <c r="P1242" s="1377"/>
    </row>
    <row r="1243" spans="1:16" ht="31" outlineLevel="1">
      <c r="A1243" s="1446">
        <f t="shared" si="207"/>
        <v>21.1</v>
      </c>
      <c r="B1243" s="1447" t="str">
        <f t="shared" si="207"/>
        <v>Scheme-1: Revamping, Modification of Gravity take-up and Drive Augmentation of Bunkering conveyor in CHP BTPS</v>
      </c>
      <c r="C1243" s="1475" t="str">
        <f t="shared" si="207"/>
        <v>MERC/CAPEX/MSPGCL/2024-25/0310</v>
      </c>
      <c r="D1243" s="1473">
        <f t="shared" si="207"/>
        <v>45429</v>
      </c>
      <c r="E1243" s="1476">
        <f t="shared" si="207"/>
        <v>11.35</v>
      </c>
      <c r="F1243" s="1444">
        <f t="shared" si="199"/>
        <v>11.35</v>
      </c>
      <c r="G1243" s="1444">
        <f t="shared" si="200"/>
        <v>11.35</v>
      </c>
      <c r="H1243" s="1476">
        <f t="shared" si="201"/>
        <v>0</v>
      </c>
      <c r="I1243" s="1444">
        <v>0</v>
      </c>
      <c r="J1243" s="1444">
        <v>0</v>
      </c>
      <c r="K1243" s="1476"/>
      <c r="L1243" s="1476"/>
      <c r="M1243" s="1476">
        <f t="shared" si="206"/>
        <v>0</v>
      </c>
      <c r="N1243" s="1476">
        <f t="shared" si="202"/>
        <v>0</v>
      </c>
      <c r="O1243" s="1445"/>
      <c r="P1243" s="1377"/>
    </row>
    <row r="1244" spans="1:16" ht="15.5" outlineLevel="1">
      <c r="A1244" s="1446">
        <f t="shared" si="207"/>
        <v>21.2</v>
      </c>
      <c r="B1244" s="1447" t="str">
        <f t="shared" si="207"/>
        <v>Scheme-2: Revamping of coal diverting chutes in CHP 2x500 MW BTPS</v>
      </c>
      <c r="C1244" s="1475" t="str">
        <f t="shared" si="207"/>
        <v>MERC/CAPEX/MSPGCL/2024-25/0310</v>
      </c>
      <c r="D1244" s="1473">
        <f t="shared" si="207"/>
        <v>45429</v>
      </c>
      <c r="E1244" s="1476">
        <f t="shared" si="207"/>
        <v>5.73</v>
      </c>
      <c r="F1244" s="1444">
        <f t="shared" si="199"/>
        <v>5.73</v>
      </c>
      <c r="G1244" s="1444">
        <f t="shared" si="200"/>
        <v>5.73</v>
      </c>
      <c r="H1244" s="1476">
        <f t="shared" si="201"/>
        <v>0</v>
      </c>
      <c r="I1244" s="1444">
        <v>0</v>
      </c>
      <c r="J1244" s="1444">
        <v>0</v>
      </c>
      <c r="K1244" s="1476"/>
      <c r="L1244" s="1476"/>
      <c r="M1244" s="1476">
        <f t="shared" si="206"/>
        <v>0</v>
      </c>
      <c r="N1244" s="1476">
        <f t="shared" si="202"/>
        <v>0</v>
      </c>
      <c r="O1244" s="1445"/>
      <c r="P1244" s="1377"/>
    </row>
    <row r="1245" spans="1:16" ht="31" outlineLevel="1">
      <c r="A1245" s="1446">
        <f t="shared" si="207"/>
        <v>21.3</v>
      </c>
      <c r="B1245" s="1447" t="str">
        <f t="shared" si="207"/>
        <v>Scheme-3: Revamping and structural augmentation of Reversible feeder conveyors in CHP-BTPS.</v>
      </c>
      <c r="C1245" s="1475" t="str">
        <f t="shared" si="207"/>
        <v>MERC/CAPEX/MSPGCL/2024-25/0310</v>
      </c>
      <c r="D1245" s="1473">
        <f t="shared" si="207"/>
        <v>45429</v>
      </c>
      <c r="E1245" s="1476">
        <f t="shared" si="207"/>
        <v>1.77</v>
      </c>
      <c r="F1245" s="1444">
        <f t="shared" si="199"/>
        <v>3.52</v>
      </c>
      <c r="G1245" s="1444">
        <f t="shared" si="200"/>
        <v>3.52</v>
      </c>
      <c r="H1245" s="1476">
        <f t="shared" si="201"/>
        <v>0</v>
      </c>
      <c r="I1245" s="1444">
        <v>0</v>
      </c>
      <c r="J1245" s="1444">
        <v>0</v>
      </c>
      <c r="K1245" s="1476"/>
      <c r="L1245" s="1476"/>
      <c r="M1245" s="1476">
        <f t="shared" si="206"/>
        <v>0</v>
      </c>
      <c r="N1245" s="1476">
        <f t="shared" si="202"/>
        <v>0</v>
      </c>
      <c r="O1245" s="1445"/>
      <c r="P1245" s="1377"/>
    </row>
    <row r="1246" spans="1:16" ht="31" outlineLevel="1">
      <c r="A1246" s="1446">
        <f t="shared" si="207"/>
        <v>21.4</v>
      </c>
      <c r="B1246" s="1447" t="str">
        <f t="shared" si="207"/>
        <v>Scheme-4: Revamping and up-gradation of air &amp; ventilation system in Coal Handling Plant-BTPS.</v>
      </c>
      <c r="C1246" s="1475" t="str">
        <f t="shared" si="207"/>
        <v>MERC/CAPEX/MSPGCL/2024-25/0310</v>
      </c>
      <c r="D1246" s="1473">
        <f t="shared" si="207"/>
        <v>45429</v>
      </c>
      <c r="E1246" s="1476">
        <f t="shared" si="207"/>
        <v>9.01</v>
      </c>
      <c r="F1246" s="1444">
        <f t="shared" si="199"/>
        <v>3.85</v>
      </c>
      <c r="G1246" s="1444">
        <f t="shared" si="200"/>
        <v>3.85</v>
      </c>
      <c r="H1246" s="1476">
        <f t="shared" si="201"/>
        <v>0</v>
      </c>
      <c r="I1246" s="1444">
        <v>0</v>
      </c>
      <c r="J1246" s="1444">
        <v>0</v>
      </c>
      <c r="K1246" s="1476"/>
      <c r="L1246" s="1476"/>
      <c r="M1246" s="1476">
        <f t="shared" si="206"/>
        <v>0</v>
      </c>
      <c r="N1246" s="1476">
        <f t="shared" si="202"/>
        <v>0</v>
      </c>
      <c r="O1246" s="1445"/>
      <c r="P1246" s="1377"/>
    </row>
    <row r="1247" spans="1:16" ht="31" outlineLevel="1">
      <c r="A1247" s="1446">
        <f t="shared" si="207"/>
        <v>21.5</v>
      </c>
      <c r="B1247" s="1447" t="str">
        <f t="shared" si="207"/>
        <v>Scheme-5: Revamping, Structural &amp; drive up-gradation  of conveyor-111 in CHP-BTPS.</v>
      </c>
      <c r="C1247" s="1475" t="str">
        <f t="shared" si="207"/>
        <v>MERC/CAPEX/MSPGCL/2024-25/0310</v>
      </c>
      <c r="D1247" s="1473">
        <f t="shared" si="207"/>
        <v>45429</v>
      </c>
      <c r="E1247" s="1476">
        <f t="shared" si="207"/>
        <v>3.85</v>
      </c>
      <c r="F1247" s="1444">
        <f t="shared" si="199"/>
        <v>8.6199999999999992</v>
      </c>
      <c r="G1247" s="1444">
        <f t="shared" si="200"/>
        <v>8.6199999999999992</v>
      </c>
      <c r="H1247" s="1476">
        <f t="shared" si="201"/>
        <v>0</v>
      </c>
      <c r="I1247" s="1444">
        <v>0</v>
      </c>
      <c r="J1247" s="1444">
        <v>0</v>
      </c>
      <c r="K1247" s="1476"/>
      <c r="L1247" s="1476"/>
      <c r="M1247" s="1476">
        <f t="shared" si="206"/>
        <v>0</v>
      </c>
      <c r="N1247" s="1476">
        <f t="shared" si="202"/>
        <v>0</v>
      </c>
      <c r="O1247" s="1445"/>
      <c r="P1247" s="1377"/>
    </row>
    <row r="1248" spans="1:16" ht="31" outlineLevel="1">
      <c r="A1248" s="1446">
        <f t="shared" si="207"/>
        <v>21.6</v>
      </c>
      <c r="B1248" s="1447" t="str">
        <f t="shared" si="207"/>
        <v>Scheme-6: Revamping and structural up-gradation of conveyor system in tunnel area in Coal Handling Plant-BTPS.</v>
      </c>
      <c r="C1248" s="1475" t="str">
        <f t="shared" si="207"/>
        <v>MERC/CAPEX/MSPGCL/2024-25/0310</v>
      </c>
      <c r="D1248" s="1473">
        <f t="shared" si="207"/>
        <v>45429</v>
      </c>
      <c r="E1248" s="1476">
        <f t="shared" si="207"/>
        <v>8.6199999999999992</v>
      </c>
      <c r="F1248" s="1444">
        <f t="shared" si="199"/>
        <v>8.06</v>
      </c>
      <c r="G1248" s="1444">
        <f t="shared" si="200"/>
        <v>8.06</v>
      </c>
      <c r="H1248" s="1476">
        <f t="shared" si="201"/>
        <v>0</v>
      </c>
      <c r="I1248" s="1444">
        <v>0</v>
      </c>
      <c r="J1248" s="1444">
        <v>0</v>
      </c>
      <c r="K1248" s="1476"/>
      <c r="L1248" s="1476"/>
      <c r="M1248" s="1476">
        <f t="shared" si="206"/>
        <v>0</v>
      </c>
      <c r="N1248" s="1476">
        <f t="shared" si="202"/>
        <v>0</v>
      </c>
      <c r="O1248" s="1445"/>
      <c r="P1248" s="1377"/>
    </row>
    <row r="1249" spans="1:16" ht="15.5" outlineLevel="1">
      <c r="A1249" s="1446">
        <f t="shared" si="207"/>
        <v>21.7</v>
      </c>
      <c r="B1249" s="1447" t="str">
        <f t="shared" si="207"/>
        <v>Scheme-7: Erection &amp; Commissioning of Travelling type coal chutes in CHP BTPS.</v>
      </c>
      <c r="C1249" s="1475" t="str">
        <f t="shared" si="207"/>
        <v>MERC/CAPEX/MSPGCL/2024-25/0310</v>
      </c>
      <c r="D1249" s="1473">
        <f t="shared" si="207"/>
        <v>45429</v>
      </c>
      <c r="E1249" s="1476">
        <f t="shared" si="207"/>
        <v>8.06</v>
      </c>
      <c r="F1249" s="1444">
        <f t="shared" si="199"/>
        <v>4.9800000000000004</v>
      </c>
      <c r="G1249" s="1444">
        <f t="shared" si="200"/>
        <v>4.9800000000000004</v>
      </c>
      <c r="H1249" s="1476">
        <f t="shared" si="201"/>
        <v>0</v>
      </c>
      <c r="I1249" s="1444">
        <v>0</v>
      </c>
      <c r="J1249" s="1444">
        <v>0</v>
      </c>
      <c r="K1249" s="1476"/>
      <c r="L1249" s="1476"/>
      <c r="M1249" s="1476">
        <f t="shared" si="206"/>
        <v>0</v>
      </c>
      <c r="N1249" s="1476">
        <f t="shared" si="202"/>
        <v>0</v>
      </c>
      <c r="O1249" s="1445"/>
      <c r="P1249" s="1377"/>
    </row>
    <row r="1250" spans="1:16" ht="31" outlineLevel="1">
      <c r="A1250" s="1446">
        <f t="shared" si="207"/>
        <v>21.8</v>
      </c>
      <c r="B1250" s="1447" t="str">
        <f t="shared" si="207"/>
        <v>Scheme-8: Revamping of scoop cooling system installed in coal handling plant BTPS.</v>
      </c>
      <c r="C1250" s="1475" t="str">
        <f t="shared" si="207"/>
        <v>MERC/CAPEX/MSPGCL/2024-25/0310</v>
      </c>
      <c r="D1250" s="1473">
        <f t="shared" si="207"/>
        <v>45429</v>
      </c>
      <c r="E1250" s="1476">
        <f t="shared" si="207"/>
        <v>4.9800000000000004</v>
      </c>
      <c r="F1250" s="1444">
        <f t="shared" si="199"/>
        <v>3.92</v>
      </c>
      <c r="G1250" s="1444">
        <f t="shared" si="200"/>
        <v>3.92</v>
      </c>
      <c r="H1250" s="1476">
        <f t="shared" si="201"/>
        <v>0</v>
      </c>
      <c r="I1250" s="1444">
        <v>0</v>
      </c>
      <c r="J1250" s="1444">
        <v>0</v>
      </c>
      <c r="K1250" s="1476"/>
      <c r="L1250" s="1476"/>
      <c r="M1250" s="1476">
        <f t="shared" si="206"/>
        <v>0</v>
      </c>
      <c r="N1250" s="1476">
        <f t="shared" si="202"/>
        <v>0</v>
      </c>
      <c r="O1250" s="1445"/>
      <c r="P1250" s="1377"/>
    </row>
    <row r="1251" spans="1:16" ht="15.5" outlineLevel="1">
      <c r="A1251" s="1454">
        <f t="shared" si="207"/>
        <v>21.9</v>
      </c>
      <c r="B1251" s="1454" t="str">
        <f t="shared" si="207"/>
        <v>Scheme-9: Retrofitting and Up-gradation of Dewatering system in CHP-BTPS.</v>
      </c>
      <c r="C1251" s="1475" t="str">
        <f t="shared" si="207"/>
        <v>MERC/CAPEX/MSPGCL/2024-25/0310</v>
      </c>
      <c r="D1251" s="1473">
        <f t="shared" si="207"/>
        <v>45429</v>
      </c>
      <c r="E1251" s="1476">
        <f t="shared" si="207"/>
        <v>3.92</v>
      </c>
      <c r="F1251" s="1444">
        <f t="shared" si="199"/>
        <v>9.01</v>
      </c>
      <c r="G1251" s="1444">
        <f t="shared" si="200"/>
        <v>9.01</v>
      </c>
      <c r="H1251" s="1476">
        <f t="shared" si="201"/>
        <v>0</v>
      </c>
      <c r="I1251" s="1444">
        <v>0</v>
      </c>
      <c r="J1251" s="1444">
        <v>0</v>
      </c>
      <c r="K1251" s="1476"/>
      <c r="L1251" s="1476"/>
      <c r="M1251" s="1476">
        <f t="shared" si="206"/>
        <v>0</v>
      </c>
      <c r="N1251" s="1476">
        <f t="shared" si="202"/>
        <v>0</v>
      </c>
      <c r="O1251" s="1445"/>
      <c r="P1251" s="1377"/>
    </row>
    <row r="1252" spans="1:16" ht="15.5" outlineLevel="1">
      <c r="A1252" s="1455">
        <f t="shared" si="207"/>
        <v>0</v>
      </c>
      <c r="B1252" s="1455" t="str">
        <f t="shared" si="207"/>
        <v>IDC</v>
      </c>
      <c r="C1252" s="1475">
        <f t="shared" si="207"/>
        <v>0</v>
      </c>
      <c r="D1252" s="1473" t="str">
        <f t="shared" si="207"/>
        <v>-</v>
      </c>
      <c r="E1252" s="1476">
        <f t="shared" si="207"/>
        <v>0</v>
      </c>
      <c r="F1252" s="1444">
        <f t="shared" si="199"/>
        <v>0.53</v>
      </c>
      <c r="G1252" s="1444">
        <f t="shared" si="200"/>
        <v>0.53</v>
      </c>
      <c r="H1252" s="1476">
        <f t="shared" si="201"/>
        <v>0</v>
      </c>
      <c r="I1252" s="1444">
        <v>0</v>
      </c>
      <c r="J1252" s="1444">
        <v>0</v>
      </c>
      <c r="K1252" s="1476"/>
      <c r="L1252" s="1476"/>
      <c r="M1252" s="1476">
        <f t="shared" si="206"/>
        <v>0</v>
      </c>
      <c r="N1252" s="1476">
        <f t="shared" si="202"/>
        <v>0</v>
      </c>
      <c r="O1252" s="1445"/>
      <c r="P1252" s="1377"/>
    </row>
    <row r="1253" spans="1:16" ht="15.5" outlineLevel="1">
      <c r="A1253" s="1456">
        <f t="shared" si="207"/>
        <v>0</v>
      </c>
      <c r="B1253" s="1456" t="str">
        <f t="shared" si="207"/>
        <v>Asset Transfer from Projects</v>
      </c>
      <c r="C1253" s="1475">
        <f t="shared" si="207"/>
        <v>0</v>
      </c>
      <c r="D1253" s="1473" t="str">
        <f t="shared" si="207"/>
        <v>-</v>
      </c>
      <c r="E1253" s="1476">
        <f t="shared" si="207"/>
        <v>0</v>
      </c>
      <c r="F1253" s="1444">
        <f t="shared" si="199"/>
        <v>0</v>
      </c>
      <c r="G1253" s="1444">
        <f t="shared" si="200"/>
        <v>0</v>
      </c>
      <c r="H1253" s="1476">
        <f t="shared" si="201"/>
        <v>0</v>
      </c>
      <c r="I1253" s="1444">
        <v>0</v>
      </c>
      <c r="J1253" s="1444">
        <v>0</v>
      </c>
      <c r="K1253" s="1476"/>
      <c r="L1253" s="1476"/>
      <c r="M1253" s="1476">
        <f t="shared" si="206"/>
        <v>0</v>
      </c>
      <c r="N1253" s="1476">
        <f t="shared" si="202"/>
        <v>0</v>
      </c>
      <c r="O1253" s="1445"/>
      <c r="P1253" s="1377"/>
    </row>
    <row r="1254" spans="1:16" ht="15.5" outlineLevel="1">
      <c r="A1254" s="1455">
        <f t="shared" si="207"/>
        <v>0</v>
      </c>
      <c r="B1254" s="1455" t="str">
        <f t="shared" si="207"/>
        <v>SP Busduct Unit 4&amp;5</v>
      </c>
      <c r="C1254" s="1475">
        <f t="shared" si="207"/>
        <v>0</v>
      </c>
      <c r="D1254" s="1473" t="str">
        <f t="shared" si="207"/>
        <v>-</v>
      </c>
      <c r="E1254" s="1476">
        <f t="shared" si="207"/>
        <v>0</v>
      </c>
      <c r="F1254" s="1444">
        <f t="shared" si="199"/>
        <v>0.30071745999999999</v>
      </c>
      <c r="G1254" s="1444">
        <f t="shared" si="200"/>
        <v>0.30071745999999999</v>
      </c>
      <c r="H1254" s="1476">
        <f t="shared" si="201"/>
        <v>0</v>
      </c>
      <c r="I1254" s="1444">
        <v>0</v>
      </c>
      <c r="J1254" s="1444">
        <v>0</v>
      </c>
      <c r="K1254" s="1476"/>
      <c r="L1254" s="1476"/>
      <c r="M1254" s="1476">
        <f t="shared" si="206"/>
        <v>0</v>
      </c>
      <c r="N1254" s="1476">
        <f t="shared" si="202"/>
        <v>0</v>
      </c>
      <c r="O1254" s="1445"/>
      <c r="P1254" s="1377"/>
    </row>
    <row r="1255" spans="1:16" ht="15.5" outlineLevel="1">
      <c r="A1255" s="1455">
        <f t="shared" si="207"/>
        <v>0</v>
      </c>
      <c r="B1255" s="1455" t="str">
        <f t="shared" si="207"/>
        <v>ESP,ID,FD,PA Fans &amp;Other Boiler Auxiliaries</v>
      </c>
      <c r="C1255" s="1442">
        <f t="shared" si="207"/>
        <v>0</v>
      </c>
      <c r="D1255" s="1443" t="str">
        <f t="shared" si="207"/>
        <v>-</v>
      </c>
      <c r="E1255" s="1444">
        <f t="shared" si="207"/>
        <v>0</v>
      </c>
      <c r="F1255" s="1444">
        <f t="shared" si="199"/>
        <v>1.0282827000000001</v>
      </c>
      <c r="G1255" s="1444">
        <f t="shared" si="200"/>
        <v>1.0282827000000001</v>
      </c>
      <c r="H1255" s="1444">
        <f t="shared" si="201"/>
        <v>0</v>
      </c>
      <c r="I1255" s="1444">
        <v>0</v>
      </c>
      <c r="J1255" s="1444">
        <v>0</v>
      </c>
      <c r="K1255" s="1444"/>
      <c r="L1255" s="1444"/>
      <c r="M1255" s="1444">
        <f t="shared" si="206"/>
        <v>0</v>
      </c>
      <c r="N1255" s="1444">
        <f t="shared" si="202"/>
        <v>0</v>
      </c>
    </row>
    <row r="1256" spans="1:16" ht="15.5" outlineLevel="1">
      <c r="A1256" s="1456">
        <f t="shared" ref="A1256:E1271" si="208">A1026</f>
        <v>0</v>
      </c>
      <c r="B1256" s="1456" t="str">
        <f t="shared" si="208"/>
        <v>(ii) DPR Yet to be Submitted to MERC</v>
      </c>
      <c r="C1256" s="1442">
        <f t="shared" si="208"/>
        <v>0</v>
      </c>
      <c r="D1256" s="1443" t="str">
        <f t="shared" si="208"/>
        <v>-</v>
      </c>
      <c r="E1256" s="1444">
        <f t="shared" si="208"/>
        <v>0</v>
      </c>
      <c r="F1256" s="1444">
        <f t="shared" si="199"/>
        <v>0</v>
      </c>
      <c r="G1256" s="1444">
        <f t="shared" si="200"/>
        <v>0</v>
      </c>
      <c r="H1256" s="1444">
        <f t="shared" si="201"/>
        <v>0</v>
      </c>
      <c r="I1256" s="1444">
        <v>0</v>
      </c>
      <c r="J1256" s="1444">
        <v>0</v>
      </c>
      <c r="K1256" s="1444"/>
      <c r="L1256" s="1444"/>
      <c r="M1256" s="1444">
        <f t="shared" si="206"/>
        <v>0</v>
      </c>
      <c r="N1256" s="1444">
        <f t="shared" si="202"/>
        <v>0</v>
      </c>
    </row>
    <row r="1257" spans="1:16" ht="15.5" outlineLevel="1">
      <c r="A1257" s="1457">
        <f t="shared" si="208"/>
        <v>0</v>
      </c>
      <c r="B1257" s="1457" t="str">
        <f t="shared" si="208"/>
        <v xml:space="preserve">FY 2025-26 </v>
      </c>
      <c r="C1257" s="1475">
        <f t="shared" si="208"/>
        <v>0</v>
      </c>
      <c r="D1257" s="1473" t="str">
        <f t="shared" si="208"/>
        <v>-</v>
      </c>
      <c r="E1257" s="1476">
        <f t="shared" si="208"/>
        <v>0</v>
      </c>
      <c r="F1257" s="1444">
        <f t="shared" si="199"/>
        <v>0</v>
      </c>
      <c r="G1257" s="1444">
        <f t="shared" si="200"/>
        <v>0</v>
      </c>
      <c r="H1257" s="1476">
        <f t="shared" si="201"/>
        <v>0</v>
      </c>
      <c r="I1257" s="1444">
        <v>0</v>
      </c>
      <c r="J1257" s="1444">
        <v>0</v>
      </c>
      <c r="K1257" s="1476"/>
      <c r="L1257" s="1476"/>
      <c r="M1257" s="1476">
        <f t="shared" si="206"/>
        <v>0</v>
      </c>
      <c r="N1257" s="1476">
        <f t="shared" si="202"/>
        <v>0</v>
      </c>
    </row>
    <row r="1258" spans="1:16" ht="31" outlineLevel="1">
      <c r="A1258" s="1458">
        <f t="shared" si="208"/>
        <v>1</v>
      </c>
      <c r="B1258" s="1459" t="str">
        <f t="shared" si="208"/>
        <v>Up gradation of coal mill reject system, Procurement of Air heater baskets &amp; spare Air heater gearbox at 2X500MW, Bhusawal TPS</v>
      </c>
      <c r="C1258" s="1475">
        <f t="shared" si="208"/>
        <v>0</v>
      </c>
      <c r="D1258" s="1473" t="str">
        <f t="shared" si="208"/>
        <v>-</v>
      </c>
      <c r="E1258" s="1476">
        <f t="shared" si="208"/>
        <v>0</v>
      </c>
      <c r="F1258" s="1444">
        <f t="shared" si="199"/>
        <v>31.75</v>
      </c>
      <c r="G1258" s="1444">
        <f t="shared" si="200"/>
        <v>0</v>
      </c>
      <c r="H1258" s="1476">
        <f t="shared" si="201"/>
        <v>31.75</v>
      </c>
      <c r="I1258" s="1444">
        <v>0</v>
      </c>
      <c r="J1258" s="1444">
        <v>0</v>
      </c>
      <c r="K1258" s="1476"/>
      <c r="L1258" s="1476"/>
      <c r="M1258" s="1476">
        <f t="shared" si="206"/>
        <v>0</v>
      </c>
      <c r="N1258" s="1476">
        <f t="shared" si="202"/>
        <v>31.75</v>
      </c>
    </row>
    <row r="1259" spans="1:16" ht="62" outlineLevel="1">
      <c r="A1259" s="1455">
        <f t="shared" si="208"/>
        <v>1.1000000000000001</v>
      </c>
      <c r="B1259" s="1455" t="str">
        <f t="shared" si="208"/>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1259" s="1475">
        <f t="shared" si="208"/>
        <v>0</v>
      </c>
      <c r="D1259" s="1473" t="str">
        <f t="shared" si="208"/>
        <v>-</v>
      </c>
      <c r="E1259" s="1476">
        <f t="shared" si="208"/>
        <v>0</v>
      </c>
      <c r="F1259" s="1444">
        <f t="shared" si="199"/>
        <v>15.05</v>
      </c>
      <c r="G1259" s="1444">
        <f t="shared" si="200"/>
        <v>15.05</v>
      </c>
      <c r="H1259" s="1476">
        <f t="shared" si="201"/>
        <v>0</v>
      </c>
      <c r="I1259" s="1444">
        <v>0</v>
      </c>
      <c r="J1259" s="1444">
        <v>0</v>
      </c>
      <c r="K1259" s="1476"/>
      <c r="L1259" s="1476"/>
      <c r="M1259" s="1476">
        <f t="shared" si="206"/>
        <v>0</v>
      </c>
      <c r="N1259" s="1476">
        <f t="shared" si="202"/>
        <v>0</v>
      </c>
    </row>
    <row r="1260" spans="1:16" ht="31" outlineLevel="1">
      <c r="A1260" s="1455">
        <f t="shared" si="208"/>
        <v>1.2</v>
      </c>
      <c r="B1260" s="1455" t="str">
        <f t="shared" si="208"/>
        <v>Procurement of assembly of baskets &amp; seals for Air Preheater of type 31.5 VIM 2000 (72° PA), in Unit-5 2x500MW, BTPS Bhusawal</v>
      </c>
      <c r="C1260" s="1475">
        <f t="shared" si="208"/>
        <v>0</v>
      </c>
      <c r="D1260" s="1473" t="str">
        <f t="shared" si="208"/>
        <v>-</v>
      </c>
      <c r="E1260" s="1476">
        <f t="shared" si="208"/>
        <v>0</v>
      </c>
      <c r="F1260" s="1444">
        <f t="shared" si="199"/>
        <v>7.45</v>
      </c>
      <c r="G1260" s="1444">
        <f t="shared" si="200"/>
        <v>7.45</v>
      </c>
      <c r="H1260" s="1476">
        <f t="shared" si="201"/>
        <v>0</v>
      </c>
      <c r="I1260" s="1444">
        <v>0</v>
      </c>
      <c r="J1260" s="1444">
        <v>0</v>
      </c>
      <c r="K1260" s="1476"/>
      <c r="L1260" s="1476"/>
      <c r="M1260" s="1476">
        <f t="shared" si="206"/>
        <v>0</v>
      </c>
      <c r="N1260" s="1476">
        <f t="shared" si="202"/>
        <v>0</v>
      </c>
    </row>
    <row r="1261" spans="1:16" ht="31" outlineLevel="1">
      <c r="A1261" s="1455">
        <f t="shared" si="208"/>
        <v>1.3</v>
      </c>
      <c r="B1261" s="1455" t="str">
        <f t="shared" si="208"/>
        <v>Procurement of APH Gearbox to improve availability and performance of Air preheaters at 2 x 500 MW Units, BTPS, Bhusawal. </v>
      </c>
      <c r="C1261" s="1475">
        <f t="shared" si="208"/>
        <v>0</v>
      </c>
      <c r="D1261" s="1473" t="str">
        <f t="shared" si="208"/>
        <v>-</v>
      </c>
      <c r="E1261" s="1476">
        <f t="shared" si="208"/>
        <v>0</v>
      </c>
      <c r="F1261" s="1444">
        <f t="shared" si="199"/>
        <v>9.25</v>
      </c>
      <c r="G1261" s="1444">
        <f t="shared" si="200"/>
        <v>9.25</v>
      </c>
      <c r="H1261" s="1476">
        <f t="shared" si="201"/>
        <v>0</v>
      </c>
      <c r="I1261" s="1444">
        <v>0</v>
      </c>
      <c r="J1261" s="1444">
        <v>0</v>
      </c>
      <c r="K1261" s="1476"/>
      <c r="L1261" s="1476"/>
      <c r="M1261" s="1476">
        <f t="shared" si="206"/>
        <v>0</v>
      </c>
      <c r="N1261" s="1476">
        <f t="shared" si="202"/>
        <v>0</v>
      </c>
    </row>
    <row r="1262" spans="1:16" ht="15.5" outlineLevel="1">
      <c r="A1262" s="1458">
        <f t="shared" si="208"/>
        <v>2</v>
      </c>
      <c r="B1262" s="1459" t="str">
        <f t="shared" si="208"/>
        <v>Boiler Reliability &amp; Availability improvement at 2x500MW, Bhusawal TPS.</v>
      </c>
      <c r="C1262" s="1442">
        <f t="shared" si="208"/>
        <v>0</v>
      </c>
      <c r="D1262" s="1443" t="str">
        <f t="shared" si="208"/>
        <v>-</v>
      </c>
      <c r="E1262" s="1444">
        <f t="shared" si="208"/>
        <v>0</v>
      </c>
      <c r="F1262" s="1444">
        <f t="shared" si="199"/>
        <v>83.63000000000001</v>
      </c>
      <c r="G1262" s="1444">
        <f t="shared" si="200"/>
        <v>0</v>
      </c>
      <c r="H1262" s="1444">
        <f t="shared" si="201"/>
        <v>83.63000000000001</v>
      </c>
      <c r="I1262" s="1444">
        <v>0</v>
      </c>
      <c r="J1262" s="1444">
        <v>0</v>
      </c>
      <c r="K1262" s="1444"/>
      <c r="L1262" s="1444"/>
      <c r="M1262" s="1444">
        <f t="shared" si="206"/>
        <v>0</v>
      </c>
      <c r="N1262" s="1444">
        <f t="shared" si="202"/>
        <v>83.63000000000001</v>
      </c>
    </row>
    <row r="1263" spans="1:16" ht="31" outlineLevel="1">
      <c r="A1263" s="1455">
        <f t="shared" si="208"/>
        <v>2.1</v>
      </c>
      <c r="B1263" s="1455" t="str">
        <f t="shared" si="208"/>
        <v xml:space="preserve">Procurement &amp; Replacement Of LTSH Coils for Unit - 4 &amp; 5 (500MW) TPS, Bhusawal. </v>
      </c>
      <c r="C1263" s="1475">
        <f t="shared" si="208"/>
        <v>0</v>
      </c>
      <c r="D1263" s="1473" t="str">
        <f t="shared" si="208"/>
        <v>-</v>
      </c>
      <c r="E1263" s="1476">
        <f t="shared" si="208"/>
        <v>0</v>
      </c>
      <c r="F1263" s="1444">
        <f t="shared" si="199"/>
        <v>19.11</v>
      </c>
      <c r="G1263" s="1444">
        <f t="shared" si="200"/>
        <v>19.11</v>
      </c>
      <c r="H1263" s="1476">
        <f t="shared" si="201"/>
        <v>0</v>
      </c>
      <c r="I1263" s="1444">
        <v>0</v>
      </c>
      <c r="J1263" s="1444">
        <v>0</v>
      </c>
      <c r="K1263" s="1476"/>
      <c r="L1263" s="1476"/>
      <c r="M1263" s="1476">
        <f t="shared" si="206"/>
        <v>0</v>
      </c>
      <c r="N1263" s="1476">
        <f t="shared" si="202"/>
        <v>0</v>
      </c>
    </row>
    <row r="1264" spans="1:16" ht="31" outlineLevel="1">
      <c r="A1264" s="1455">
        <f t="shared" si="208"/>
        <v>2.2000000000000002</v>
      </c>
      <c r="B1264" s="1455" t="str">
        <f t="shared" si="208"/>
        <v>Procurement &amp; Replacement Of Economiser Coils For Unit - 4 &amp; 5 (500MW) TPS, Bhusawal</v>
      </c>
      <c r="C1264" s="1475">
        <f t="shared" si="208"/>
        <v>0</v>
      </c>
      <c r="D1264" s="1473" t="str">
        <f t="shared" si="208"/>
        <v>-</v>
      </c>
      <c r="E1264" s="1476">
        <f t="shared" si="208"/>
        <v>0</v>
      </c>
      <c r="F1264" s="1444">
        <f t="shared" si="199"/>
        <v>47.6</v>
      </c>
      <c r="G1264" s="1444">
        <f t="shared" si="200"/>
        <v>47.6</v>
      </c>
      <c r="H1264" s="1476">
        <f t="shared" si="201"/>
        <v>0</v>
      </c>
      <c r="I1264" s="1444">
        <v>0</v>
      </c>
      <c r="J1264" s="1444">
        <v>0</v>
      </c>
      <c r="K1264" s="1476"/>
      <c r="L1264" s="1476"/>
      <c r="M1264" s="1476">
        <f t="shared" si="206"/>
        <v>0</v>
      </c>
      <c r="N1264" s="1476">
        <f t="shared" si="202"/>
        <v>0</v>
      </c>
    </row>
    <row r="1265" spans="1:14" ht="15.5" outlineLevel="1">
      <c r="A1265" s="1455">
        <f t="shared" si="208"/>
        <v>2.2999999999999998</v>
      </c>
      <c r="B1265" s="1455" t="str">
        <f t="shared" si="208"/>
        <v>Procurement of assembly of APH Baskets Unit-4</v>
      </c>
      <c r="C1265" s="1442">
        <f t="shared" si="208"/>
        <v>0</v>
      </c>
      <c r="D1265" s="1443" t="str">
        <f t="shared" si="208"/>
        <v>-</v>
      </c>
      <c r="E1265" s="1444">
        <f t="shared" si="208"/>
        <v>0</v>
      </c>
      <c r="F1265" s="1444">
        <f t="shared" si="199"/>
        <v>7.55</v>
      </c>
      <c r="G1265" s="1444">
        <f t="shared" si="200"/>
        <v>7.55</v>
      </c>
      <c r="H1265" s="1444">
        <f t="shared" si="201"/>
        <v>0</v>
      </c>
      <c r="I1265" s="1444">
        <v>0</v>
      </c>
      <c r="J1265" s="1444">
        <v>0</v>
      </c>
      <c r="K1265" s="1444"/>
      <c r="L1265" s="1444"/>
      <c r="M1265" s="1444">
        <f t="shared" si="206"/>
        <v>0</v>
      </c>
      <c r="N1265" s="1444">
        <f t="shared" si="202"/>
        <v>0</v>
      </c>
    </row>
    <row r="1266" spans="1:14" ht="15.5" outlineLevel="1">
      <c r="A1266" s="1455">
        <f t="shared" si="208"/>
        <v>2.4</v>
      </c>
      <c r="B1266" s="1455" t="str">
        <f t="shared" si="208"/>
        <v>Procurement of APH Gearbox Unit-4&amp;5</v>
      </c>
      <c r="C1266" s="1475">
        <f t="shared" si="208"/>
        <v>0</v>
      </c>
      <c r="D1266" s="1473" t="str">
        <f t="shared" si="208"/>
        <v>-</v>
      </c>
      <c r="E1266" s="1476">
        <f t="shared" si="208"/>
        <v>0</v>
      </c>
      <c r="F1266" s="1444">
        <f t="shared" si="199"/>
        <v>9.3699999999999992</v>
      </c>
      <c r="G1266" s="1444">
        <f t="shared" si="200"/>
        <v>9.3699999999999992</v>
      </c>
      <c r="H1266" s="1476">
        <f t="shared" si="201"/>
        <v>0</v>
      </c>
      <c r="I1266" s="1444">
        <v>0</v>
      </c>
      <c r="J1266" s="1444">
        <v>0</v>
      </c>
      <c r="K1266" s="1476"/>
      <c r="L1266" s="1476"/>
      <c r="M1266" s="1476">
        <f t="shared" si="206"/>
        <v>0</v>
      </c>
      <c r="N1266" s="1476">
        <f t="shared" si="202"/>
        <v>0</v>
      </c>
    </row>
    <row r="1267" spans="1:14" ht="15.5" outlineLevel="1">
      <c r="A1267" s="1458">
        <f t="shared" si="208"/>
        <v>3</v>
      </c>
      <c r="B1267" s="1459" t="str">
        <f t="shared" si="208"/>
        <v>Various Turbine side reliability improvement schemes at 2x500MW, BTPS</v>
      </c>
      <c r="C1267" s="1475">
        <f t="shared" si="208"/>
        <v>0</v>
      </c>
      <c r="D1267" s="1473" t="str">
        <f t="shared" si="208"/>
        <v>-</v>
      </c>
      <c r="E1267" s="1476">
        <f t="shared" si="208"/>
        <v>0</v>
      </c>
      <c r="F1267" s="1444">
        <f t="shared" si="199"/>
        <v>41.4</v>
      </c>
      <c r="G1267" s="1444">
        <f t="shared" si="200"/>
        <v>0</v>
      </c>
      <c r="H1267" s="1476">
        <f t="shared" si="201"/>
        <v>41.4</v>
      </c>
      <c r="I1267" s="1444">
        <v>0</v>
      </c>
      <c r="J1267" s="1444">
        <v>0</v>
      </c>
      <c r="K1267" s="1476"/>
      <c r="L1267" s="1476"/>
      <c r="M1267" s="1476">
        <f t="shared" si="206"/>
        <v>0</v>
      </c>
      <c r="N1267" s="1476">
        <f t="shared" si="202"/>
        <v>41.4</v>
      </c>
    </row>
    <row r="1268" spans="1:14" ht="15.5" outlineLevel="1">
      <c r="A1268" s="1455">
        <f t="shared" si="208"/>
        <v>3.1</v>
      </c>
      <c r="B1268" s="1455" t="str">
        <f t="shared" si="208"/>
        <v>Reliability improvement of Atlas copco make (mode -ZR -500)</v>
      </c>
      <c r="C1268" s="1475">
        <f t="shared" si="208"/>
        <v>0</v>
      </c>
      <c r="D1268" s="1473" t="str">
        <f t="shared" si="208"/>
        <v>-</v>
      </c>
      <c r="E1268" s="1476">
        <f t="shared" si="208"/>
        <v>0</v>
      </c>
      <c r="F1268" s="1444">
        <f t="shared" si="199"/>
        <v>2.4</v>
      </c>
      <c r="G1268" s="1444">
        <f t="shared" si="200"/>
        <v>2.4</v>
      </c>
      <c r="H1268" s="1476">
        <f t="shared" si="201"/>
        <v>0</v>
      </c>
      <c r="I1268" s="1444">
        <v>0</v>
      </c>
      <c r="J1268" s="1444">
        <v>0</v>
      </c>
      <c r="K1268" s="1476"/>
      <c r="L1268" s="1476"/>
      <c r="M1268" s="1476">
        <f t="shared" si="206"/>
        <v>0</v>
      </c>
      <c r="N1268" s="1476">
        <f t="shared" si="202"/>
        <v>0</v>
      </c>
    </row>
    <row r="1269" spans="1:14" ht="15.5" outlineLevel="1">
      <c r="A1269" s="1455">
        <f t="shared" si="208"/>
        <v>3.2</v>
      </c>
      <c r="B1269" s="1455" t="str">
        <f t="shared" si="208"/>
        <v xml:space="preserve">Reliability improvement of  HPCV Valve with procurment cone assy </v>
      </c>
      <c r="C1269" s="1475">
        <f t="shared" si="208"/>
        <v>0</v>
      </c>
      <c r="D1269" s="1473" t="str">
        <f t="shared" si="208"/>
        <v>-</v>
      </c>
      <c r="E1269" s="1476">
        <f t="shared" si="208"/>
        <v>0</v>
      </c>
      <c r="F1269" s="1444">
        <f t="shared" si="199"/>
        <v>2</v>
      </c>
      <c r="G1269" s="1444">
        <f t="shared" si="200"/>
        <v>2</v>
      </c>
      <c r="H1269" s="1476">
        <f t="shared" si="201"/>
        <v>0</v>
      </c>
      <c r="I1269" s="1444">
        <v>0</v>
      </c>
      <c r="J1269" s="1444">
        <v>0</v>
      </c>
      <c r="K1269" s="1476"/>
      <c r="L1269" s="1476"/>
      <c r="M1269" s="1476">
        <f t="shared" si="206"/>
        <v>0</v>
      </c>
      <c r="N1269" s="1476">
        <f t="shared" si="202"/>
        <v>0</v>
      </c>
    </row>
    <row r="1270" spans="1:14" ht="15.5" outlineLevel="1">
      <c r="A1270" s="1455">
        <f t="shared" si="208"/>
        <v>3.3</v>
      </c>
      <c r="B1270" s="1455" t="str">
        <f t="shared" si="208"/>
        <v>Reliability improvement of Alfa Laval make Portable COP</v>
      </c>
      <c r="C1270" s="1475">
        <f t="shared" si="208"/>
        <v>0</v>
      </c>
      <c r="D1270" s="1473" t="str">
        <f t="shared" si="208"/>
        <v>-</v>
      </c>
      <c r="E1270" s="1476">
        <f t="shared" si="208"/>
        <v>0</v>
      </c>
      <c r="F1270" s="1444">
        <f t="shared" si="199"/>
        <v>3</v>
      </c>
      <c r="G1270" s="1444">
        <f t="shared" si="200"/>
        <v>3</v>
      </c>
      <c r="H1270" s="1476">
        <f t="shared" si="201"/>
        <v>0</v>
      </c>
      <c r="I1270" s="1444">
        <v>0</v>
      </c>
      <c r="J1270" s="1444">
        <v>0</v>
      </c>
      <c r="K1270" s="1476"/>
      <c r="L1270" s="1476"/>
      <c r="M1270" s="1476">
        <f t="shared" si="206"/>
        <v>0</v>
      </c>
      <c r="N1270" s="1476">
        <f t="shared" si="202"/>
        <v>0</v>
      </c>
    </row>
    <row r="1271" spans="1:14" ht="31" outlineLevel="1">
      <c r="A1271" s="1455">
        <f t="shared" si="208"/>
        <v>3.4</v>
      </c>
      <c r="B1271" s="1455" t="str">
        <f t="shared" si="208"/>
        <v>Reliability improvement of Seal Oil System with procurement of various U Seal rings</v>
      </c>
      <c r="C1271" s="1475">
        <f t="shared" si="208"/>
        <v>0</v>
      </c>
      <c r="D1271" s="1473" t="str">
        <f t="shared" si="208"/>
        <v>-</v>
      </c>
      <c r="E1271" s="1476">
        <f t="shared" si="208"/>
        <v>0</v>
      </c>
      <c r="F1271" s="1444">
        <f t="shared" si="199"/>
        <v>2</v>
      </c>
      <c r="G1271" s="1444">
        <f t="shared" si="200"/>
        <v>2</v>
      </c>
      <c r="H1271" s="1476">
        <f t="shared" si="201"/>
        <v>0</v>
      </c>
      <c r="I1271" s="1444">
        <v>0</v>
      </c>
      <c r="J1271" s="1444">
        <v>0</v>
      </c>
      <c r="K1271" s="1476"/>
      <c r="L1271" s="1476"/>
      <c r="M1271" s="1476">
        <f t="shared" si="206"/>
        <v>0</v>
      </c>
      <c r="N1271" s="1476">
        <f t="shared" si="202"/>
        <v>0</v>
      </c>
    </row>
    <row r="1272" spans="1:14" ht="31" outlineLevel="1">
      <c r="A1272" s="1455">
        <f t="shared" ref="A1272:E1287" si="209">A1042</f>
        <v>3.5</v>
      </c>
      <c r="B1272" s="1455" t="str">
        <f t="shared" si="209"/>
        <v>Reliability improvement of Unit-4 &amp; 5 NDCT with replacement of PVC fills and allied work</v>
      </c>
      <c r="C1272" s="1442">
        <f t="shared" si="209"/>
        <v>0</v>
      </c>
      <c r="D1272" s="1443" t="str">
        <f t="shared" si="209"/>
        <v>-</v>
      </c>
      <c r="E1272" s="1444">
        <f t="shared" si="209"/>
        <v>0</v>
      </c>
      <c r="F1272" s="1444">
        <f t="shared" si="199"/>
        <v>30</v>
      </c>
      <c r="G1272" s="1444">
        <f t="shared" si="200"/>
        <v>30</v>
      </c>
      <c r="H1272" s="1444">
        <f t="shared" si="201"/>
        <v>0</v>
      </c>
      <c r="I1272" s="1444">
        <v>0</v>
      </c>
      <c r="J1272" s="1444">
        <v>0</v>
      </c>
      <c r="K1272" s="1444"/>
      <c r="L1272" s="1444"/>
      <c r="M1272" s="1444">
        <f t="shared" si="206"/>
        <v>0</v>
      </c>
      <c r="N1272" s="1444">
        <f t="shared" si="202"/>
        <v>0</v>
      </c>
    </row>
    <row r="1273" spans="1:14" ht="15.5" outlineLevel="1">
      <c r="A1273" s="1455">
        <f t="shared" si="209"/>
        <v>3.6</v>
      </c>
      <c r="B1273" s="1455" t="str">
        <f t="shared" si="209"/>
        <v>Upgradation of Chiller plant, GEHO pump house &amp; OLTC PLC system.</v>
      </c>
      <c r="C1273" s="1475">
        <f t="shared" si="209"/>
        <v>0</v>
      </c>
      <c r="D1273" s="1473" t="str">
        <f t="shared" si="209"/>
        <v>-</v>
      </c>
      <c r="E1273" s="1476">
        <f t="shared" si="209"/>
        <v>0</v>
      </c>
      <c r="F1273" s="1444">
        <f t="shared" si="199"/>
        <v>2</v>
      </c>
      <c r="G1273" s="1444">
        <f t="shared" si="200"/>
        <v>2</v>
      </c>
      <c r="H1273" s="1476">
        <f t="shared" si="201"/>
        <v>0</v>
      </c>
      <c r="I1273" s="1444">
        <v>0</v>
      </c>
      <c r="J1273" s="1444">
        <v>0</v>
      </c>
      <c r="K1273" s="1476"/>
      <c r="L1273" s="1476"/>
      <c r="M1273" s="1476">
        <f t="shared" si="206"/>
        <v>0</v>
      </c>
      <c r="N1273" s="1476">
        <f t="shared" si="202"/>
        <v>0</v>
      </c>
    </row>
    <row r="1274" spans="1:14" ht="15.5" outlineLevel="1">
      <c r="A1274" s="1458">
        <f t="shared" si="209"/>
        <v>4</v>
      </c>
      <c r="B1274" s="1459" t="str">
        <f t="shared" si="209"/>
        <v>IB recommended scheme related (Civil and Electrical)</v>
      </c>
      <c r="C1274" s="1475">
        <f t="shared" si="209"/>
        <v>0</v>
      </c>
      <c r="D1274" s="1473" t="str">
        <f t="shared" si="209"/>
        <v>-</v>
      </c>
      <c r="E1274" s="1476">
        <f t="shared" si="209"/>
        <v>0</v>
      </c>
      <c r="F1274" s="1444">
        <f t="shared" si="199"/>
        <v>10.76</v>
      </c>
      <c r="G1274" s="1444">
        <f t="shared" si="200"/>
        <v>0</v>
      </c>
      <c r="H1274" s="1476">
        <f t="shared" si="201"/>
        <v>10.76</v>
      </c>
      <c r="I1274" s="1444">
        <v>0</v>
      </c>
      <c r="J1274" s="1444">
        <v>0</v>
      </c>
      <c r="K1274" s="1476"/>
      <c r="L1274" s="1476"/>
      <c r="M1274" s="1476">
        <f t="shared" si="206"/>
        <v>0</v>
      </c>
      <c r="N1274" s="1476">
        <f t="shared" si="202"/>
        <v>10.76</v>
      </c>
    </row>
    <row r="1275" spans="1:14" ht="31" outlineLevel="1">
      <c r="A1275" s="1455">
        <f t="shared" si="209"/>
        <v>4.0999999999999996</v>
      </c>
      <c r="B1275" s="1455" t="str">
        <f t="shared" si="209"/>
        <v>Work of fabricating and erecting structural steel watch tower (10 Nos.) in major store, plant area, ash pipe line and ash bund area at BTPS, Deepnagar.</v>
      </c>
      <c r="C1275" s="1475">
        <f t="shared" si="209"/>
        <v>0</v>
      </c>
      <c r="D1275" s="1473" t="str">
        <f t="shared" si="209"/>
        <v>-</v>
      </c>
      <c r="E1275" s="1476">
        <f t="shared" si="209"/>
        <v>0</v>
      </c>
      <c r="F1275" s="1444">
        <f t="shared" si="199"/>
        <v>0.86</v>
      </c>
      <c r="G1275" s="1444">
        <f t="shared" si="200"/>
        <v>0.86</v>
      </c>
      <c r="H1275" s="1476">
        <f t="shared" si="201"/>
        <v>0</v>
      </c>
      <c r="I1275" s="1444">
        <v>0</v>
      </c>
      <c r="J1275" s="1444">
        <v>0</v>
      </c>
      <c r="K1275" s="1476"/>
      <c r="L1275" s="1476"/>
      <c r="M1275" s="1476">
        <f t="shared" si="206"/>
        <v>0</v>
      </c>
      <c r="N1275" s="1476">
        <f t="shared" si="202"/>
        <v>0</v>
      </c>
    </row>
    <row r="1276" spans="1:14" ht="31" outlineLevel="1">
      <c r="A1276" s="1455">
        <f t="shared" si="209"/>
        <v>4.2</v>
      </c>
      <c r="B1276" s="1455" t="str">
        <f t="shared" si="209"/>
        <v>Work of construction of ladies frisking room for security section and visitors room near factory gate and providing at 2x500MW, BTPS, Deepnagar.</v>
      </c>
      <c r="C1276" s="1442">
        <f t="shared" si="209"/>
        <v>0</v>
      </c>
      <c r="D1276" s="1443" t="str">
        <f t="shared" si="209"/>
        <v>-</v>
      </c>
      <c r="E1276" s="1444">
        <f t="shared" si="209"/>
        <v>0</v>
      </c>
      <c r="F1276" s="1444">
        <f t="shared" si="199"/>
        <v>0.43</v>
      </c>
      <c r="G1276" s="1444">
        <f t="shared" si="200"/>
        <v>0.43</v>
      </c>
      <c r="H1276" s="1444">
        <f t="shared" si="201"/>
        <v>0</v>
      </c>
      <c r="I1276" s="1444">
        <v>0</v>
      </c>
      <c r="J1276" s="1444">
        <v>0</v>
      </c>
      <c r="K1276" s="1444"/>
      <c r="L1276" s="1444"/>
      <c r="M1276" s="1444">
        <f t="shared" si="206"/>
        <v>0</v>
      </c>
      <c r="N1276" s="1444">
        <f t="shared" si="202"/>
        <v>0</v>
      </c>
    </row>
    <row r="1277" spans="1:14" ht="31" outlineLevel="1">
      <c r="A1277" s="1455">
        <f t="shared" si="209"/>
        <v>4.3</v>
      </c>
      <c r="B1277" s="1455" t="str">
        <f t="shared" si="209"/>
        <v>Work of dismantling and construction old weathered UCR compound wall on bhogawati riverside in 2x500 MW at BTPS.</v>
      </c>
      <c r="C1277" s="1475">
        <f t="shared" si="209"/>
        <v>0</v>
      </c>
      <c r="D1277" s="1473" t="str">
        <f t="shared" si="209"/>
        <v>-</v>
      </c>
      <c r="E1277" s="1476">
        <f t="shared" si="209"/>
        <v>0</v>
      </c>
      <c r="F1277" s="1444">
        <f t="shared" si="199"/>
        <v>3.29</v>
      </c>
      <c r="G1277" s="1444">
        <f t="shared" si="200"/>
        <v>3.29</v>
      </c>
      <c r="H1277" s="1476">
        <f t="shared" si="201"/>
        <v>0</v>
      </c>
      <c r="I1277" s="1444">
        <v>0</v>
      </c>
      <c r="J1277" s="1444">
        <v>0</v>
      </c>
      <c r="K1277" s="1476"/>
      <c r="L1277" s="1476"/>
      <c r="M1277" s="1476">
        <f t="shared" si="206"/>
        <v>0</v>
      </c>
      <c r="N1277" s="1476">
        <f t="shared" si="202"/>
        <v>0</v>
      </c>
    </row>
    <row r="1278" spans="1:14" ht="31" outlineLevel="1">
      <c r="A1278" s="1455">
        <f t="shared" si="209"/>
        <v>4.4000000000000004</v>
      </c>
      <c r="B1278" s="1455" t="str">
        <f t="shared" si="209"/>
        <v>Construcion of RCC comppund wall from remote silo to pimpri sekam railway siding cabin at BTPS</v>
      </c>
      <c r="C1278" s="1475">
        <f t="shared" si="209"/>
        <v>0</v>
      </c>
      <c r="D1278" s="1473" t="str">
        <f t="shared" si="209"/>
        <v>-</v>
      </c>
      <c r="E1278" s="1476">
        <f t="shared" si="209"/>
        <v>0</v>
      </c>
      <c r="F1278" s="1444">
        <f t="shared" si="199"/>
        <v>2.02</v>
      </c>
      <c r="G1278" s="1444">
        <f t="shared" si="200"/>
        <v>2.02</v>
      </c>
      <c r="H1278" s="1476">
        <f t="shared" si="201"/>
        <v>0</v>
      </c>
      <c r="I1278" s="1444">
        <v>0</v>
      </c>
      <c r="J1278" s="1444">
        <v>0</v>
      </c>
      <c r="K1278" s="1476"/>
      <c r="L1278" s="1476"/>
      <c r="M1278" s="1476">
        <f t="shared" si="206"/>
        <v>0</v>
      </c>
      <c r="N1278" s="1476">
        <f t="shared" si="202"/>
        <v>0</v>
      </c>
    </row>
    <row r="1279" spans="1:14" ht="15.5" outlineLevel="1">
      <c r="A1279" s="1455">
        <f t="shared" si="209"/>
        <v>4.5</v>
      </c>
      <c r="B1279" s="1455" t="str">
        <f t="shared" si="209"/>
        <v>Installation of Highmast towers</v>
      </c>
      <c r="C1279" s="1475">
        <f t="shared" si="209"/>
        <v>0</v>
      </c>
      <c r="D1279" s="1473" t="str">
        <f t="shared" si="209"/>
        <v>-</v>
      </c>
      <c r="E1279" s="1476">
        <f t="shared" si="209"/>
        <v>0</v>
      </c>
      <c r="F1279" s="1444">
        <f t="shared" si="199"/>
        <v>4.16</v>
      </c>
      <c r="G1279" s="1444">
        <f t="shared" si="200"/>
        <v>4.16</v>
      </c>
      <c r="H1279" s="1476">
        <f t="shared" si="201"/>
        <v>0</v>
      </c>
      <c r="I1279" s="1444">
        <v>0</v>
      </c>
      <c r="J1279" s="1444">
        <v>0</v>
      </c>
      <c r="K1279" s="1476"/>
      <c r="L1279" s="1476"/>
      <c r="M1279" s="1476">
        <f t="shared" si="206"/>
        <v>0</v>
      </c>
      <c r="N1279" s="1476">
        <f t="shared" si="202"/>
        <v>0</v>
      </c>
    </row>
    <row r="1280" spans="1:14" ht="15.5" outlineLevel="1">
      <c r="A1280" s="1457">
        <f t="shared" si="209"/>
        <v>0</v>
      </c>
      <c r="B1280" s="1457" t="str">
        <f t="shared" si="209"/>
        <v xml:space="preserve">FY 2026-27 </v>
      </c>
      <c r="C1280" s="1475">
        <f t="shared" si="209"/>
        <v>0</v>
      </c>
      <c r="D1280" s="1473" t="str">
        <f t="shared" si="209"/>
        <v>-</v>
      </c>
      <c r="E1280" s="1476">
        <f t="shared" si="209"/>
        <v>0</v>
      </c>
      <c r="F1280" s="1444">
        <f t="shared" si="199"/>
        <v>0</v>
      </c>
      <c r="G1280" s="1444">
        <f t="shared" si="200"/>
        <v>0</v>
      </c>
      <c r="H1280" s="1476">
        <f t="shared" si="201"/>
        <v>0</v>
      </c>
      <c r="I1280" s="1444">
        <v>0</v>
      </c>
      <c r="J1280" s="1444">
        <v>0</v>
      </c>
      <c r="K1280" s="1476"/>
      <c r="L1280" s="1476"/>
      <c r="M1280" s="1476">
        <f t="shared" si="206"/>
        <v>0</v>
      </c>
      <c r="N1280" s="1476">
        <f t="shared" si="202"/>
        <v>0</v>
      </c>
    </row>
    <row r="1281" spans="1:14" ht="31" outlineLevel="1">
      <c r="A1281" s="1458">
        <f t="shared" si="209"/>
        <v>1</v>
      </c>
      <c r="B1281" s="1459" t="str">
        <f t="shared" si="209"/>
        <v>Coal Mill Performance Improvement and Life Enhancement of BHEL Make XRP-1043 Coal Mills in 2x500 MW BTPS.</v>
      </c>
      <c r="C1281" s="1475">
        <f t="shared" si="209"/>
        <v>0</v>
      </c>
      <c r="D1281" s="1473" t="str">
        <f t="shared" si="209"/>
        <v>-</v>
      </c>
      <c r="E1281" s="1476">
        <f t="shared" si="209"/>
        <v>0</v>
      </c>
      <c r="F1281" s="1444">
        <f t="shared" si="199"/>
        <v>0</v>
      </c>
      <c r="G1281" s="1444">
        <f t="shared" si="200"/>
        <v>0</v>
      </c>
      <c r="H1281" s="1476">
        <f t="shared" si="201"/>
        <v>0</v>
      </c>
      <c r="I1281" s="1444">
        <v>0</v>
      </c>
      <c r="J1281" s="1444">
        <v>0</v>
      </c>
      <c r="K1281" s="1476"/>
      <c r="L1281" s="1476"/>
      <c r="M1281" s="1476">
        <f t="shared" si="206"/>
        <v>0</v>
      </c>
      <c r="N1281" s="1476">
        <f t="shared" si="202"/>
        <v>0</v>
      </c>
    </row>
    <row r="1282" spans="1:14" ht="31" outlineLevel="1">
      <c r="A1282" s="1455">
        <f t="shared" si="209"/>
        <v>1.1000000000000001</v>
      </c>
      <c r="B1282" s="1455" t="str">
        <f t="shared" si="209"/>
        <v>Coal Mill Performance Improvement and Life Enhancement of BHEL Make XRP-1043 Coal Mills in 2x500 MW BTPS.</v>
      </c>
      <c r="C1282" s="1475">
        <f t="shared" si="209"/>
        <v>0</v>
      </c>
      <c r="D1282" s="1473" t="str">
        <f t="shared" si="209"/>
        <v>-</v>
      </c>
      <c r="E1282" s="1476">
        <f t="shared" si="209"/>
        <v>0</v>
      </c>
      <c r="F1282" s="1444">
        <f t="shared" si="199"/>
        <v>50</v>
      </c>
      <c r="G1282" s="1444">
        <f t="shared" si="200"/>
        <v>50</v>
      </c>
      <c r="H1282" s="1476">
        <f t="shared" si="201"/>
        <v>0</v>
      </c>
      <c r="I1282" s="1444">
        <v>0</v>
      </c>
      <c r="J1282" s="1444">
        <v>0</v>
      </c>
      <c r="K1282" s="1476"/>
      <c r="L1282" s="1476"/>
      <c r="M1282" s="1476">
        <f t="shared" si="206"/>
        <v>0</v>
      </c>
      <c r="N1282" s="1476">
        <f t="shared" si="202"/>
        <v>0</v>
      </c>
    </row>
    <row r="1283" spans="1:14" ht="46.5" outlineLevel="1">
      <c r="A1283" s="1455">
        <f t="shared" si="209"/>
        <v>2</v>
      </c>
      <c r="B1283" s="1455" t="str">
        <f t="shared" si="209"/>
        <v xml:space="preserve">Upgradation of Coal feeder weighing system and revamping of Boiler side pneumatic dampers system of Hot air, cold air, FD,PA and burner tilt at Bhusawal TPS 2x500W </v>
      </c>
      <c r="C1283" s="1475">
        <f t="shared" si="209"/>
        <v>0</v>
      </c>
      <c r="D1283" s="1473" t="str">
        <f t="shared" si="209"/>
        <v>-</v>
      </c>
      <c r="E1283" s="1476">
        <f t="shared" si="209"/>
        <v>0</v>
      </c>
      <c r="F1283" s="1444">
        <f t="shared" si="199"/>
        <v>0</v>
      </c>
      <c r="G1283" s="1444">
        <f t="shared" si="200"/>
        <v>0</v>
      </c>
      <c r="H1283" s="1476">
        <f t="shared" si="201"/>
        <v>0</v>
      </c>
      <c r="I1283" s="1444">
        <v>0</v>
      </c>
      <c r="J1283" s="1444">
        <v>0</v>
      </c>
      <c r="K1283" s="1476"/>
      <c r="L1283" s="1476"/>
      <c r="M1283" s="1476">
        <f t="shared" si="206"/>
        <v>0</v>
      </c>
      <c r="N1283" s="1476">
        <f t="shared" si="202"/>
        <v>0</v>
      </c>
    </row>
    <row r="1284" spans="1:14" ht="15.5" outlineLevel="1">
      <c r="A1284" s="1455">
        <f t="shared" si="209"/>
        <v>2.1</v>
      </c>
      <c r="B1284" s="1455" t="str">
        <f t="shared" si="209"/>
        <v xml:space="preserve">Upgradation of Coal feeder weighing system  at Bhusawal TPS 2x500W </v>
      </c>
      <c r="C1284" s="1475">
        <f t="shared" si="209"/>
        <v>0</v>
      </c>
      <c r="D1284" s="1473" t="str">
        <f t="shared" si="209"/>
        <v>-</v>
      </c>
      <c r="E1284" s="1476">
        <f t="shared" si="209"/>
        <v>0</v>
      </c>
      <c r="F1284" s="1444">
        <f t="shared" si="199"/>
        <v>11.42</v>
      </c>
      <c r="G1284" s="1444">
        <f t="shared" si="200"/>
        <v>11.42</v>
      </c>
      <c r="H1284" s="1476">
        <f t="shared" si="201"/>
        <v>0</v>
      </c>
      <c r="I1284" s="1444">
        <v>0</v>
      </c>
      <c r="J1284" s="1444">
        <v>0</v>
      </c>
      <c r="K1284" s="1476"/>
      <c r="L1284" s="1476"/>
      <c r="M1284" s="1476">
        <f t="shared" si="206"/>
        <v>0</v>
      </c>
      <c r="N1284" s="1476">
        <f t="shared" si="202"/>
        <v>0</v>
      </c>
    </row>
    <row r="1285" spans="1:14" ht="15.5" outlineLevel="1">
      <c r="A1285" s="1455">
        <f t="shared" si="209"/>
        <v>2.2000000000000002</v>
      </c>
      <c r="B1285" s="1455" t="str">
        <f t="shared" si="209"/>
        <v>Up-gradation of carbon monoxide analyzer in flue gas installed</v>
      </c>
      <c r="C1285" s="1475">
        <f t="shared" si="209"/>
        <v>0</v>
      </c>
      <c r="D1285" s="1473" t="str">
        <f t="shared" si="209"/>
        <v>-</v>
      </c>
      <c r="E1285" s="1476">
        <f t="shared" si="209"/>
        <v>0</v>
      </c>
      <c r="F1285" s="1444">
        <f t="shared" si="199"/>
        <v>2.16</v>
      </c>
      <c r="G1285" s="1444">
        <f t="shared" si="200"/>
        <v>2.16</v>
      </c>
      <c r="H1285" s="1476">
        <f t="shared" si="201"/>
        <v>0</v>
      </c>
      <c r="I1285" s="1444">
        <v>0</v>
      </c>
      <c r="J1285" s="1444">
        <v>0</v>
      </c>
      <c r="K1285" s="1476"/>
      <c r="L1285" s="1476"/>
      <c r="M1285" s="1476">
        <f t="shared" si="206"/>
        <v>0</v>
      </c>
      <c r="N1285" s="1476">
        <f t="shared" si="202"/>
        <v>0</v>
      </c>
    </row>
    <row r="1286" spans="1:14" ht="31" outlineLevel="1">
      <c r="A1286" s="1455">
        <f t="shared" si="209"/>
        <v>2.2999999999999998</v>
      </c>
      <c r="B1286" s="1455" t="str">
        <f t="shared" si="209"/>
        <v>Up- Gradation of condition monitoring &amp; analysis system for TSI of Main Turbine , TDBFP &amp; BOP System 2x500 MW BTPS.</v>
      </c>
      <c r="C1286" s="1475">
        <f t="shared" si="209"/>
        <v>0</v>
      </c>
      <c r="D1286" s="1473" t="str">
        <f t="shared" si="209"/>
        <v>-</v>
      </c>
      <c r="E1286" s="1476">
        <f t="shared" si="209"/>
        <v>0</v>
      </c>
      <c r="F1286" s="1444">
        <f t="shared" si="199"/>
        <v>13.2</v>
      </c>
      <c r="G1286" s="1444">
        <f t="shared" si="200"/>
        <v>13.2</v>
      </c>
      <c r="H1286" s="1476">
        <f t="shared" si="201"/>
        <v>0</v>
      </c>
      <c r="I1286" s="1444">
        <v>0</v>
      </c>
      <c r="J1286" s="1444">
        <v>0</v>
      </c>
      <c r="K1286" s="1476"/>
      <c r="L1286" s="1476"/>
      <c r="M1286" s="1476">
        <f t="shared" si="206"/>
        <v>0</v>
      </c>
      <c r="N1286" s="1476">
        <f t="shared" si="202"/>
        <v>0</v>
      </c>
    </row>
    <row r="1287" spans="1:14" ht="31" outlineLevel="1">
      <c r="A1287" s="1455">
        <f t="shared" si="209"/>
        <v>2.5</v>
      </c>
      <c r="B1287" s="1455" t="str">
        <f t="shared" si="209"/>
        <v xml:space="preserve">Revamping of Boiler side pneumatic dampers system of Hot air, cold air, FD,PA and burner tilt at BTPS 2X500MW </v>
      </c>
      <c r="C1287" s="1475">
        <f t="shared" si="209"/>
        <v>0</v>
      </c>
      <c r="D1287" s="1473" t="str">
        <f t="shared" si="209"/>
        <v>-</v>
      </c>
      <c r="E1287" s="1476">
        <f t="shared" si="209"/>
        <v>0</v>
      </c>
      <c r="F1287" s="1444">
        <f t="shared" si="199"/>
        <v>6</v>
      </c>
      <c r="G1287" s="1444">
        <f t="shared" si="200"/>
        <v>6</v>
      </c>
      <c r="H1287" s="1476">
        <f t="shared" si="201"/>
        <v>0</v>
      </c>
      <c r="I1287" s="1444">
        <v>0</v>
      </c>
      <c r="J1287" s="1444">
        <v>0</v>
      </c>
      <c r="K1287" s="1476"/>
      <c r="L1287" s="1476"/>
      <c r="M1287" s="1476">
        <f t="shared" si="206"/>
        <v>0</v>
      </c>
      <c r="N1287" s="1476">
        <f t="shared" si="202"/>
        <v>0</v>
      </c>
    </row>
    <row r="1288" spans="1:14" ht="15.5" outlineLevel="1">
      <c r="A1288" s="1455">
        <f t="shared" ref="A1288:E1303" si="210">A1058</f>
        <v>2.6</v>
      </c>
      <c r="B1288" s="1455" t="str">
        <f t="shared" si="210"/>
        <v>Procurement of various high pressure valves at 2x500 MW.</v>
      </c>
      <c r="C1288" s="1442">
        <f t="shared" si="210"/>
        <v>0</v>
      </c>
      <c r="D1288" s="1443" t="str">
        <f t="shared" si="210"/>
        <v>-</v>
      </c>
      <c r="E1288" s="1444">
        <f t="shared" si="210"/>
        <v>0</v>
      </c>
      <c r="F1288" s="1444">
        <f t="shared" ref="F1288:F1351" si="211">F1058+I1058</f>
        <v>2.2200000000000002</v>
      </c>
      <c r="G1288" s="1444">
        <f t="shared" ref="G1288:G1351" si="212">G1058+M1058</f>
        <v>2.2200000000000002</v>
      </c>
      <c r="H1288" s="1444">
        <f t="shared" ref="H1288:H1371" si="213">F1288-G1288</f>
        <v>0</v>
      </c>
      <c r="I1288" s="1444">
        <v>0</v>
      </c>
      <c r="J1288" s="1444">
        <v>0</v>
      </c>
      <c r="K1288" s="1444"/>
      <c r="L1288" s="1444"/>
      <c r="M1288" s="1444">
        <f t="shared" si="206"/>
        <v>0</v>
      </c>
      <c r="N1288" s="1444">
        <f t="shared" ref="N1288:N1371" si="214">H1288+I1288-M1288</f>
        <v>0</v>
      </c>
    </row>
    <row r="1289" spans="1:14" ht="31" outlineLevel="1">
      <c r="A1289" s="1458">
        <f t="shared" si="210"/>
        <v>3</v>
      </c>
      <c r="B1289" s="1459" t="str">
        <f t="shared" si="210"/>
        <v>Schemes for Turbine side auxiliaries systems Performance &amp; efficiency improvement schemes at 2X500MW, Bhusawal TPS</v>
      </c>
      <c r="C1289" s="1475">
        <f t="shared" si="210"/>
        <v>0</v>
      </c>
      <c r="D1289" s="1473" t="str">
        <f t="shared" si="210"/>
        <v>-</v>
      </c>
      <c r="E1289" s="1476">
        <f t="shared" si="210"/>
        <v>0</v>
      </c>
      <c r="F1289" s="1444">
        <f t="shared" si="211"/>
        <v>0</v>
      </c>
      <c r="G1289" s="1444">
        <f t="shared" si="212"/>
        <v>0</v>
      </c>
      <c r="H1289" s="1476">
        <f t="shared" si="213"/>
        <v>0</v>
      </c>
      <c r="I1289" s="1444">
        <v>0</v>
      </c>
      <c r="J1289" s="1444">
        <v>0</v>
      </c>
      <c r="K1289" s="1476"/>
      <c r="L1289" s="1476"/>
      <c r="M1289" s="1476">
        <f t="shared" si="206"/>
        <v>0</v>
      </c>
      <c r="N1289" s="1476">
        <f t="shared" si="214"/>
        <v>0</v>
      </c>
    </row>
    <row r="1290" spans="1:14" ht="31" outlineLevel="1">
      <c r="A1290" s="1455">
        <f t="shared" si="210"/>
        <v>3.1</v>
      </c>
      <c r="B1290" s="1455" t="str">
        <f t="shared" si="210"/>
        <v>Procurement of BFP Booster Pump (FA-1B-75) complete assembly (04 Nos) at 500MW BTPS, Bhusawal.</v>
      </c>
      <c r="C1290" s="1475">
        <f t="shared" si="210"/>
        <v>0</v>
      </c>
      <c r="D1290" s="1473" t="str">
        <f t="shared" si="210"/>
        <v>-</v>
      </c>
      <c r="E1290" s="1476">
        <f t="shared" si="210"/>
        <v>0</v>
      </c>
      <c r="F1290" s="1444">
        <f t="shared" si="211"/>
        <v>3.16</v>
      </c>
      <c r="G1290" s="1444">
        <f t="shared" si="212"/>
        <v>3.16</v>
      </c>
      <c r="H1290" s="1476">
        <f t="shared" si="213"/>
        <v>0</v>
      </c>
      <c r="I1290" s="1444">
        <v>0</v>
      </c>
      <c r="J1290" s="1444">
        <v>0</v>
      </c>
      <c r="K1290" s="1476"/>
      <c r="L1290" s="1476"/>
      <c r="M1290" s="1476">
        <f t="shared" si="206"/>
        <v>0</v>
      </c>
      <c r="N1290" s="1476">
        <f t="shared" si="214"/>
        <v>0</v>
      </c>
    </row>
    <row r="1291" spans="1:14" ht="31" outlineLevel="1">
      <c r="A1291" s="1455">
        <f t="shared" si="210"/>
        <v>3.2</v>
      </c>
      <c r="B1291" s="1455" t="str">
        <f t="shared" si="210"/>
        <v>Procurement of Vacuum Pump complete assembly with recirculation Pump (01 No) and Impeller assembly (2 Nos) at 500MW BTPS, Bhusawal.</v>
      </c>
      <c r="C1291" s="1475">
        <f t="shared" si="210"/>
        <v>0</v>
      </c>
      <c r="D1291" s="1473" t="str">
        <f t="shared" si="210"/>
        <v>-</v>
      </c>
      <c r="E1291" s="1476">
        <f t="shared" si="210"/>
        <v>0</v>
      </c>
      <c r="F1291" s="1444">
        <f t="shared" si="211"/>
        <v>5.2</v>
      </c>
      <c r="G1291" s="1444">
        <f t="shared" si="212"/>
        <v>5.2</v>
      </c>
      <c r="H1291" s="1476">
        <f t="shared" si="213"/>
        <v>0</v>
      </c>
      <c r="I1291" s="1444">
        <v>0</v>
      </c>
      <c r="J1291" s="1444">
        <v>0</v>
      </c>
      <c r="K1291" s="1476"/>
      <c r="L1291" s="1476"/>
      <c r="M1291" s="1476">
        <f t="shared" si="206"/>
        <v>0</v>
      </c>
      <c r="N1291" s="1476">
        <f t="shared" si="214"/>
        <v>0</v>
      </c>
    </row>
    <row r="1292" spans="1:14" ht="31" outlineLevel="1">
      <c r="A1292" s="1455">
        <f t="shared" si="210"/>
        <v>3.3</v>
      </c>
      <c r="B1292" s="1455" t="str">
        <f t="shared" si="210"/>
        <v>Revamping, modification of outdoor ducting of Air ventilation system at 2x500MW BTPS, Bhusawal.</v>
      </c>
      <c r="C1292" s="1475">
        <f t="shared" si="210"/>
        <v>0</v>
      </c>
      <c r="D1292" s="1473" t="str">
        <f t="shared" si="210"/>
        <v>-</v>
      </c>
      <c r="E1292" s="1476">
        <f t="shared" si="210"/>
        <v>0</v>
      </c>
      <c r="F1292" s="1444">
        <f t="shared" si="211"/>
        <v>8.7200000000000006</v>
      </c>
      <c r="G1292" s="1444">
        <f t="shared" si="212"/>
        <v>8.7200000000000006</v>
      </c>
      <c r="H1292" s="1476">
        <f t="shared" si="213"/>
        <v>0</v>
      </c>
      <c r="I1292" s="1444">
        <v>0</v>
      </c>
      <c r="J1292" s="1444">
        <v>0</v>
      </c>
      <c r="K1292" s="1476"/>
      <c r="L1292" s="1476"/>
      <c r="M1292" s="1476">
        <f t="shared" si="206"/>
        <v>0</v>
      </c>
      <c r="N1292" s="1476">
        <f t="shared" si="214"/>
        <v>0</v>
      </c>
    </row>
    <row r="1293" spans="1:14" ht="15.5" outlineLevel="1">
      <c r="A1293" s="1455">
        <f t="shared" si="210"/>
        <v>3.4</v>
      </c>
      <c r="B1293" s="1455" t="str">
        <f t="shared" si="210"/>
        <v>Performance improvement of compressors</v>
      </c>
      <c r="C1293" s="1475">
        <f t="shared" si="210"/>
        <v>0</v>
      </c>
      <c r="D1293" s="1473" t="str">
        <f t="shared" si="210"/>
        <v>-</v>
      </c>
      <c r="E1293" s="1476">
        <f t="shared" si="210"/>
        <v>0</v>
      </c>
      <c r="F1293" s="1444">
        <f t="shared" si="211"/>
        <v>12.99</v>
      </c>
      <c r="G1293" s="1444">
        <f t="shared" si="212"/>
        <v>12.99</v>
      </c>
      <c r="H1293" s="1476">
        <f t="shared" si="213"/>
        <v>0</v>
      </c>
      <c r="I1293" s="1444">
        <v>0</v>
      </c>
      <c r="J1293" s="1444">
        <v>0</v>
      </c>
      <c r="K1293" s="1476"/>
      <c r="L1293" s="1476"/>
      <c r="M1293" s="1476">
        <f t="shared" si="206"/>
        <v>0</v>
      </c>
      <c r="N1293" s="1476">
        <f t="shared" si="214"/>
        <v>0</v>
      </c>
    </row>
    <row r="1294" spans="1:14" ht="15.5" outlineLevel="1">
      <c r="A1294" s="1455">
        <f t="shared" si="210"/>
        <v>3.5</v>
      </c>
      <c r="B1294" s="1455" t="str">
        <f t="shared" si="210"/>
        <v>Centralized Water Management System at BTPS, Deepnagar, Bhusawal</v>
      </c>
      <c r="C1294" s="1475">
        <f t="shared" si="210"/>
        <v>0</v>
      </c>
      <c r="D1294" s="1473" t="str">
        <f t="shared" si="210"/>
        <v>-</v>
      </c>
      <c r="E1294" s="1476">
        <f t="shared" si="210"/>
        <v>0</v>
      </c>
      <c r="F1294" s="1444">
        <f t="shared" si="211"/>
        <v>2.29</v>
      </c>
      <c r="G1294" s="1444">
        <f t="shared" si="212"/>
        <v>2.29</v>
      </c>
      <c r="H1294" s="1476">
        <f t="shared" si="213"/>
        <v>0</v>
      </c>
      <c r="I1294" s="1444">
        <v>0</v>
      </c>
      <c r="J1294" s="1444">
        <v>0</v>
      </c>
      <c r="K1294" s="1476"/>
      <c r="L1294" s="1476"/>
      <c r="M1294" s="1476">
        <f t="shared" si="206"/>
        <v>0</v>
      </c>
      <c r="N1294" s="1476">
        <f t="shared" si="214"/>
        <v>0</v>
      </c>
    </row>
    <row r="1295" spans="1:14" ht="31" outlineLevel="1">
      <c r="A1295" s="1455">
        <f t="shared" si="210"/>
        <v>3.6</v>
      </c>
      <c r="B1295" s="1455" t="str">
        <f t="shared" si="210"/>
        <v>Revamping and upgradation of Forbes Marshal make Steam &amp; Water Analysis System Installed at 2x500MW BTPS.</v>
      </c>
      <c r="C1295" s="1475">
        <f t="shared" si="210"/>
        <v>0</v>
      </c>
      <c r="D1295" s="1473" t="str">
        <f t="shared" si="210"/>
        <v>-</v>
      </c>
      <c r="E1295" s="1476">
        <f t="shared" si="210"/>
        <v>0</v>
      </c>
      <c r="F1295" s="1444">
        <f t="shared" si="211"/>
        <v>10.11</v>
      </c>
      <c r="G1295" s="1444">
        <f t="shared" si="212"/>
        <v>10.11</v>
      </c>
      <c r="H1295" s="1476">
        <f t="shared" si="213"/>
        <v>0</v>
      </c>
      <c r="I1295" s="1444">
        <v>0</v>
      </c>
      <c r="J1295" s="1444">
        <v>0</v>
      </c>
      <c r="K1295" s="1476"/>
      <c r="L1295" s="1476"/>
      <c r="M1295" s="1476">
        <f t="shared" si="206"/>
        <v>0</v>
      </c>
      <c r="N1295" s="1476">
        <f t="shared" si="214"/>
        <v>0</v>
      </c>
    </row>
    <row r="1296" spans="1:14" ht="31" outlineLevel="1">
      <c r="A1296" s="1458">
        <f t="shared" si="210"/>
        <v>4</v>
      </c>
      <c r="B1296" s="1459" t="str">
        <f t="shared" si="210"/>
        <v>Implementation of flexible operation solutions for technical minimum operation of 2x500MW, BTPS.</v>
      </c>
      <c r="C1296" s="1475">
        <f t="shared" si="210"/>
        <v>0</v>
      </c>
      <c r="D1296" s="1473" t="str">
        <f t="shared" si="210"/>
        <v>-</v>
      </c>
      <c r="E1296" s="1476">
        <f t="shared" si="210"/>
        <v>0</v>
      </c>
      <c r="F1296" s="1444">
        <f t="shared" si="211"/>
        <v>0</v>
      </c>
      <c r="G1296" s="1444">
        <f t="shared" si="212"/>
        <v>0</v>
      </c>
      <c r="H1296" s="1476">
        <f t="shared" si="213"/>
        <v>0</v>
      </c>
      <c r="I1296" s="1444">
        <v>0</v>
      </c>
      <c r="J1296" s="1444">
        <v>0</v>
      </c>
      <c r="K1296" s="1476"/>
      <c r="L1296" s="1476"/>
      <c r="M1296" s="1476">
        <f t="shared" si="206"/>
        <v>0</v>
      </c>
      <c r="N1296" s="1476">
        <f t="shared" si="214"/>
        <v>0</v>
      </c>
    </row>
    <row r="1297" spans="1:14" ht="31" outlineLevel="1">
      <c r="A1297" s="1455">
        <f t="shared" si="210"/>
        <v>4.0999999999999996</v>
      </c>
      <c r="B1297" s="1455" t="str">
        <f t="shared" si="210"/>
        <v>Implementation of flexible operation solutions for technical minimum operation of 2x500MW, BTPS.</v>
      </c>
      <c r="C1297" s="1475">
        <f t="shared" si="210"/>
        <v>0</v>
      </c>
      <c r="D1297" s="1473" t="str">
        <f t="shared" si="210"/>
        <v>-</v>
      </c>
      <c r="E1297" s="1476">
        <f t="shared" si="210"/>
        <v>0</v>
      </c>
      <c r="F1297" s="1444">
        <f t="shared" si="211"/>
        <v>50</v>
      </c>
      <c r="G1297" s="1444">
        <f t="shared" si="212"/>
        <v>50</v>
      </c>
      <c r="H1297" s="1476">
        <f t="shared" si="213"/>
        <v>0</v>
      </c>
      <c r="I1297" s="1444">
        <v>0</v>
      </c>
      <c r="J1297" s="1444">
        <v>0</v>
      </c>
      <c r="K1297" s="1476"/>
      <c r="L1297" s="1476"/>
      <c r="M1297" s="1476">
        <f t="shared" si="206"/>
        <v>0</v>
      </c>
      <c r="N1297" s="1476">
        <f t="shared" si="214"/>
        <v>0</v>
      </c>
    </row>
    <row r="1298" spans="1:14" ht="15.5" outlineLevel="1">
      <c r="A1298" s="1457">
        <f t="shared" si="210"/>
        <v>0</v>
      </c>
      <c r="B1298" s="1457" t="str">
        <f t="shared" si="210"/>
        <v xml:space="preserve">FY 2027-28 </v>
      </c>
      <c r="C1298" s="1442">
        <f t="shared" si="210"/>
        <v>0</v>
      </c>
      <c r="D1298" s="1443" t="str">
        <f t="shared" si="210"/>
        <v>-</v>
      </c>
      <c r="E1298" s="1444">
        <f t="shared" si="210"/>
        <v>0</v>
      </c>
      <c r="F1298" s="1444">
        <f t="shared" si="211"/>
        <v>0</v>
      </c>
      <c r="G1298" s="1444">
        <f t="shared" si="212"/>
        <v>0</v>
      </c>
      <c r="H1298" s="1444">
        <f t="shared" si="213"/>
        <v>0</v>
      </c>
      <c r="I1298" s="1444">
        <v>0</v>
      </c>
      <c r="J1298" s="1444">
        <v>0</v>
      </c>
      <c r="K1298" s="1444"/>
      <c r="L1298" s="1444"/>
      <c r="M1298" s="1444">
        <f t="shared" si="206"/>
        <v>0</v>
      </c>
      <c r="N1298" s="1444">
        <f t="shared" si="214"/>
        <v>0</v>
      </c>
    </row>
    <row r="1299" spans="1:14" ht="31" outlineLevel="1">
      <c r="A1299" s="1458">
        <f t="shared" si="210"/>
        <v>1</v>
      </c>
      <c r="B1299" s="1459" t="str">
        <f t="shared" si="210"/>
        <v>Supply,Installation and commissioning of Boiler performance and reliability improvement schemes at BTPS 2x500MW.</v>
      </c>
      <c r="C1299" s="1475">
        <f t="shared" si="210"/>
        <v>0</v>
      </c>
      <c r="D1299" s="1473" t="str">
        <f t="shared" si="210"/>
        <v>-</v>
      </c>
      <c r="E1299" s="1476">
        <f t="shared" si="210"/>
        <v>0</v>
      </c>
      <c r="F1299" s="1444">
        <f t="shared" si="211"/>
        <v>0</v>
      </c>
      <c r="G1299" s="1444">
        <f t="shared" si="212"/>
        <v>0</v>
      </c>
      <c r="H1299" s="1476">
        <f t="shared" si="213"/>
        <v>0</v>
      </c>
      <c r="I1299" s="1444">
        <v>0</v>
      </c>
      <c r="J1299" s="1444">
        <v>0</v>
      </c>
      <c r="K1299" s="1476"/>
      <c r="L1299" s="1476"/>
      <c r="M1299" s="1476">
        <f t="shared" ref="M1299:M1362" si="215">SUM(J1299:L1299)</f>
        <v>0</v>
      </c>
      <c r="N1299" s="1476">
        <f t="shared" si="214"/>
        <v>0</v>
      </c>
    </row>
    <row r="1300" spans="1:14" ht="31" outlineLevel="1">
      <c r="A1300" s="1455">
        <f t="shared" si="210"/>
        <v>1.1000000000000001</v>
      </c>
      <c r="B1300" s="1455" t="str">
        <f t="shared" si="210"/>
        <v>Procurement of  M/s Torishima, Japan make, 350 KW, 6.6KV, Boiler Circulating Water (BCW) Pump Motors at BTPS 2x500MW.</v>
      </c>
      <c r="C1300" s="1475">
        <f t="shared" si="210"/>
        <v>0</v>
      </c>
      <c r="D1300" s="1473" t="str">
        <f t="shared" si="210"/>
        <v>-</v>
      </c>
      <c r="E1300" s="1476">
        <f t="shared" si="210"/>
        <v>0</v>
      </c>
      <c r="F1300" s="1444">
        <f t="shared" si="211"/>
        <v>0</v>
      </c>
      <c r="G1300" s="1444">
        <f t="shared" si="212"/>
        <v>0</v>
      </c>
      <c r="H1300" s="1476">
        <f t="shared" si="213"/>
        <v>0</v>
      </c>
      <c r="I1300" s="1444">
        <v>5.58</v>
      </c>
      <c r="J1300" s="1444">
        <v>5.58</v>
      </c>
      <c r="K1300" s="1476"/>
      <c r="L1300" s="1476"/>
      <c r="M1300" s="1476">
        <f t="shared" si="215"/>
        <v>5.58</v>
      </c>
      <c r="N1300" s="1476">
        <f t="shared" si="214"/>
        <v>0</v>
      </c>
    </row>
    <row r="1301" spans="1:14" ht="31" outlineLevel="1">
      <c r="A1301" s="1455">
        <f t="shared" si="210"/>
        <v>1.2</v>
      </c>
      <c r="B1301" s="1455" t="str">
        <f t="shared" si="210"/>
        <v>Installation commissioning of Online DC Earth fault monitoring system at 220V DCDB at 500MW U-4&amp;5.</v>
      </c>
      <c r="C1301" s="1475">
        <f t="shared" si="210"/>
        <v>0</v>
      </c>
      <c r="D1301" s="1473" t="str">
        <f t="shared" si="210"/>
        <v>-</v>
      </c>
      <c r="E1301" s="1476">
        <f t="shared" si="210"/>
        <v>0</v>
      </c>
      <c r="F1301" s="1444">
        <f t="shared" si="211"/>
        <v>0</v>
      </c>
      <c r="G1301" s="1444">
        <f t="shared" si="212"/>
        <v>0</v>
      </c>
      <c r="H1301" s="1476">
        <f t="shared" si="213"/>
        <v>0</v>
      </c>
      <c r="I1301" s="1444">
        <v>2.5</v>
      </c>
      <c r="J1301" s="1444">
        <v>2.5</v>
      </c>
      <c r="K1301" s="1476"/>
      <c r="L1301" s="1476"/>
      <c r="M1301" s="1476">
        <f t="shared" si="215"/>
        <v>2.5</v>
      </c>
      <c r="N1301" s="1476">
        <f t="shared" si="214"/>
        <v>0</v>
      </c>
    </row>
    <row r="1302" spans="1:14" ht="31" outlineLevel="1">
      <c r="A1302" s="1455">
        <f t="shared" si="210"/>
        <v>1.3</v>
      </c>
      <c r="B1302" s="1455" t="str">
        <f t="shared" si="210"/>
        <v>Design,  supply, erection, comms. Of ID VFD &amp; AHP transformers for 2x500MW BTPS.</v>
      </c>
      <c r="C1302" s="1475">
        <f t="shared" si="210"/>
        <v>0</v>
      </c>
      <c r="D1302" s="1473" t="str">
        <f t="shared" si="210"/>
        <v>-</v>
      </c>
      <c r="E1302" s="1476">
        <f t="shared" si="210"/>
        <v>0</v>
      </c>
      <c r="F1302" s="1444">
        <f t="shared" si="211"/>
        <v>0</v>
      </c>
      <c r="G1302" s="1444">
        <f t="shared" si="212"/>
        <v>0</v>
      </c>
      <c r="H1302" s="1476">
        <f t="shared" si="213"/>
        <v>0</v>
      </c>
      <c r="I1302" s="1444">
        <v>2</v>
      </c>
      <c r="J1302" s="1444">
        <v>2</v>
      </c>
      <c r="K1302" s="1476"/>
      <c r="L1302" s="1476"/>
      <c r="M1302" s="1476">
        <f t="shared" si="215"/>
        <v>2</v>
      </c>
      <c r="N1302" s="1476">
        <f t="shared" si="214"/>
        <v>0</v>
      </c>
    </row>
    <row r="1303" spans="1:14" ht="31" outlineLevel="1">
      <c r="A1303" s="1455">
        <f t="shared" si="210"/>
        <v>1.4</v>
      </c>
      <c r="B1303" s="1455" t="str">
        <f t="shared" si="210"/>
        <v>Design,supply,installation and commissioning of Energy efficient  System for illumination at BTPS 2x500MW.</v>
      </c>
      <c r="C1303" s="1475">
        <f t="shared" si="210"/>
        <v>0</v>
      </c>
      <c r="D1303" s="1473" t="str">
        <f t="shared" si="210"/>
        <v>-</v>
      </c>
      <c r="E1303" s="1476">
        <f t="shared" si="210"/>
        <v>0</v>
      </c>
      <c r="F1303" s="1444">
        <f t="shared" si="211"/>
        <v>0</v>
      </c>
      <c r="G1303" s="1444">
        <f t="shared" si="212"/>
        <v>0</v>
      </c>
      <c r="H1303" s="1476">
        <f t="shared" si="213"/>
        <v>0</v>
      </c>
      <c r="I1303" s="1444">
        <v>4</v>
      </c>
      <c r="J1303" s="1444">
        <v>4</v>
      </c>
      <c r="K1303" s="1476"/>
      <c r="L1303" s="1476"/>
      <c r="M1303" s="1476">
        <f t="shared" si="215"/>
        <v>4</v>
      </c>
      <c r="N1303" s="1476">
        <f t="shared" si="214"/>
        <v>0</v>
      </c>
    </row>
    <row r="1304" spans="1:14" ht="31" outlineLevel="1">
      <c r="A1304" s="1455">
        <f t="shared" ref="A1304:E1319" si="216">A1074</f>
        <v>1.5</v>
      </c>
      <c r="B1304" s="1455" t="str">
        <f t="shared" si="216"/>
        <v>Procurement of  Main Gear unit assembly of electrical Actuators in 2x500MW BTPS</v>
      </c>
      <c r="C1304" s="1442">
        <f t="shared" si="216"/>
        <v>0</v>
      </c>
      <c r="D1304" s="1443" t="str">
        <f t="shared" si="216"/>
        <v>-</v>
      </c>
      <c r="E1304" s="1444">
        <f t="shared" si="216"/>
        <v>0</v>
      </c>
      <c r="F1304" s="1444">
        <f t="shared" si="211"/>
        <v>0</v>
      </c>
      <c r="G1304" s="1444">
        <f t="shared" si="212"/>
        <v>0</v>
      </c>
      <c r="H1304" s="1444">
        <f t="shared" si="213"/>
        <v>0</v>
      </c>
      <c r="I1304" s="1444">
        <v>6</v>
      </c>
      <c r="J1304" s="1444">
        <v>6</v>
      </c>
      <c r="K1304" s="1444"/>
      <c r="L1304" s="1444"/>
      <c r="M1304" s="1444">
        <f t="shared" si="215"/>
        <v>6</v>
      </c>
      <c r="N1304" s="1444">
        <f t="shared" si="214"/>
        <v>0</v>
      </c>
    </row>
    <row r="1305" spans="1:14" ht="31" outlineLevel="1">
      <c r="A1305" s="1455">
        <f t="shared" si="216"/>
        <v>1.6</v>
      </c>
      <c r="B1305" s="1455" t="str">
        <f t="shared" si="216"/>
        <v>Supply, erection, commissioning &amp; site testing of 360V, 750 AH Station UPS Battery Sets  along with accessories for Unit No.5 at BTPS 2x500MW.</v>
      </c>
      <c r="C1305" s="1475">
        <f t="shared" si="216"/>
        <v>0</v>
      </c>
      <c r="D1305" s="1473" t="str">
        <f t="shared" si="216"/>
        <v>-</v>
      </c>
      <c r="E1305" s="1476">
        <f t="shared" si="216"/>
        <v>0</v>
      </c>
      <c r="F1305" s="1444">
        <f t="shared" si="211"/>
        <v>0</v>
      </c>
      <c r="G1305" s="1444">
        <f t="shared" si="212"/>
        <v>0</v>
      </c>
      <c r="H1305" s="1476">
        <f t="shared" si="213"/>
        <v>0</v>
      </c>
      <c r="I1305" s="1444">
        <v>4</v>
      </c>
      <c r="J1305" s="1444">
        <v>4</v>
      </c>
      <c r="K1305" s="1476"/>
      <c r="L1305" s="1476"/>
      <c r="M1305" s="1476">
        <f t="shared" si="215"/>
        <v>4</v>
      </c>
      <c r="N1305" s="1476">
        <f t="shared" si="214"/>
        <v>0</v>
      </c>
    </row>
    <row r="1306" spans="1:14" ht="15.5" outlineLevel="1">
      <c r="A1306" s="1455">
        <f t="shared" si="216"/>
        <v>1.7</v>
      </c>
      <c r="B1306" s="1455" t="str">
        <f t="shared" si="216"/>
        <v xml:space="preserve">Upgradation of EWLI system  at Bhusawal TPS 2x500W </v>
      </c>
      <c r="C1306" s="1442">
        <f t="shared" si="216"/>
        <v>0</v>
      </c>
      <c r="D1306" s="1443" t="str">
        <f t="shared" si="216"/>
        <v>-</v>
      </c>
      <c r="E1306" s="1444">
        <f t="shared" si="216"/>
        <v>0</v>
      </c>
      <c r="F1306" s="1444">
        <f t="shared" si="211"/>
        <v>0</v>
      </c>
      <c r="G1306" s="1444">
        <f t="shared" si="212"/>
        <v>0</v>
      </c>
      <c r="H1306" s="1444">
        <f t="shared" si="213"/>
        <v>0</v>
      </c>
      <c r="I1306" s="1444">
        <v>1</v>
      </c>
      <c r="J1306" s="1444">
        <v>1</v>
      </c>
      <c r="K1306" s="1444"/>
      <c r="L1306" s="1444"/>
      <c r="M1306" s="1444">
        <f t="shared" si="215"/>
        <v>1</v>
      </c>
      <c r="N1306" s="1444">
        <f t="shared" si="214"/>
        <v>0</v>
      </c>
    </row>
    <row r="1307" spans="1:14" ht="46.5" outlineLevel="1">
      <c r="A1307" s="1458">
        <f t="shared" si="216"/>
        <v>2</v>
      </c>
      <c r="B1307" s="1459" t="str">
        <f t="shared" si="216"/>
        <v>Performance improvement of Bottom ash evacualtion system to reduce auxillary power consumption, water consumption &amp; environmental pollution at 2X500MW, Bhusawal TPS</v>
      </c>
      <c r="C1307" s="1475">
        <f t="shared" si="216"/>
        <v>0</v>
      </c>
      <c r="D1307" s="1473" t="str">
        <f t="shared" si="216"/>
        <v>-</v>
      </c>
      <c r="E1307" s="1476">
        <f t="shared" si="216"/>
        <v>0</v>
      </c>
      <c r="F1307" s="1444">
        <f t="shared" si="211"/>
        <v>0</v>
      </c>
      <c r="G1307" s="1444">
        <f t="shared" si="212"/>
        <v>0</v>
      </c>
      <c r="H1307" s="1476">
        <f t="shared" si="213"/>
        <v>0</v>
      </c>
      <c r="I1307" s="1444">
        <v>0</v>
      </c>
      <c r="J1307" s="1444">
        <v>0</v>
      </c>
      <c r="K1307" s="1476"/>
      <c r="L1307" s="1476"/>
      <c r="M1307" s="1476">
        <f t="shared" si="215"/>
        <v>0</v>
      </c>
      <c r="N1307" s="1476">
        <f t="shared" si="214"/>
        <v>0</v>
      </c>
    </row>
    <row r="1308" spans="1:14" ht="31" outlineLevel="1">
      <c r="A1308" s="1455">
        <f t="shared" si="216"/>
        <v>2.1</v>
      </c>
      <c r="B1308" s="1455" t="str">
        <f t="shared" si="216"/>
        <v>Modification of latest design AR 200/550 Ash slurry pump assembly including auxillaries at AHP, 2x500MW, BTPS.</v>
      </c>
      <c r="C1308" s="1442">
        <f t="shared" si="216"/>
        <v>0</v>
      </c>
      <c r="D1308" s="1443" t="str">
        <f t="shared" si="216"/>
        <v>-</v>
      </c>
      <c r="E1308" s="1444">
        <f t="shared" si="216"/>
        <v>0</v>
      </c>
      <c r="F1308" s="1444">
        <f t="shared" si="211"/>
        <v>0</v>
      </c>
      <c r="G1308" s="1444">
        <f t="shared" si="212"/>
        <v>0</v>
      </c>
      <c r="H1308" s="1444">
        <f t="shared" si="213"/>
        <v>0</v>
      </c>
      <c r="I1308" s="1444">
        <v>4.6900000000000004</v>
      </c>
      <c r="J1308" s="1444">
        <v>4.6900000000000004</v>
      </c>
      <c r="K1308" s="1444"/>
      <c r="L1308" s="1444"/>
      <c r="M1308" s="1444">
        <f t="shared" si="215"/>
        <v>4.6900000000000004</v>
      </c>
      <c r="N1308" s="1444">
        <f t="shared" si="214"/>
        <v>0</v>
      </c>
    </row>
    <row r="1309" spans="1:14" ht="31" outlineLevel="1">
      <c r="A1309" s="1455">
        <f t="shared" si="216"/>
        <v>2.2000000000000002</v>
      </c>
      <c r="B1309" s="1455" t="str">
        <f t="shared" si="216"/>
        <v>Modification of single roll reversible clinker grinder system at AHP, 2x500MW, BTPS</v>
      </c>
      <c r="C1309" s="1475">
        <f t="shared" si="216"/>
        <v>0</v>
      </c>
      <c r="D1309" s="1473" t="str">
        <f t="shared" si="216"/>
        <v>-</v>
      </c>
      <c r="E1309" s="1476">
        <f t="shared" si="216"/>
        <v>0</v>
      </c>
      <c r="F1309" s="1444">
        <f t="shared" si="211"/>
        <v>0</v>
      </c>
      <c r="G1309" s="1444">
        <f t="shared" si="212"/>
        <v>0</v>
      </c>
      <c r="H1309" s="1476">
        <f t="shared" si="213"/>
        <v>0</v>
      </c>
      <c r="I1309" s="1444">
        <v>3.09</v>
      </c>
      <c r="J1309" s="1444">
        <v>3.09</v>
      </c>
      <c r="K1309" s="1476"/>
      <c r="L1309" s="1476"/>
      <c r="M1309" s="1476">
        <f t="shared" si="215"/>
        <v>3.09</v>
      </c>
      <c r="N1309" s="1476">
        <f t="shared" si="214"/>
        <v>0</v>
      </c>
    </row>
    <row r="1310" spans="1:14" ht="31" outlineLevel="1">
      <c r="A1310" s="1455">
        <f t="shared" si="216"/>
        <v>2.2999999999999998</v>
      </c>
      <c r="B1310" s="1455" t="str">
        <f t="shared" si="216"/>
        <v>Modification of bottom ash &amp; coarse ash slurry pipe line disposal system at AHP 2X500 MW BTPS</v>
      </c>
      <c r="C1310" s="1475">
        <f t="shared" si="216"/>
        <v>0</v>
      </c>
      <c r="D1310" s="1473" t="str">
        <f t="shared" si="216"/>
        <v>-</v>
      </c>
      <c r="E1310" s="1476">
        <f t="shared" si="216"/>
        <v>0</v>
      </c>
      <c r="F1310" s="1444">
        <f t="shared" si="211"/>
        <v>0</v>
      </c>
      <c r="G1310" s="1444">
        <f t="shared" si="212"/>
        <v>0</v>
      </c>
      <c r="H1310" s="1476">
        <f t="shared" si="213"/>
        <v>0</v>
      </c>
      <c r="I1310" s="1444">
        <v>34.550000000000004</v>
      </c>
      <c r="J1310" s="1444">
        <v>34.550000000000004</v>
      </c>
      <c r="K1310" s="1476"/>
      <c r="L1310" s="1476"/>
      <c r="M1310" s="1476">
        <f t="shared" si="215"/>
        <v>34.550000000000004</v>
      </c>
      <c r="N1310" s="1476">
        <f t="shared" si="214"/>
        <v>0</v>
      </c>
    </row>
    <row r="1311" spans="1:14" ht="15.5" outlineLevel="1">
      <c r="A1311" s="1458">
        <f t="shared" si="216"/>
        <v>3</v>
      </c>
      <c r="B1311" s="1459" t="str">
        <f t="shared" si="216"/>
        <v>Boiler Reliability &amp; Availability improvement at 2x500MW, Bhusawal TPS.</v>
      </c>
      <c r="C1311" s="1442">
        <f t="shared" si="216"/>
        <v>0</v>
      </c>
      <c r="D1311" s="1443" t="str">
        <f t="shared" si="216"/>
        <v>-</v>
      </c>
      <c r="E1311" s="1444">
        <f t="shared" si="216"/>
        <v>0</v>
      </c>
      <c r="F1311" s="1444">
        <f t="shared" si="211"/>
        <v>0</v>
      </c>
      <c r="G1311" s="1444">
        <f t="shared" si="212"/>
        <v>0</v>
      </c>
      <c r="H1311" s="1444">
        <f t="shared" si="213"/>
        <v>0</v>
      </c>
      <c r="I1311" s="1444">
        <v>0</v>
      </c>
      <c r="J1311" s="1444">
        <v>0</v>
      </c>
      <c r="K1311" s="1444"/>
      <c r="L1311" s="1444"/>
      <c r="M1311" s="1444">
        <f t="shared" si="215"/>
        <v>0</v>
      </c>
      <c r="N1311" s="1444">
        <f t="shared" si="214"/>
        <v>0</v>
      </c>
    </row>
    <row r="1312" spans="1:14" ht="15.5" outlineLevel="1">
      <c r="A1312" s="1455">
        <f t="shared" si="216"/>
        <v>3.1</v>
      </c>
      <c r="B1312" s="1455" t="str">
        <f t="shared" si="216"/>
        <v>Procurement of Boiler Coils (CRH &amp;HRH) at 2x500MW BTPS.</v>
      </c>
      <c r="C1312" s="1475">
        <f t="shared" si="216"/>
        <v>0</v>
      </c>
      <c r="D1312" s="1473" t="str">
        <f t="shared" si="216"/>
        <v>-</v>
      </c>
      <c r="E1312" s="1476">
        <f t="shared" si="216"/>
        <v>0</v>
      </c>
      <c r="F1312" s="1444">
        <f t="shared" si="211"/>
        <v>0</v>
      </c>
      <c r="G1312" s="1444">
        <f t="shared" si="212"/>
        <v>0</v>
      </c>
      <c r="H1312" s="1476">
        <f t="shared" si="213"/>
        <v>0</v>
      </c>
      <c r="I1312" s="1444">
        <v>25</v>
      </c>
      <c r="J1312" s="1444">
        <v>25</v>
      </c>
      <c r="K1312" s="1476"/>
      <c r="L1312" s="1476"/>
      <c r="M1312" s="1476">
        <f t="shared" si="215"/>
        <v>25</v>
      </c>
      <c r="N1312" s="1476">
        <f t="shared" si="214"/>
        <v>0</v>
      </c>
    </row>
    <row r="1313" spans="1:14" ht="15.5" outlineLevel="1">
      <c r="A1313" s="1455">
        <f t="shared" si="216"/>
        <v>3.2</v>
      </c>
      <c r="B1313" s="1455" t="str">
        <f t="shared" si="216"/>
        <v>Procurement of ID fan impeller with shaft at 2x500 MW BTPS.</v>
      </c>
      <c r="C1313" s="1475">
        <f t="shared" si="216"/>
        <v>0</v>
      </c>
      <c r="D1313" s="1473" t="str">
        <f t="shared" si="216"/>
        <v>-</v>
      </c>
      <c r="E1313" s="1476">
        <f t="shared" si="216"/>
        <v>0</v>
      </c>
      <c r="F1313" s="1444">
        <f t="shared" si="211"/>
        <v>0</v>
      </c>
      <c r="G1313" s="1444">
        <f t="shared" si="212"/>
        <v>0</v>
      </c>
      <c r="H1313" s="1476">
        <f t="shared" si="213"/>
        <v>0</v>
      </c>
      <c r="I1313" s="1444">
        <v>15</v>
      </c>
      <c r="J1313" s="1444">
        <v>15</v>
      </c>
      <c r="K1313" s="1476"/>
      <c r="L1313" s="1476"/>
      <c r="M1313" s="1476">
        <f t="shared" si="215"/>
        <v>15</v>
      </c>
      <c r="N1313" s="1476">
        <f t="shared" si="214"/>
        <v>0</v>
      </c>
    </row>
    <row r="1314" spans="1:14" ht="31" outlineLevel="1">
      <c r="A1314" s="1455">
        <f t="shared" si="216"/>
        <v>3.3</v>
      </c>
      <c r="B1314" s="1455" t="str">
        <f t="shared" si="216"/>
        <v>Procurement SH,RH,MS outlet valves with actuator and motor at 2x500 MW BTPS.</v>
      </c>
      <c r="C1314" s="1442">
        <f t="shared" si="216"/>
        <v>0</v>
      </c>
      <c r="D1314" s="1443" t="str">
        <f t="shared" si="216"/>
        <v>-</v>
      </c>
      <c r="E1314" s="1444">
        <f t="shared" si="216"/>
        <v>0</v>
      </c>
      <c r="F1314" s="1444">
        <f t="shared" si="211"/>
        <v>0</v>
      </c>
      <c r="G1314" s="1444">
        <f t="shared" si="212"/>
        <v>0</v>
      </c>
      <c r="H1314" s="1444">
        <f t="shared" si="213"/>
        <v>0</v>
      </c>
      <c r="I1314" s="1444">
        <v>5</v>
      </c>
      <c r="J1314" s="1444">
        <v>5</v>
      </c>
      <c r="K1314" s="1444"/>
      <c r="L1314" s="1444"/>
      <c r="M1314" s="1444">
        <f t="shared" si="215"/>
        <v>5</v>
      </c>
      <c r="N1314" s="1444">
        <f t="shared" si="214"/>
        <v>0</v>
      </c>
    </row>
    <row r="1315" spans="1:14" ht="15.5" outlineLevel="1">
      <c r="A1315" s="1458">
        <f t="shared" si="216"/>
        <v>4</v>
      </c>
      <c r="B1315" s="1459" t="str">
        <f t="shared" si="216"/>
        <v>CHP Infrastructure Development Schemes</v>
      </c>
      <c r="C1315" s="1475">
        <f t="shared" si="216"/>
        <v>0</v>
      </c>
      <c r="D1315" s="1473" t="str">
        <f t="shared" si="216"/>
        <v>-</v>
      </c>
      <c r="E1315" s="1476">
        <f t="shared" si="216"/>
        <v>0</v>
      </c>
      <c r="F1315" s="1444">
        <f t="shared" si="211"/>
        <v>0</v>
      </c>
      <c r="G1315" s="1444">
        <f t="shared" si="212"/>
        <v>0</v>
      </c>
      <c r="H1315" s="1476">
        <f t="shared" si="213"/>
        <v>0</v>
      </c>
      <c r="I1315" s="1444">
        <v>0</v>
      </c>
      <c r="J1315" s="1444">
        <v>0</v>
      </c>
      <c r="K1315" s="1476"/>
      <c r="L1315" s="1476"/>
      <c r="M1315" s="1476">
        <f t="shared" si="215"/>
        <v>0</v>
      </c>
      <c r="N1315" s="1476">
        <f t="shared" si="214"/>
        <v>0</v>
      </c>
    </row>
    <row r="1316" spans="1:14" ht="31" outlineLevel="1">
      <c r="A1316" s="1455">
        <f t="shared" si="216"/>
        <v>4.0999999999999996</v>
      </c>
      <c r="B1316" s="1455" t="str">
        <f t="shared" si="216"/>
        <v>Supply, installation and commissioning PLC system on a single platform to match with external aspect &amp; process improvement at CHP 2x500MW BTPS.</v>
      </c>
      <c r="C1316" s="1475">
        <f t="shared" si="216"/>
        <v>0</v>
      </c>
      <c r="D1316" s="1473" t="str">
        <f t="shared" si="216"/>
        <v>-</v>
      </c>
      <c r="E1316" s="1476">
        <f t="shared" si="216"/>
        <v>0</v>
      </c>
      <c r="F1316" s="1444">
        <f t="shared" si="211"/>
        <v>0</v>
      </c>
      <c r="G1316" s="1444">
        <f t="shared" si="212"/>
        <v>0</v>
      </c>
      <c r="H1316" s="1476">
        <f t="shared" si="213"/>
        <v>0</v>
      </c>
      <c r="I1316" s="1444">
        <v>18.399999999999999</v>
      </c>
      <c r="J1316" s="1444">
        <v>18.399999999999999</v>
      </c>
      <c r="K1316" s="1476"/>
      <c r="L1316" s="1476"/>
      <c r="M1316" s="1476">
        <f t="shared" si="215"/>
        <v>18.399999999999999</v>
      </c>
      <c r="N1316" s="1476">
        <f t="shared" si="214"/>
        <v>0</v>
      </c>
    </row>
    <row r="1317" spans="1:14" ht="31" outlineLevel="1">
      <c r="A1317" s="1455">
        <f t="shared" si="216"/>
        <v>4.2</v>
      </c>
      <c r="B1317" s="1455" t="str">
        <f t="shared" si="216"/>
        <v>Supply, installation, retrofitting and commissioning of HT breaker at HT Switchgear in CHP 2x500MW BTPS</v>
      </c>
      <c r="C1317" s="1475">
        <f t="shared" si="216"/>
        <v>0</v>
      </c>
      <c r="D1317" s="1473" t="str">
        <f t="shared" si="216"/>
        <v>-</v>
      </c>
      <c r="E1317" s="1476">
        <f t="shared" si="216"/>
        <v>0</v>
      </c>
      <c r="F1317" s="1444">
        <f t="shared" si="211"/>
        <v>0</v>
      </c>
      <c r="G1317" s="1444">
        <f t="shared" si="212"/>
        <v>0</v>
      </c>
      <c r="H1317" s="1476">
        <f t="shared" si="213"/>
        <v>0</v>
      </c>
      <c r="I1317" s="1444">
        <v>6.9</v>
      </c>
      <c r="J1317" s="1444">
        <v>6.9</v>
      </c>
      <c r="K1317" s="1476"/>
      <c r="L1317" s="1476"/>
      <c r="M1317" s="1476">
        <f t="shared" si="215"/>
        <v>6.9</v>
      </c>
      <c r="N1317" s="1476">
        <f t="shared" si="214"/>
        <v>0</v>
      </c>
    </row>
    <row r="1318" spans="1:14" ht="31" outlineLevel="1">
      <c r="A1318" s="1455">
        <f t="shared" si="216"/>
        <v>4.3</v>
      </c>
      <c r="B1318" s="1455" t="str">
        <f t="shared" si="216"/>
        <v>Supply, installation, retrofitting and commissioning of LT breaker at LT Switchgear in CHP 2x500MW BTPS.</v>
      </c>
      <c r="C1318" s="1475">
        <f t="shared" si="216"/>
        <v>0</v>
      </c>
      <c r="D1318" s="1473" t="str">
        <f t="shared" si="216"/>
        <v>-</v>
      </c>
      <c r="E1318" s="1476">
        <f t="shared" si="216"/>
        <v>0</v>
      </c>
      <c r="F1318" s="1444">
        <f t="shared" si="211"/>
        <v>0</v>
      </c>
      <c r="G1318" s="1444">
        <f t="shared" si="212"/>
        <v>0</v>
      </c>
      <c r="H1318" s="1476">
        <f t="shared" si="213"/>
        <v>0</v>
      </c>
      <c r="I1318" s="1444">
        <v>4.4000000000000004</v>
      </c>
      <c r="J1318" s="1444">
        <v>4.4000000000000004</v>
      </c>
      <c r="K1318" s="1476"/>
      <c r="L1318" s="1476"/>
      <c r="M1318" s="1476">
        <f t="shared" si="215"/>
        <v>4.4000000000000004</v>
      </c>
      <c r="N1318" s="1476">
        <f t="shared" si="214"/>
        <v>0</v>
      </c>
    </row>
    <row r="1319" spans="1:14" ht="31" outlineLevel="1">
      <c r="A1319" s="1455">
        <f t="shared" si="216"/>
        <v>4.4000000000000004</v>
      </c>
      <c r="B1319" s="1455" t="str">
        <f t="shared" si="216"/>
        <v>Supply, Installation &amp; Commissioning of  Magnetic Separators at CHP 2x 500MW BTPS Deepnagar</v>
      </c>
      <c r="C1319" s="1475">
        <f t="shared" si="216"/>
        <v>0</v>
      </c>
      <c r="D1319" s="1473" t="str">
        <f t="shared" si="216"/>
        <v>-</v>
      </c>
      <c r="E1319" s="1476">
        <f t="shared" si="216"/>
        <v>0</v>
      </c>
      <c r="F1319" s="1444">
        <f t="shared" si="211"/>
        <v>0</v>
      </c>
      <c r="G1319" s="1444">
        <f t="shared" si="212"/>
        <v>0</v>
      </c>
      <c r="H1319" s="1476">
        <f t="shared" si="213"/>
        <v>0</v>
      </c>
      <c r="I1319" s="1444">
        <v>3.73</v>
      </c>
      <c r="J1319" s="1444">
        <v>3.73</v>
      </c>
      <c r="K1319" s="1476"/>
      <c r="L1319" s="1476"/>
      <c r="M1319" s="1476">
        <f t="shared" si="215"/>
        <v>3.73</v>
      </c>
      <c r="N1319" s="1476">
        <f t="shared" si="214"/>
        <v>0</v>
      </c>
    </row>
    <row r="1320" spans="1:14" ht="31" outlineLevel="1">
      <c r="A1320" s="1455">
        <f t="shared" ref="A1320:E1335" si="217">A1090</f>
        <v>4.5</v>
      </c>
      <c r="B1320" s="1455" t="str">
        <f t="shared" si="217"/>
        <v>Supply, Installation &amp; Commissioning Flameproof lighting at CHP 2x 500MW BTPS Deepnagar</v>
      </c>
      <c r="C1320" s="1475">
        <f t="shared" si="217"/>
        <v>0</v>
      </c>
      <c r="D1320" s="1473" t="str">
        <f t="shared" si="217"/>
        <v>-</v>
      </c>
      <c r="E1320" s="1476">
        <f t="shared" si="217"/>
        <v>0</v>
      </c>
      <c r="F1320" s="1444">
        <f t="shared" si="211"/>
        <v>0</v>
      </c>
      <c r="G1320" s="1444">
        <f t="shared" si="212"/>
        <v>0</v>
      </c>
      <c r="H1320" s="1476">
        <f t="shared" si="213"/>
        <v>0</v>
      </c>
      <c r="I1320" s="1444">
        <v>10.47</v>
      </c>
      <c r="J1320" s="1444">
        <v>10.47</v>
      </c>
      <c r="K1320" s="1476"/>
      <c r="L1320" s="1476"/>
      <c r="M1320" s="1476">
        <f t="shared" si="215"/>
        <v>10.47</v>
      </c>
      <c r="N1320" s="1476">
        <f t="shared" si="214"/>
        <v>0</v>
      </c>
    </row>
    <row r="1321" spans="1:14" ht="15.5" outlineLevel="1">
      <c r="A1321" s="1455">
        <f t="shared" si="217"/>
        <v>4.5999999999999996</v>
      </c>
      <c r="B1321" s="1455" t="str">
        <f t="shared" si="217"/>
        <v>Supply, Installation &amp; upgradation of HT /LT relay at CHP BTPS.</v>
      </c>
      <c r="C1321" s="1475">
        <f t="shared" si="217"/>
        <v>0</v>
      </c>
      <c r="D1321" s="1473" t="str">
        <f t="shared" si="217"/>
        <v>-</v>
      </c>
      <c r="E1321" s="1476">
        <f t="shared" si="217"/>
        <v>0</v>
      </c>
      <c r="F1321" s="1444">
        <f t="shared" si="211"/>
        <v>0</v>
      </c>
      <c r="G1321" s="1444">
        <f t="shared" si="212"/>
        <v>0</v>
      </c>
      <c r="H1321" s="1476">
        <f t="shared" si="213"/>
        <v>0</v>
      </c>
      <c r="I1321" s="1444">
        <v>3</v>
      </c>
      <c r="J1321" s="1444">
        <v>3</v>
      </c>
      <c r="K1321" s="1476"/>
      <c r="L1321" s="1476"/>
      <c r="M1321" s="1476">
        <f t="shared" si="215"/>
        <v>3</v>
      </c>
      <c r="N1321" s="1476">
        <f t="shared" si="214"/>
        <v>0</v>
      </c>
    </row>
    <row r="1322" spans="1:14" ht="15.5" outlineLevel="1">
      <c r="A1322" s="1458">
        <f t="shared" si="217"/>
        <v>5</v>
      </c>
      <c r="B1322" s="1459" t="str">
        <f t="shared" si="217"/>
        <v>Detail  Project report of improvement of Unloading in Coal handling Plant BTPS.</v>
      </c>
      <c r="C1322" s="1475">
        <f t="shared" si="217"/>
        <v>0</v>
      </c>
      <c r="D1322" s="1473" t="str">
        <f t="shared" si="217"/>
        <v>-</v>
      </c>
      <c r="E1322" s="1476">
        <f t="shared" si="217"/>
        <v>0</v>
      </c>
      <c r="F1322" s="1444">
        <f t="shared" si="211"/>
        <v>0</v>
      </c>
      <c r="G1322" s="1444">
        <f t="shared" si="212"/>
        <v>0</v>
      </c>
      <c r="H1322" s="1476">
        <f t="shared" si="213"/>
        <v>0</v>
      </c>
      <c r="I1322" s="1444">
        <v>0</v>
      </c>
      <c r="J1322" s="1444">
        <v>0</v>
      </c>
      <c r="K1322" s="1476"/>
      <c r="L1322" s="1476"/>
      <c r="M1322" s="1476">
        <f t="shared" si="215"/>
        <v>0</v>
      </c>
      <c r="N1322" s="1476">
        <f t="shared" si="214"/>
        <v>0</v>
      </c>
    </row>
    <row r="1323" spans="1:14" ht="15.5" outlineLevel="1">
      <c r="A1323" s="1455">
        <f t="shared" si="217"/>
        <v>5.0999999999999996</v>
      </c>
      <c r="B1323" s="1455" t="str">
        <f t="shared" si="217"/>
        <v>Procurement of 04 no of locomotives for Coal handling Plant BTPS.</v>
      </c>
      <c r="C1323" s="1475">
        <f t="shared" si="217"/>
        <v>0</v>
      </c>
      <c r="D1323" s="1473" t="str">
        <f t="shared" si="217"/>
        <v>-</v>
      </c>
      <c r="E1323" s="1476">
        <f t="shared" si="217"/>
        <v>0</v>
      </c>
      <c r="F1323" s="1444">
        <f t="shared" si="211"/>
        <v>0</v>
      </c>
      <c r="G1323" s="1444">
        <f t="shared" si="212"/>
        <v>0</v>
      </c>
      <c r="H1323" s="1476">
        <f t="shared" si="213"/>
        <v>0</v>
      </c>
      <c r="I1323" s="1444">
        <v>13.68</v>
      </c>
      <c r="J1323" s="1444">
        <v>13.68</v>
      </c>
      <c r="K1323" s="1476"/>
      <c r="L1323" s="1476"/>
      <c r="M1323" s="1476">
        <f t="shared" si="215"/>
        <v>13.68</v>
      </c>
      <c r="N1323" s="1476">
        <f t="shared" si="214"/>
        <v>0</v>
      </c>
    </row>
    <row r="1324" spans="1:14" ht="31" outlineLevel="1">
      <c r="A1324" s="1455">
        <f t="shared" si="217"/>
        <v>5.2</v>
      </c>
      <c r="B1324" s="1455" t="str">
        <f t="shared" si="217"/>
        <v>Design Supply Erection and Comission of Hour glass shape Coal diverting chutes with extra life wear resistant plates in CHP, BTPS.</v>
      </c>
      <c r="C1324" s="1475">
        <f t="shared" si="217"/>
        <v>0</v>
      </c>
      <c r="D1324" s="1473" t="str">
        <f t="shared" si="217"/>
        <v>-</v>
      </c>
      <c r="E1324" s="1476">
        <f t="shared" si="217"/>
        <v>0</v>
      </c>
      <c r="F1324" s="1444">
        <f t="shared" si="211"/>
        <v>0</v>
      </c>
      <c r="G1324" s="1444">
        <f t="shared" si="212"/>
        <v>0</v>
      </c>
      <c r="H1324" s="1476">
        <f t="shared" si="213"/>
        <v>0</v>
      </c>
      <c r="I1324" s="1444">
        <v>5.67</v>
      </c>
      <c r="J1324" s="1444">
        <v>5.67</v>
      </c>
      <c r="K1324" s="1476"/>
      <c r="L1324" s="1476"/>
      <c r="M1324" s="1476">
        <f t="shared" si="215"/>
        <v>5.67</v>
      </c>
      <c r="N1324" s="1476">
        <f t="shared" si="214"/>
        <v>0</v>
      </c>
    </row>
    <row r="1325" spans="1:14" ht="31" outlineLevel="1">
      <c r="A1325" s="1455">
        <f t="shared" si="217"/>
        <v>5.3</v>
      </c>
      <c r="B1325" s="1455" t="str">
        <f t="shared" si="217"/>
        <v>Design Supply Erection and Comission of Inverted Y Shape  Coal diverting chutes with extra life wear resistant plates in CHP, BTPS.</v>
      </c>
      <c r="C1325" s="1475">
        <f t="shared" si="217"/>
        <v>0</v>
      </c>
      <c r="D1325" s="1473" t="str">
        <f t="shared" si="217"/>
        <v>-</v>
      </c>
      <c r="E1325" s="1476">
        <f t="shared" si="217"/>
        <v>0</v>
      </c>
      <c r="F1325" s="1444">
        <f t="shared" si="211"/>
        <v>0</v>
      </c>
      <c r="G1325" s="1444">
        <f t="shared" si="212"/>
        <v>0</v>
      </c>
      <c r="H1325" s="1476">
        <f t="shared" si="213"/>
        <v>0</v>
      </c>
      <c r="I1325" s="1444">
        <v>4.72</v>
      </c>
      <c r="J1325" s="1444">
        <v>4.72</v>
      </c>
      <c r="K1325" s="1476"/>
      <c r="L1325" s="1476"/>
      <c r="M1325" s="1476">
        <f t="shared" si="215"/>
        <v>4.72</v>
      </c>
      <c r="N1325" s="1476">
        <f t="shared" si="214"/>
        <v>0</v>
      </c>
    </row>
    <row r="1326" spans="1:14" ht="31" outlineLevel="1">
      <c r="A1326" s="1455">
        <f t="shared" si="217"/>
        <v>5.4</v>
      </c>
      <c r="B1326" s="1455" t="str">
        <f t="shared" si="217"/>
        <v>Design Supply Erection and Comission of coal diverting chutes with extra life wear resistant plates in CHP BTPS.</v>
      </c>
      <c r="C1326" s="1475">
        <f t="shared" si="217"/>
        <v>0</v>
      </c>
      <c r="D1326" s="1473" t="str">
        <f t="shared" si="217"/>
        <v>-</v>
      </c>
      <c r="E1326" s="1476">
        <f t="shared" si="217"/>
        <v>0</v>
      </c>
      <c r="F1326" s="1444">
        <f t="shared" si="211"/>
        <v>0</v>
      </c>
      <c r="G1326" s="1444">
        <f t="shared" si="212"/>
        <v>0</v>
      </c>
      <c r="H1326" s="1476">
        <f t="shared" si="213"/>
        <v>0</v>
      </c>
      <c r="I1326" s="1444">
        <v>4.72</v>
      </c>
      <c r="J1326" s="1444">
        <v>4.72</v>
      </c>
      <c r="K1326" s="1476"/>
      <c r="L1326" s="1476"/>
      <c r="M1326" s="1476">
        <f t="shared" si="215"/>
        <v>4.72</v>
      </c>
      <c r="N1326" s="1476">
        <f t="shared" si="214"/>
        <v>0</v>
      </c>
    </row>
    <row r="1327" spans="1:14" ht="31" outlineLevel="1">
      <c r="A1327" s="1455">
        <f t="shared" si="217"/>
        <v>5.5</v>
      </c>
      <c r="B1327" s="1455" t="str">
        <f t="shared" si="217"/>
        <v>Work of Revamping and structural up-gradation of conveyor 104A&amp;B in Coal Handling Plant-BTPS.</v>
      </c>
      <c r="C1327" s="1475">
        <f t="shared" si="217"/>
        <v>0</v>
      </c>
      <c r="D1327" s="1473" t="str">
        <f t="shared" si="217"/>
        <v>-</v>
      </c>
      <c r="E1327" s="1476">
        <f t="shared" si="217"/>
        <v>0</v>
      </c>
      <c r="F1327" s="1444">
        <f t="shared" si="211"/>
        <v>0</v>
      </c>
      <c r="G1327" s="1444">
        <f t="shared" si="212"/>
        <v>0</v>
      </c>
      <c r="H1327" s="1476">
        <f t="shared" si="213"/>
        <v>0</v>
      </c>
      <c r="I1327" s="1444">
        <v>7.1</v>
      </c>
      <c r="J1327" s="1444">
        <v>7.1</v>
      </c>
      <c r="K1327" s="1476"/>
      <c r="L1327" s="1476"/>
      <c r="M1327" s="1476">
        <f t="shared" si="215"/>
        <v>7.1</v>
      </c>
      <c r="N1327" s="1476">
        <f t="shared" si="214"/>
        <v>0</v>
      </c>
    </row>
    <row r="1328" spans="1:14" ht="31" outlineLevel="1">
      <c r="A1328" s="1458">
        <f t="shared" si="217"/>
        <v>6</v>
      </c>
      <c r="B1328" s="1459" t="str">
        <f t="shared" si="217"/>
        <v>Supply and Installation of  reliability improvement schemes for HT/LT switchgears and auxilliaries at BTPS 2x500MW.</v>
      </c>
      <c r="C1328" s="1475">
        <f t="shared" si="217"/>
        <v>0</v>
      </c>
      <c r="D1328" s="1473" t="str">
        <f t="shared" si="217"/>
        <v>-</v>
      </c>
      <c r="E1328" s="1476">
        <f t="shared" si="217"/>
        <v>0</v>
      </c>
      <c r="F1328" s="1444">
        <f t="shared" si="211"/>
        <v>0</v>
      </c>
      <c r="G1328" s="1444">
        <f t="shared" si="212"/>
        <v>0</v>
      </c>
      <c r="H1328" s="1476">
        <f t="shared" si="213"/>
        <v>0</v>
      </c>
      <c r="I1328" s="1444">
        <v>0</v>
      </c>
      <c r="J1328" s="1444">
        <v>0</v>
      </c>
      <c r="K1328" s="1476"/>
      <c r="L1328" s="1476"/>
      <c r="M1328" s="1476">
        <f t="shared" si="215"/>
        <v>0</v>
      </c>
      <c r="N1328" s="1476">
        <f t="shared" si="214"/>
        <v>0</v>
      </c>
    </row>
    <row r="1329" spans="1:14" ht="15.5" outlineLevel="1">
      <c r="A1329" s="1455">
        <f t="shared" si="217"/>
        <v>6.1</v>
      </c>
      <c r="B1329" s="1455" t="str">
        <f t="shared" si="217"/>
        <v>Procurement of HT Motors of various ratings at 2x500MW.</v>
      </c>
      <c r="C1329" s="1475">
        <f t="shared" si="217"/>
        <v>0</v>
      </c>
      <c r="D1329" s="1473" t="str">
        <f t="shared" si="217"/>
        <v>-</v>
      </c>
      <c r="E1329" s="1476">
        <f t="shared" si="217"/>
        <v>0</v>
      </c>
      <c r="F1329" s="1444">
        <f t="shared" si="211"/>
        <v>0</v>
      </c>
      <c r="G1329" s="1444">
        <f t="shared" si="212"/>
        <v>0</v>
      </c>
      <c r="H1329" s="1476">
        <f t="shared" si="213"/>
        <v>0</v>
      </c>
      <c r="I1329" s="1444">
        <v>4</v>
      </c>
      <c r="J1329" s="1444">
        <v>4</v>
      </c>
      <c r="K1329" s="1476"/>
      <c r="L1329" s="1476"/>
      <c r="M1329" s="1476">
        <f t="shared" si="215"/>
        <v>4</v>
      </c>
      <c r="N1329" s="1476">
        <f t="shared" si="214"/>
        <v>0</v>
      </c>
    </row>
    <row r="1330" spans="1:14" ht="15.5" outlineLevel="1">
      <c r="A1330" s="1455">
        <f t="shared" si="217"/>
        <v>6.2</v>
      </c>
      <c r="B1330" s="1455" t="str">
        <f t="shared" si="217"/>
        <v>Procurement of Dry type transformers of varoius ratings at 2x500MW.</v>
      </c>
      <c r="C1330" s="1475">
        <f t="shared" si="217"/>
        <v>0</v>
      </c>
      <c r="D1330" s="1473" t="str">
        <f t="shared" si="217"/>
        <v>-</v>
      </c>
      <c r="E1330" s="1476">
        <f t="shared" si="217"/>
        <v>0</v>
      </c>
      <c r="F1330" s="1444">
        <f t="shared" si="211"/>
        <v>0</v>
      </c>
      <c r="G1330" s="1444">
        <f t="shared" si="212"/>
        <v>0</v>
      </c>
      <c r="H1330" s="1476">
        <f t="shared" si="213"/>
        <v>0</v>
      </c>
      <c r="I1330" s="1444">
        <v>4</v>
      </c>
      <c r="J1330" s="1444">
        <v>4</v>
      </c>
      <c r="K1330" s="1476"/>
      <c r="L1330" s="1476"/>
      <c r="M1330" s="1476">
        <f t="shared" si="215"/>
        <v>4</v>
      </c>
      <c r="N1330" s="1476">
        <f t="shared" si="214"/>
        <v>0</v>
      </c>
    </row>
    <row r="1331" spans="1:14" ht="15.5" outlineLevel="1">
      <c r="A1331" s="1455">
        <f t="shared" si="217"/>
        <v>6.3</v>
      </c>
      <c r="B1331" s="1455" t="str">
        <f t="shared" si="217"/>
        <v>Procurement of Inverter and converter trolleys of GEHO Pump at 2x500MW.</v>
      </c>
      <c r="C1331" s="1475">
        <f t="shared" si="217"/>
        <v>0</v>
      </c>
      <c r="D1331" s="1473" t="str">
        <f t="shared" si="217"/>
        <v>-</v>
      </c>
      <c r="E1331" s="1476">
        <f t="shared" si="217"/>
        <v>0</v>
      </c>
      <c r="F1331" s="1444">
        <f t="shared" si="211"/>
        <v>0</v>
      </c>
      <c r="G1331" s="1444">
        <f t="shared" si="212"/>
        <v>0</v>
      </c>
      <c r="H1331" s="1476">
        <f t="shared" si="213"/>
        <v>0</v>
      </c>
      <c r="I1331" s="1444">
        <v>2</v>
      </c>
      <c r="J1331" s="1444">
        <v>2</v>
      </c>
      <c r="K1331" s="1476"/>
      <c r="L1331" s="1476"/>
      <c r="M1331" s="1476">
        <f t="shared" si="215"/>
        <v>2</v>
      </c>
      <c r="N1331" s="1476">
        <f t="shared" si="214"/>
        <v>0</v>
      </c>
    </row>
    <row r="1332" spans="1:14" ht="31" outlineLevel="1">
      <c r="A1332" s="1455">
        <f t="shared" si="217"/>
        <v>6.4</v>
      </c>
      <c r="B1332" s="1455" t="str">
        <f t="shared" si="217"/>
        <v>Procurement of Vacuum Contactors of various ratings for  HT Switchgears  at BTPS 2x500MW.</v>
      </c>
      <c r="C1332" s="1475">
        <f t="shared" si="217"/>
        <v>0</v>
      </c>
      <c r="D1332" s="1473" t="str">
        <f t="shared" si="217"/>
        <v>-</v>
      </c>
      <c r="E1332" s="1476">
        <f t="shared" si="217"/>
        <v>0</v>
      </c>
      <c r="F1332" s="1444">
        <f t="shared" si="211"/>
        <v>0</v>
      </c>
      <c r="G1332" s="1444">
        <f t="shared" si="212"/>
        <v>0</v>
      </c>
      <c r="H1332" s="1476">
        <f t="shared" si="213"/>
        <v>0</v>
      </c>
      <c r="I1332" s="1444">
        <v>2.5</v>
      </c>
      <c r="J1332" s="1444">
        <v>2.5</v>
      </c>
      <c r="K1332" s="1476"/>
      <c r="L1332" s="1476"/>
      <c r="M1332" s="1476">
        <f t="shared" si="215"/>
        <v>2.5</v>
      </c>
      <c r="N1332" s="1476">
        <f t="shared" si="214"/>
        <v>0</v>
      </c>
    </row>
    <row r="1333" spans="1:14" ht="31" outlineLevel="1">
      <c r="A1333" s="1455">
        <f t="shared" si="217"/>
        <v>6.5</v>
      </c>
      <c r="B1333" s="1455" t="str">
        <f t="shared" si="217"/>
        <v>Supply, erection, commissioning &amp; site testing of 360V, 750 AH Station UPS Battery Sets  along with accessories for Unit No.4 at BTPS 2x500MW’.</v>
      </c>
      <c r="C1333" s="1475">
        <f t="shared" si="217"/>
        <v>0</v>
      </c>
      <c r="D1333" s="1473" t="str">
        <f t="shared" si="217"/>
        <v>-</v>
      </c>
      <c r="E1333" s="1476">
        <f t="shared" si="217"/>
        <v>0</v>
      </c>
      <c r="F1333" s="1444">
        <f t="shared" si="211"/>
        <v>0</v>
      </c>
      <c r="G1333" s="1444">
        <f t="shared" si="212"/>
        <v>0</v>
      </c>
      <c r="H1333" s="1476">
        <f t="shared" si="213"/>
        <v>0</v>
      </c>
      <c r="I1333" s="1444">
        <v>4</v>
      </c>
      <c r="J1333" s="1444">
        <v>4</v>
      </c>
      <c r="K1333" s="1476"/>
      <c r="L1333" s="1476"/>
      <c r="M1333" s="1476">
        <f t="shared" si="215"/>
        <v>4</v>
      </c>
      <c r="N1333" s="1476">
        <f t="shared" si="214"/>
        <v>0</v>
      </c>
    </row>
    <row r="1334" spans="1:14" ht="15.5" outlineLevel="1">
      <c r="A1334" s="1455">
        <f t="shared" si="217"/>
        <v>6.6</v>
      </c>
      <c r="B1334" s="1455" t="str">
        <f t="shared" si="217"/>
        <v>Updragation of Sox-Nox analyzer,PM analyzer, ETP analyzer at BTPS 2X500MW.</v>
      </c>
      <c r="C1334" s="1475">
        <f t="shared" si="217"/>
        <v>0</v>
      </c>
      <c r="D1334" s="1473" t="str">
        <f t="shared" si="217"/>
        <v>-</v>
      </c>
      <c r="E1334" s="1476">
        <f t="shared" si="217"/>
        <v>0</v>
      </c>
      <c r="F1334" s="1444">
        <f t="shared" si="211"/>
        <v>0</v>
      </c>
      <c r="G1334" s="1444">
        <f t="shared" si="212"/>
        <v>0</v>
      </c>
      <c r="H1334" s="1476">
        <f t="shared" si="213"/>
        <v>0</v>
      </c>
      <c r="I1334" s="1444">
        <v>1.05</v>
      </c>
      <c r="J1334" s="1444">
        <v>1.05</v>
      </c>
      <c r="K1334" s="1476"/>
      <c r="L1334" s="1476"/>
      <c r="M1334" s="1476">
        <f t="shared" si="215"/>
        <v>1.05</v>
      </c>
      <c r="N1334" s="1476">
        <f t="shared" si="214"/>
        <v>0</v>
      </c>
    </row>
    <row r="1335" spans="1:14" ht="15.5" outlineLevel="1">
      <c r="A1335" s="1455">
        <f t="shared" si="217"/>
        <v>6.7</v>
      </c>
      <c r="B1335" s="1455" t="str">
        <f t="shared" si="217"/>
        <v>Upgradation of O2 analyzer at BTPS 2X500MW</v>
      </c>
      <c r="C1335" s="1475">
        <f t="shared" si="217"/>
        <v>0</v>
      </c>
      <c r="D1335" s="1473" t="str">
        <f t="shared" si="217"/>
        <v>-</v>
      </c>
      <c r="E1335" s="1476">
        <f t="shared" si="217"/>
        <v>0</v>
      </c>
      <c r="F1335" s="1444">
        <f t="shared" si="211"/>
        <v>0</v>
      </c>
      <c r="G1335" s="1444">
        <f t="shared" si="212"/>
        <v>0</v>
      </c>
      <c r="H1335" s="1476">
        <f t="shared" si="213"/>
        <v>0</v>
      </c>
      <c r="I1335" s="1444">
        <v>3.4</v>
      </c>
      <c r="J1335" s="1444">
        <v>3.4</v>
      </c>
      <c r="K1335" s="1476"/>
      <c r="L1335" s="1476"/>
      <c r="M1335" s="1476">
        <f t="shared" si="215"/>
        <v>3.4</v>
      </c>
      <c r="N1335" s="1476">
        <f t="shared" si="214"/>
        <v>0</v>
      </c>
    </row>
    <row r="1336" spans="1:14" ht="31" outlineLevel="1">
      <c r="A1336" s="1455">
        <f t="shared" ref="A1336:E1351" si="218">A1106</f>
        <v>6.8</v>
      </c>
      <c r="B1336" s="1455" t="str">
        <f t="shared" si="218"/>
        <v>Revamping &amp; Upgradation Of Vibration Monitoring Rack From VM7 TO VM7B at BTPS 2X500MW</v>
      </c>
      <c r="C1336" s="1475">
        <f t="shared" si="218"/>
        <v>0</v>
      </c>
      <c r="D1336" s="1473" t="str">
        <f t="shared" si="218"/>
        <v>-</v>
      </c>
      <c r="E1336" s="1476">
        <f t="shared" si="218"/>
        <v>0</v>
      </c>
      <c r="F1336" s="1444">
        <f t="shared" si="211"/>
        <v>0</v>
      </c>
      <c r="G1336" s="1444">
        <f t="shared" si="212"/>
        <v>0</v>
      </c>
      <c r="H1336" s="1476">
        <f t="shared" si="213"/>
        <v>0</v>
      </c>
      <c r="I1336" s="1444">
        <v>5</v>
      </c>
      <c r="J1336" s="1444">
        <v>5</v>
      </c>
      <c r="K1336" s="1476"/>
      <c r="L1336" s="1476"/>
      <c r="M1336" s="1476">
        <f t="shared" si="215"/>
        <v>5</v>
      </c>
      <c r="N1336" s="1476">
        <f t="shared" si="214"/>
        <v>0</v>
      </c>
    </row>
    <row r="1337" spans="1:14" ht="15.5" outlineLevel="1">
      <c r="A1337" s="1455">
        <f t="shared" si="218"/>
        <v>6.9</v>
      </c>
      <c r="B1337" s="1455" t="str">
        <f t="shared" si="218"/>
        <v>Procurement &amp; Installation of High Mast towers in various location in BTPS</v>
      </c>
      <c r="C1337" s="1475">
        <f t="shared" si="218"/>
        <v>0</v>
      </c>
      <c r="D1337" s="1473" t="str">
        <f t="shared" si="218"/>
        <v>-</v>
      </c>
      <c r="E1337" s="1476">
        <f t="shared" si="218"/>
        <v>0</v>
      </c>
      <c r="F1337" s="1444">
        <f t="shared" si="211"/>
        <v>0</v>
      </c>
      <c r="G1337" s="1444">
        <f t="shared" si="212"/>
        <v>0</v>
      </c>
      <c r="H1337" s="1476">
        <f t="shared" si="213"/>
        <v>0</v>
      </c>
      <c r="I1337" s="1444">
        <v>2</v>
      </c>
      <c r="J1337" s="1444">
        <v>2</v>
      </c>
      <c r="K1337" s="1476"/>
      <c r="L1337" s="1476"/>
      <c r="M1337" s="1476">
        <f t="shared" si="215"/>
        <v>2</v>
      </c>
      <c r="N1337" s="1476">
        <f t="shared" si="214"/>
        <v>0</v>
      </c>
    </row>
    <row r="1338" spans="1:14" ht="31" outlineLevel="1">
      <c r="A1338" s="1455">
        <f t="shared" si="218"/>
        <v>6.1</v>
      </c>
      <c r="B1338" s="1455" t="str">
        <f t="shared" si="218"/>
        <v>Renovation and Modification of Colony Electric Supply System to improve availability and reliability of supply system at BTPS Colony, Deepnagar</v>
      </c>
      <c r="C1338" s="1475">
        <f t="shared" si="218"/>
        <v>0</v>
      </c>
      <c r="D1338" s="1473" t="str">
        <f t="shared" si="218"/>
        <v>-</v>
      </c>
      <c r="E1338" s="1476">
        <f t="shared" si="218"/>
        <v>0</v>
      </c>
      <c r="F1338" s="1444">
        <f t="shared" si="211"/>
        <v>0</v>
      </c>
      <c r="G1338" s="1444">
        <f t="shared" si="212"/>
        <v>0</v>
      </c>
      <c r="H1338" s="1476">
        <f t="shared" si="213"/>
        <v>0</v>
      </c>
      <c r="I1338" s="1444">
        <v>15.85</v>
      </c>
      <c r="J1338" s="1444">
        <v>15.85</v>
      </c>
      <c r="K1338" s="1476"/>
      <c r="L1338" s="1476"/>
      <c r="M1338" s="1476">
        <f t="shared" si="215"/>
        <v>15.85</v>
      </c>
      <c r="N1338" s="1476">
        <f t="shared" si="214"/>
        <v>0</v>
      </c>
    </row>
    <row r="1339" spans="1:14" ht="31" outlineLevel="1">
      <c r="A1339" s="1455">
        <f t="shared" si="218"/>
        <v>6.11</v>
      </c>
      <c r="B1339" s="1455" t="str">
        <f t="shared" si="218"/>
        <v>Work of  Overhauling repairs of U-5 350KW BCWP motor of M/s Torishima make at BTPS 2x500MW.</v>
      </c>
      <c r="C1339" s="1475">
        <f t="shared" si="218"/>
        <v>0</v>
      </c>
      <c r="D1339" s="1473" t="str">
        <f t="shared" si="218"/>
        <v>-</v>
      </c>
      <c r="E1339" s="1476">
        <f t="shared" si="218"/>
        <v>0</v>
      </c>
      <c r="F1339" s="1444">
        <f t="shared" si="211"/>
        <v>0</v>
      </c>
      <c r="G1339" s="1444">
        <f t="shared" si="212"/>
        <v>0</v>
      </c>
      <c r="H1339" s="1476">
        <f t="shared" si="213"/>
        <v>0</v>
      </c>
      <c r="I1339" s="1444">
        <v>4</v>
      </c>
      <c r="J1339" s="1444">
        <v>4</v>
      </c>
      <c r="K1339" s="1476"/>
      <c r="L1339" s="1476"/>
      <c r="M1339" s="1476">
        <f t="shared" si="215"/>
        <v>4</v>
      </c>
      <c r="N1339" s="1476">
        <f t="shared" si="214"/>
        <v>0</v>
      </c>
    </row>
    <row r="1340" spans="1:14" ht="15.5" outlineLevel="1">
      <c r="A1340" s="1457">
        <f t="shared" si="218"/>
        <v>0</v>
      </c>
      <c r="B1340" s="1457" t="str">
        <f t="shared" si="218"/>
        <v xml:space="preserve">FY 2028-29 </v>
      </c>
      <c r="C1340" s="1475">
        <f t="shared" si="218"/>
        <v>0</v>
      </c>
      <c r="D1340" s="1473" t="str">
        <f t="shared" si="218"/>
        <v>-</v>
      </c>
      <c r="E1340" s="1476">
        <f t="shared" si="218"/>
        <v>0</v>
      </c>
      <c r="F1340" s="1444">
        <f t="shared" si="211"/>
        <v>0</v>
      </c>
      <c r="G1340" s="1444">
        <f t="shared" si="212"/>
        <v>0</v>
      </c>
      <c r="H1340" s="1476">
        <f t="shared" si="213"/>
        <v>0</v>
      </c>
      <c r="I1340" s="1444">
        <v>0</v>
      </c>
      <c r="J1340" s="1444">
        <v>0</v>
      </c>
      <c r="K1340" s="1476"/>
      <c r="L1340" s="1476"/>
      <c r="M1340" s="1476">
        <f t="shared" si="215"/>
        <v>0</v>
      </c>
      <c r="N1340" s="1476">
        <f t="shared" si="214"/>
        <v>0</v>
      </c>
    </row>
    <row r="1341" spans="1:14" ht="31" outlineLevel="1">
      <c r="A1341" s="1458">
        <f t="shared" si="218"/>
        <v>1</v>
      </c>
      <c r="B1341" s="1459" t="str">
        <f t="shared" si="218"/>
        <v>APH baskets with main drive Gear box and lub oil skids with motor at 2x500MW BTPS</v>
      </c>
      <c r="C1341" s="1475">
        <f t="shared" si="218"/>
        <v>0</v>
      </c>
      <c r="D1341" s="1473" t="str">
        <f t="shared" si="218"/>
        <v>-</v>
      </c>
      <c r="E1341" s="1476">
        <f t="shared" si="218"/>
        <v>0</v>
      </c>
      <c r="F1341" s="1444">
        <f t="shared" si="211"/>
        <v>0</v>
      </c>
      <c r="G1341" s="1444">
        <f t="shared" si="212"/>
        <v>0</v>
      </c>
      <c r="H1341" s="1476">
        <f t="shared" si="213"/>
        <v>0</v>
      </c>
      <c r="I1341" s="1444">
        <v>0</v>
      </c>
      <c r="J1341" s="1444">
        <v>0</v>
      </c>
      <c r="K1341" s="1476"/>
      <c r="L1341" s="1476"/>
      <c r="M1341" s="1476">
        <f t="shared" si="215"/>
        <v>0</v>
      </c>
      <c r="N1341" s="1476">
        <f t="shared" si="214"/>
        <v>0</v>
      </c>
    </row>
    <row r="1342" spans="1:14" ht="31" outlineLevel="1">
      <c r="A1342" s="1455">
        <f t="shared" si="218"/>
        <v>1.1000000000000001</v>
      </c>
      <c r="B1342" s="1455" t="str">
        <f t="shared" si="218"/>
        <v>APH baskets with main drive Gear box and lub oil skids with motor at 2x500MW BTPS</v>
      </c>
      <c r="C1342" s="1475">
        <f t="shared" si="218"/>
        <v>0</v>
      </c>
      <c r="D1342" s="1473" t="str">
        <f t="shared" si="218"/>
        <v>-</v>
      </c>
      <c r="E1342" s="1476">
        <f t="shared" si="218"/>
        <v>0</v>
      </c>
      <c r="F1342" s="1444">
        <f t="shared" si="211"/>
        <v>0</v>
      </c>
      <c r="G1342" s="1444">
        <f t="shared" si="212"/>
        <v>0</v>
      </c>
      <c r="H1342" s="1476">
        <f t="shared" si="213"/>
        <v>0</v>
      </c>
      <c r="I1342" s="1444">
        <v>0</v>
      </c>
      <c r="J1342" s="1444">
        <v>0</v>
      </c>
      <c r="K1342" s="1476"/>
      <c r="L1342" s="1476"/>
      <c r="M1342" s="1476">
        <f t="shared" si="215"/>
        <v>0</v>
      </c>
      <c r="N1342" s="1476">
        <f t="shared" si="214"/>
        <v>0</v>
      </c>
    </row>
    <row r="1343" spans="1:14" ht="31" outlineLevel="1">
      <c r="A1343" s="1458">
        <f t="shared" si="218"/>
        <v>2</v>
      </c>
      <c r="B1343" s="1459" t="str">
        <f t="shared" si="218"/>
        <v>Detail Project Report for  Design, Engineering, Supply, Installation and commissioning of 1500TPH Stacker cum re-claimer in Coal Handling Plant-BTPS.</v>
      </c>
      <c r="C1343" s="1475">
        <f t="shared" si="218"/>
        <v>0</v>
      </c>
      <c r="D1343" s="1473" t="str">
        <f t="shared" si="218"/>
        <v>-</v>
      </c>
      <c r="E1343" s="1476">
        <f t="shared" si="218"/>
        <v>0</v>
      </c>
      <c r="F1343" s="1444">
        <f t="shared" si="211"/>
        <v>0</v>
      </c>
      <c r="G1343" s="1444">
        <f t="shared" si="212"/>
        <v>0</v>
      </c>
      <c r="H1343" s="1476">
        <f t="shared" si="213"/>
        <v>0</v>
      </c>
      <c r="I1343" s="1444">
        <v>0</v>
      </c>
      <c r="J1343" s="1444">
        <v>0</v>
      </c>
      <c r="K1343" s="1476"/>
      <c r="L1343" s="1476"/>
      <c r="M1343" s="1476">
        <f t="shared" si="215"/>
        <v>0</v>
      </c>
      <c r="N1343" s="1476">
        <f t="shared" si="214"/>
        <v>0</v>
      </c>
    </row>
    <row r="1344" spans="1:14" ht="31" outlineLevel="1">
      <c r="A1344" s="1455">
        <f t="shared" si="218"/>
        <v>2.1</v>
      </c>
      <c r="B1344" s="1455" t="str">
        <f t="shared" si="218"/>
        <v>Design, Engineering, Supply, Installation and commissioning of 1500TPH Stacker cum re-claimer in Coal Handling Plant-BTPS.</v>
      </c>
      <c r="C1344" s="1475">
        <f t="shared" si="218"/>
        <v>0</v>
      </c>
      <c r="D1344" s="1473" t="str">
        <f t="shared" si="218"/>
        <v>-</v>
      </c>
      <c r="E1344" s="1476">
        <f t="shared" si="218"/>
        <v>0</v>
      </c>
      <c r="F1344" s="1444">
        <f t="shared" si="211"/>
        <v>0</v>
      </c>
      <c r="G1344" s="1444">
        <f t="shared" si="212"/>
        <v>0</v>
      </c>
      <c r="H1344" s="1476">
        <f t="shared" si="213"/>
        <v>0</v>
      </c>
      <c r="I1344" s="1444">
        <v>0</v>
      </c>
      <c r="J1344" s="1444">
        <v>0</v>
      </c>
      <c r="K1344" s="1476"/>
      <c r="L1344" s="1476"/>
      <c r="M1344" s="1476">
        <f t="shared" si="215"/>
        <v>0</v>
      </c>
      <c r="N1344" s="1476">
        <f t="shared" si="214"/>
        <v>0</v>
      </c>
    </row>
    <row r="1345" spans="1:14" ht="15.5" outlineLevel="1">
      <c r="A1345" s="1458">
        <f t="shared" si="218"/>
        <v>3</v>
      </c>
      <c r="B1345" s="1459" t="str">
        <f t="shared" si="218"/>
        <v>Enhancement of Unloading &amp; Stacking Capacity of CHP.</v>
      </c>
      <c r="C1345" s="1475">
        <f t="shared" si="218"/>
        <v>0</v>
      </c>
      <c r="D1345" s="1473" t="str">
        <f t="shared" si="218"/>
        <v>-</v>
      </c>
      <c r="E1345" s="1476">
        <f t="shared" si="218"/>
        <v>0</v>
      </c>
      <c r="F1345" s="1444">
        <f t="shared" si="211"/>
        <v>0</v>
      </c>
      <c r="G1345" s="1444">
        <f t="shared" si="212"/>
        <v>0</v>
      </c>
      <c r="H1345" s="1476">
        <f t="shared" si="213"/>
        <v>0</v>
      </c>
      <c r="I1345" s="1444">
        <v>0</v>
      </c>
      <c r="J1345" s="1444">
        <v>0</v>
      </c>
      <c r="K1345" s="1476"/>
      <c r="L1345" s="1476"/>
      <c r="M1345" s="1476">
        <f t="shared" si="215"/>
        <v>0</v>
      </c>
      <c r="N1345" s="1476">
        <f t="shared" si="214"/>
        <v>0</v>
      </c>
    </row>
    <row r="1346" spans="1:14" ht="31" outlineLevel="1">
      <c r="A1346" s="1455">
        <f t="shared" si="218"/>
        <v>3.1</v>
      </c>
      <c r="B1346" s="1455" t="str">
        <f t="shared" si="218"/>
        <v>Design Supply errection &amp; Comissioning of Open Wagon Tippler along with stacking and reclaiming yard conveyors at CHP stack yard.</v>
      </c>
      <c r="C1346" s="1475">
        <f t="shared" si="218"/>
        <v>0</v>
      </c>
      <c r="D1346" s="1473" t="str">
        <f t="shared" si="218"/>
        <v>-</v>
      </c>
      <c r="E1346" s="1476">
        <f t="shared" si="218"/>
        <v>0</v>
      </c>
      <c r="F1346" s="1444">
        <f t="shared" si="211"/>
        <v>0</v>
      </c>
      <c r="G1346" s="1444">
        <f t="shared" si="212"/>
        <v>0</v>
      </c>
      <c r="H1346" s="1476">
        <f t="shared" si="213"/>
        <v>0</v>
      </c>
      <c r="I1346" s="1444">
        <v>0</v>
      </c>
      <c r="J1346" s="1444">
        <v>0</v>
      </c>
      <c r="K1346" s="1476"/>
      <c r="L1346" s="1476"/>
      <c r="M1346" s="1476">
        <f t="shared" si="215"/>
        <v>0</v>
      </c>
      <c r="N1346" s="1476">
        <f t="shared" si="214"/>
        <v>0</v>
      </c>
    </row>
    <row r="1347" spans="1:14" ht="15.5" outlineLevel="1">
      <c r="A1347" s="1457">
        <f t="shared" si="218"/>
        <v>0</v>
      </c>
      <c r="B1347" s="1457" t="str">
        <f t="shared" si="218"/>
        <v>FY 2029-30</v>
      </c>
      <c r="C1347" s="1475">
        <f t="shared" si="218"/>
        <v>0</v>
      </c>
      <c r="D1347" s="1473" t="str">
        <f t="shared" si="218"/>
        <v>-</v>
      </c>
      <c r="E1347" s="1476">
        <f t="shared" si="218"/>
        <v>0</v>
      </c>
      <c r="F1347" s="1444">
        <f t="shared" si="211"/>
        <v>0</v>
      </c>
      <c r="G1347" s="1444">
        <f t="shared" si="212"/>
        <v>0</v>
      </c>
      <c r="H1347" s="1476">
        <f t="shared" si="213"/>
        <v>0</v>
      </c>
      <c r="I1347" s="1444">
        <v>0</v>
      </c>
      <c r="J1347" s="1444">
        <v>0</v>
      </c>
      <c r="K1347" s="1476"/>
      <c r="L1347" s="1476"/>
      <c r="M1347" s="1476">
        <f t="shared" si="215"/>
        <v>0</v>
      </c>
      <c r="N1347" s="1476">
        <f t="shared" si="214"/>
        <v>0</v>
      </c>
    </row>
    <row r="1348" spans="1:14" ht="31" outlineLevel="1">
      <c r="A1348" s="1458">
        <f t="shared" si="218"/>
        <v>1</v>
      </c>
      <c r="B1348" s="1459" t="str">
        <f t="shared" si="218"/>
        <v>Coal Mill Performance Improvement and Life Enhancement of BHEL Make XRP-1043 Coal Mills in 2x500 MW BTPS.</v>
      </c>
      <c r="C1348" s="1475">
        <f t="shared" si="218"/>
        <v>0</v>
      </c>
      <c r="D1348" s="1473" t="str">
        <f t="shared" si="218"/>
        <v>-</v>
      </c>
      <c r="E1348" s="1476">
        <f t="shared" si="218"/>
        <v>0</v>
      </c>
      <c r="F1348" s="1444">
        <f t="shared" si="211"/>
        <v>0</v>
      </c>
      <c r="G1348" s="1444">
        <f t="shared" si="212"/>
        <v>0</v>
      </c>
      <c r="H1348" s="1476">
        <f t="shared" si="213"/>
        <v>0</v>
      </c>
      <c r="I1348" s="1444">
        <v>0</v>
      </c>
      <c r="J1348" s="1444">
        <v>0</v>
      </c>
      <c r="K1348" s="1476"/>
      <c r="L1348" s="1476"/>
      <c r="M1348" s="1476">
        <f t="shared" si="215"/>
        <v>0</v>
      </c>
      <c r="N1348" s="1476">
        <f t="shared" si="214"/>
        <v>0</v>
      </c>
    </row>
    <row r="1349" spans="1:14" ht="31" outlineLevel="1">
      <c r="A1349" s="1455">
        <f t="shared" si="218"/>
        <v>1.1000000000000001</v>
      </c>
      <c r="B1349" s="1455" t="str">
        <f t="shared" si="218"/>
        <v>Coal Mill Performance Improvement and Life Enhancement of BHEL Make XRP-1043 Coal Mills in 2x500 MW BTPS.</v>
      </c>
      <c r="C1349" s="1475">
        <f t="shared" si="218"/>
        <v>0</v>
      </c>
      <c r="D1349" s="1473" t="str">
        <f t="shared" si="218"/>
        <v>-</v>
      </c>
      <c r="E1349" s="1476">
        <f t="shared" si="218"/>
        <v>0</v>
      </c>
      <c r="F1349" s="1444">
        <f t="shared" si="211"/>
        <v>0</v>
      </c>
      <c r="G1349" s="1444">
        <f t="shared" si="212"/>
        <v>0</v>
      </c>
      <c r="H1349" s="1476">
        <f t="shared" si="213"/>
        <v>0</v>
      </c>
      <c r="I1349" s="1444">
        <v>0</v>
      </c>
      <c r="J1349" s="1444">
        <v>0</v>
      </c>
      <c r="K1349" s="1476"/>
      <c r="L1349" s="1476"/>
      <c r="M1349" s="1476">
        <f t="shared" si="215"/>
        <v>0</v>
      </c>
      <c r="N1349" s="1476">
        <f t="shared" si="214"/>
        <v>0</v>
      </c>
    </row>
    <row r="1350" spans="1:14" ht="15.5" outlineLevel="1">
      <c r="A1350" s="1458">
        <f t="shared" si="218"/>
        <v>2</v>
      </c>
      <c r="B1350" s="1459" t="str">
        <f t="shared" si="218"/>
        <v>Upgradation rail  track in CHP -BTPS</v>
      </c>
      <c r="C1350" s="1475">
        <f t="shared" si="218"/>
        <v>0</v>
      </c>
      <c r="D1350" s="1473" t="str">
        <f t="shared" si="218"/>
        <v>-</v>
      </c>
      <c r="E1350" s="1476">
        <f t="shared" si="218"/>
        <v>0</v>
      </c>
      <c r="F1350" s="1444">
        <f t="shared" si="211"/>
        <v>0</v>
      </c>
      <c r="G1350" s="1444">
        <f t="shared" si="212"/>
        <v>0</v>
      </c>
      <c r="H1350" s="1476">
        <f t="shared" si="213"/>
        <v>0</v>
      </c>
      <c r="I1350" s="1444">
        <v>0</v>
      </c>
      <c r="J1350" s="1444">
        <v>0</v>
      </c>
      <c r="K1350" s="1476"/>
      <c r="L1350" s="1476"/>
      <c r="M1350" s="1476">
        <f t="shared" si="215"/>
        <v>0</v>
      </c>
      <c r="N1350" s="1476">
        <f t="shared" si="214"/>
        <v>0</v>
      </c>
    </row>
    <row r="1351" spans="1:14" ht="15.5" outlineLevel="1">
      <c r="A1351" s="1455">
        <f t="shared" si="218"/>
        <v>2.1</v>
      </c>
      <c r="B1351" s="1455" t="str">
        <f t="shared" si="218"/>
        <v>Revamping and Upgradation of rail track from 52KG to 60KG in CHP-BTPS.</v>
      </c>
      <c r="C1351" s="1475">
        <f t="shared" si="218"/>
        <v>0</v>
      </c>
      <c r="D1351" s="1473" t="str">
        <f t="shared" si="218"/>
        <v>-</v>
      </c>
      <c r="E1351" s="1476">
        <f t="shared" si="218"/>
        <v>0</v>
      </c>
      <c r="F1351" s="1444">
        <f t="shared" si="211"/>
        <v>0</v>
      </c>
      <c r="G1351" s="1444">
        <f t="shared" si="212"/>
        <v>0</v>
      </c>
      <c r="H1351" s="1476">
        <f t="shared" si="213"/>
        <v>0</v>
      </c>
      <c r="I1351" s="1444">
        <v>0</v>
      </c>
      <c r="J1351" s="1444">
        <v>0</v>
      </c>
      <c r="K1351" s="1476"/>
      <c r="L1351" s="1476"/>
      <c r="M1351" s="1476">
        <f t="shared" si="215"/>
        <v>0</v>
      </c>
      <c r="N1351" s="1476">
        <f t="shared" si="214"/>
        <v>0</v>
      </c>
    </row>
    <row r="1352" spans="1:14" ht="15.5" outlineLevel="1">
      <c r="A1352" s="1455">
        <f t="shared" ref="A1352:E1367" si="219">A1122</f>
        <v>0</v>
      </c>
      <c r="B1352" s="1455">
        <f t="shared" si="219"/>
        <v>0</v>
      </c>
      <c r="C1352" s="1475">
        <f t="shared" si="219"/>
        <v>0</v>
      </c>
      <c r="D1352" s="1473" t="str">
        <f t="shared" si="219"/>
        <v>-</v>
      </c>
      <c r="E1352" s="1476">
        <f t="shared" si="219"/>
        <v>0</v>
      </c>
      <c r="F1352" s="1444">
        <f t="shared" ref="F1352:F1384" si="220">F1122+I1122</f>
        <v>0</v>
      </c>
      <c r="G1352" s="1444">
        <f t="shared" ref="G1352:G1384" si="221">G1122+M1122</f>
        <v>0</v>
      </c>
      <c r="H1352" s="1476">
        <f t="shared" si="213"/>
        <v>0</v>
      </c>
      <c r="I1352" s="1444">
        <v>0</v>
      </c>
      <c r="J1352" s="1444">
        <v>0</v>
      </c>
      <c r="K1352" s="1476"/>
      <c r="L1352" s="1476"/>
      <c r="M1352" s="1476">
        <f t="shared" si="215"/>
        <v>0</v>
      </c>
      <c r="N1352" s="1476">
        <f t="shared" si="214"/>
        <v>0</v>
      </c>
    </row>
    <row r="1353" spans="1:14" ht="15.5" outlineLevel="1">
      <c r="A1353" s="1456">
        <f t="shared" si="219"/>
        <v>0</v>
      </c>
      <c r="B1353" s="1456" t="str">
        <f t="shared" si="219"/>
        <v>B) Non-DPR Schemes</v>
      </c>
      <c r="C1353" s="1475">
        <f t="shared" si="219"/>
        <v>0</v>
      </c>
      <c r="D1353" s="1473" t="str">
        <f t="shared" si="219"/>
        <v>-</v>
      </c>
      <c r="E1353" s="1476">
        <f t="shared" si="219"/>
        <v>0</v>
      </c>
      <c r="F1353" s="1444">
        <f t="shared" si="220"/>
        <v>0</v>
      </c>
      <c r="G1353" s="1444">
        <f t="shared" si="221"/>
        <v>0</v>
      </c>
      <c r="H1353" s="1476">
        <f t="shared" si="213"/>
        <v>0</v>
      </c>
      <c r="I1353" s="1444">
        <v>0</v>
      </c>
      <c r="J1353" s="1444">
        <v>0</v>
      </c>
      <c r="K1353" s="1476"/>
      <c r="L1353" s="1476"/>
      <c r="M1353" s="1476">
        <f t="shared" si="215"/>
        <v>0</v>
      </c>
      <c r="N1353" s="1476">
        <f t="shared" si="214"/>
        <v>0</v>
      </c>
    </row>
    <row r="1354" spans="1:14" ht="15.5" outlineLevel="1">
      <c r="A1354" s="1454">
        <f t="shared" si="219"/>
        <v>1</v>
      </c>
      <c r="B1354" s="1454" t="str">
        <f t="shared" si="219"/>
        <v>Contract for modification of Wobbler feeder in CHP-2X500MW</v>
      </c>
      <c r="C1354" s="1475">
        <f t="shared" si="219"/>
        <v>0</v>
      </c>
      <c r="D1354" s="1473" t="str">
        <f t="shared" si="219"/>
        <v>-</v>
      </c>
      <c r="E1354" s="1476">
        <f t="shared" si="219"/>
        <v>0</v>
      </c>
      <c r="F1354" s="1444">
        <f t="shared" si="220"/>
        <v>1.473342572</v>
      </c>
      <c r="G1354" s="1444">
        <f t="shared" si="221"/>
        <v>1.473342572</v>
      </c>
      <c r="H1354" s="1476">
        <f t="shared" si="213"/>
        <v>0</v>
      </c>
      <c r="I1354" s="1444">
        <v>0</v>
      </c>
      <c r="J1354" s="1444">
        <v>0</v>
      </c>
      <c r="K1354" s="1476"/>
      <c r="L1354" s="1476"/>
      <c r="M1354" s="1476">
        <f t="shared" si="215"/>
        <v>0</v>
      </c>
      <c r="N1354" s="1476">
        <f t="shared" si="214"/>
        <v>0</v>
      </c>
    </row>
    <row r="1355" spans="1:14" ht="15.5" outlineLevel="1">
      <c r="A1355" s="1454">
        <f t="shared" si="219"/>
        <v>2</v>
      </c>
      <c r="B1355" s="1454" t="str">
        <f t="shared" si="219"/>
        <v>Contract for Revamping of Apron Feeder in CHP-2X500MW</v>
      </c>
      <c r="C1355" s="1475">
        <f t="shared" si="219"/>
        <v>0</v>
      </c>
      <c r="D1355" s="1473" t="str">
        <f t="shared" si="219"/>
        <v>-</v>
      </c>
      <c r="E1355" s="1476">
        <f t="shared" si="219"/>
        <v>0</v>
      </c>
      <c r="F1355" s="1444">
        <f t="shared" si="220"/>
        <v>2.3246000000000002</v>
      </c>
      <c r="G1355" s="1444">
        <f t="shared" si="221"/>
        <v>2.3246000000000002</v>
      </c>
      <c r="H1355" s="1476">
        <f t="shared" si="213"/>
        <v>0</v>
      </c>
      <c r="I1355" s="1444">
        <v>0</v>
      </c>
      <c r="J1355" s="1444">
        <v>0</v>
      </c>
      <c r="K1355" s="1476"/>
      <c r="L1355" s="1476"/>
      <c r="M1355" s="1476">
        <f t="shared" si="215"/>
        <v>0</v>
      </c>
      <c r="N1355" s="1476">
        <f t="shared" si="214"/>
        <v>0</v>
      </c>
    </row>
    <row r="1356" spans="1:14" ht="31" outlineLevel="1">
      <c r="A1356" s="1454">
        <f t="shared" si="219"/>
        <v>3</v>
      </c>
      <c r="B1356" s="1454" t="str">
        <f t="shared" si="219"/>
        <v> Procurement of double lip skirt sealing &amp; tracking idler in CHP at 2x500MW, BTPS</v>
      </c>
      <c r="C1356" s="1475">
        <f t="shared" si="219"/>
        <v>0</v>
      </c>
      <c r="D1356" s="1473" t="str">
        <f t="shared" si="219"/>
        <v>-</v>
      </c>
      <c r="E1356" s="1476">
        <f t="shared" si="219"/>
        <v>0</v>
      </c>
      <c r="F1356" s="1444">
        <f t="shared" si="220"/>
        <v>0.57024680000000005</v>
      </c>
      <c r="G1356" s="1444">
        <f t="shared" si="221"/>
        <v>0.57024680000000005</v>
      </c>
      <c r="H1356" s="1476">
        <f t="shared" si="213"/>
        <v>0</v>
      </c>
      <c r="I1356" s="1444">
        <v>0</v>
      </c>
      <c r="J1356" s="1444">
        <v>0</v>
      </c>
      <c r="K1356" s="1476"/>
      <c r="L1356" s="1476"/>
      <c r="M1356" s="1476">
        <f t="shared" si="215"/>
        <v>0</v>
      </c>
      <c r="N1356" s="1476">
        <f t="shared" si="214"/>
        <v>0</v>
      </c>
    </row>
    <row r="1357" spans="1:14" ht="15.5" outlineLevel="1">
      <c r="A1357" s="1454">
        <f t="shared" si="219"/>
        <v>4</v>
      </c>
      <c r="B1357" s="1454" t="str">
        <f t="shared" si="219"/>
        <v>Supply, erection &amp; commissioning of vibrating feeder in CHP at 2x500MW, BTPS</v>
      </c>
      <c r="C1357" s="1475">
        <f t="shared" si="219"/>
        <v>0</v>
      </c>
      <c r="D1357" s="1473" t="str">
        <f t="shared" si="219"/>
        <v>-</v>
      </c>
      <c r="E1357" s="1476">
        <f t="shared" si="219"/>
        <v>0</v>
      </c>
      <c r="F1357" s="1444">
        <f t="shared" si="220"/>
        <v>0.57796400000000003</v>
      </c>
      <c r="G1357" s="1444">
        <f t="shared" si="221"/>
        <v>0.57796400000000003</v>
      </c>
      <c r="H1357" s="1476">
        <f t="shared" si="213"/>
        <v>0</v>
      </c>
      <c r="I1357" s="1444">
        <v>0</v>
      </c>
      <c r="J1357" s="1444">
        <v>0</v>
      </c>
      <c r="K1357" s="1476"/>
      <c r="L1357" s="1476"/>
      <c r="M1357" s="1476">
        <f t="shared" si="215"/>
        <v>0</v>
      </c>
      <c r="N1357" s="1476">
        <f t="shared" si="214"/>
        <v>0</v>
      </c>
    </row>
    <row r="1358" spans="1:14" ht="15.5" outlineLevel="1">
      <c r="A1358" s="1454">
        <f t="shared" si="219"/>
        <v>5</v>
      </c>
      <c r="B1358" s="1454" t="str">
        <f t="shared" si="219"/>
        <v xml:space="preserve"> Coal chutes with extra life wear resistance plates in CHP at 2X500MW</v>
      </c>
      <c r="C1358" s="1475">
        <f t="shared" si="219"/>
        <v>0</v>
      </c>
      <c r="D1358" s="1473" t="str">
        <f t="shared" si="219"/>
        <v>-</v>
      </c>
      <c r="E1358" s="1476">
        <f t="shared" si="219"/>
        <v>0</v>
      </c>
      <c r="F1358" s="1444">
        <f t="shared" si="220"/>
        <v>2.0319305000000001</v>
      </c>
      <c r="G1358" s="1444">
        <f t="shared" si="221"/>
        <v>2.0319305000000001</v>
      </c>
      <c r="H1358" s="1476">
        <f t="shared" si="213"/>
        <v>0</v>
      </c>
      <c r="I1358" s="1444">
        <v>0</v>
      </c>
      <c r="J1358" s="1444">
        <v>0</v>
      </c>
      <c r="K1358" s="1476"/>
      <c r="L1358" s="1476"/>
      <c r="M1358" s="1476">
        <f t="shared" si="215"/>
        <v>0</v>
      </c>
      <c r="N1358" s="1476">
        <f t="shared" si="214"/>
        <v>0</v>
      </c>
    </row>
    <row r="1359" spans="1:14" ht="31" outlineLevel="1">
      <c r="A1359" s="1454">
        <f t="shared" si="219"/>
        <v>6</v>
      </c>
      <c r="B1359" s="1454" t="str">
        <f t="shared" si="219"/>
        <v xml:space="preserve">Epoxy Painting upto all height to structural steel work in main plant boiler side area and CHP area </v>
      </c>
      <c r="C1359" s="1475">
        <f t="shared" si="219"/>
        <v>0</v>
      </c>
      <c r="D1359" s="1473" t="str">
        <f t="shared" si="219"/>
        <v>-</v>
      </c>
      <c r="E1359" s="1476">
        <f t="shared" si="219"/>
        <v>0</v>
      </c>
      <c r="F1359" s="1444">
        <f t="shared" si="220"/>
        <v>5.8625346629999999</v>
      </c>
      <c r="G1359" s="1444">
        <f t="shared" si="221"/>
        <v>5.8625346629999999</v>
      </c>
      <c r="H1359" s="1476">
        <f t="shared" si="213"/>
        <v>0</v>
      </c>
      <c r="I1359" s="1444">
        <v>0</v>
      </c>
      <c r="J1359" s="1444">
        <v>0</v>
      </c>
      <c r="K1359" s="1476"/>
      <c r="L1359" s="1476"/>
      <c r="M1359" s="1476">
        <f t="shared" si="215"/>
        <v>0</v>
      </c>
      <c r="N1359" s="1476">
        <f t="shared" si="214"/>
        <v>0</v>
      </c>
    </row>
    <row r="1360" spans="1:14" ht="15.5" outlineLevel="1">
      <c r="A1360" s="1454">
        <f t="shared" si="219"/>
        <v>7</v>
      </c>
      <c r="B1360" s="1454" t="str">
        <f t="shared" si="219"/>
        <v xml:space="preserve"> Rectification of Belt feeder &amp; Gravity Take-up  in CHP-2X500MW.</v>
      </c>
      <c r="C1360" s="1475">
        <f t="shared" si="219"/>
        <v>0</v>
      </c>
      <c r="D1360" s="1473" t="str">
        <f t="shared" si="219"/>
        <v>-</v>
      </c>
      <c r="E1360" s="1476">
        <f t="shared" si="219"/>
        <v>0</v>
      </c>
      <c r="F1360" s="1444">
        <f t="shared" si="220"/>
        <v>1.6478699999999999</v>
      </c>
      <c r="G1360" s="1444">
        <f t="shared" si="221"/>
        <v>1.6478699999999999</v>
      </c>
      <c r="H1360" s="1476">
        <f t="shared" si="213"/>
        <v>0</v>
      </c>
      <c r="I1360" s="1444">
        <v>0</v>
      </c>
      <c r="J1360" s="1444">
        <v>0</v>
      </c>
      <c r="K1360" s="1476"/>
      <c r="L1360" s="1476"/>
      <c r="M1360" s="1476">
        <f t="shared" si="215"/>
        <v>0</v>
      </c>
      <c r="N1360" s="1476">
        <f t="shared" si="214"/>
        <v>0</v>
      </c>
    </row>
    <row r="1361" spans="1:14" ht="15.5" outlineLevel="1">
      <c r="A1361" s="1454">
        <f t="shared" si="219"/>
        <v>8</v>
      </c>
      <c r="B1361" s="1454" t="str">
        <f t="shared" si="219"/>
        <v>Coal diverting chutes in CHP at 2X500MW.</v>
      </c>
      <c r="C1361" s="1475">
        <f t="shared" si="219"/>
        <v>0</v>
      </c>
      <c r="D1361" s="1473" t="str">
        <f t="shared" si="219"/>
        <v>-</v>
      </c>
      <c r="E1361" s="1476">
        <f t="shared" si="219"/>
        <v>0</v>
      </c>
      <c r="F1361" s="1444">
        <f t="shared" si="220"/>
        <v>2.218399056</v>
      </c>
      <c r="G1361" s="1444">
        <f t="shared" si="221"/>
        <v>2.218399056</v>
      </c>
      <c r="H1361" s="1476">
        <f t="shared" si="213"/>
        <v>0</v>
      </c>
      <c r="I1361" s="1444">
        <v>0</v>
      </c>
      <c r="J1361" s="1444">
        <v>0</v>
      </c>
      <c r="K1361" s="1476"/>
      <c r="L1361" s="1476"/>
      <c r="M1361" s="1476">
        <f t="shared" si="215"/>
        <v>0</v>
      </c>
      <c r="N1361" s="1476">
        <f t="shared" si="214"/>
        <v>0</v>
      </c>
    </row>
    <row r="1362" spans="1:14" ht="31" outlineLevel="1">
      <c r="A1362" s="1454">
        <f t="shared" si="219"/>
        <v>9</v>
      </c>
      <c r="B1362" s="1454" t="str">
        <f t="shared" si="219"/>
        <v>Supply of Conveyor Pulleys with Ceramic lagging at CHP-2X500MW, BTPS, Bhusawal</v>
      </c>
      <c r="C1362" s="1475">
        <f t="shared" si="219"/>
        <v>0</v>
      </c>
      <c r="D1362" s="1473" t="str">
        <f t="shared" si="219"/>
        <v>-</v>
      </c>
      <c r="E1362" s="1476">
        <f t="shared" si="219"/>
        <v>0</v>
      </c>
      <c r="F1362" s="1444">
        <f t="shared" si="220"/>
        <v>0.58051280000000005</v>
      </c>
      <c r="G1362" s="1444">
        <f t="shared" si="221"/>
        <v>0.58051280000000005</v>
      </c>
      <c r="H1362" s="1476">
        <f t="shared" si="213"/>
        <v>0</v>
      </c>
      <c r="I1362" s="1444">
        <v>0</v>
      </c>
      <c r="J1362" s="1444">
        <v>0</v>
      </c>
      <c r="K1362" s="1476"/>
      <c r="L1362" s="1476"/>
      <c r="M1362" s="1476">
        <f t="shared" si="215"/>
        <v>0</v>
      </c>
      <c r="N1362" s="1476">
        <f t="shared" si="214"/>
        <v>0</v>
      </c>
    </row>
    <row r="1363" spans="1:14" ht="31" outlineLevel="1">
      <c r="A1363" s="1454">
        <f t="shared" si="219"/>
        <v>10</v>
      </c>
      <c r="B1363" s="1454" t="str">
        <f t="shared" si="219"/>
        <v xml:space="preserve">Non-DPR Project Report for  Design, Supply,Erection &amp; Commissioning of High Performance Energy Chain System for Side Arm Charger at 2x500 at CHP </v>
      </c>
      <c r="C1363" s="1475">
        <f t="shared" si="219"/>
        <v>0</v>
      </c>
      <c r="D1363" s="1473" t="str">
        <f t="shared" si="219"/>
        <v>-</v>
      </c>
      <c r="E1363" s="1476">
        <f t="shared" si="219"/>
        <v>0</v>
      </c>
      <c r="F1363" s="1444">
        <f t="shared" si="220"/>
        <v>1.50150162</v>
      </c>
      <c r="G1363" s="1444">
        <f t="shared" si="221"/>
        <v>1.50150162</v>
      </c>
      <c r="H1363" s="1476">
        <f t="shared" si="213"/>
        <v>0</v>
      </c>
      <c r="I1363" s="1444">
        <v>0</v>
      </c>
      <c r="J1363" s="1444">
        <v>0</v>
      </c>
      <c r="K1363" s="1476"/>
      <c r="L1363" s="1476"/>
      <c r="M1363" s="1476">
        <f t="shared" ref="M1363:M1384" si="222">SUM(J1363:L1363)</f>
        <v>0</v>
      </c>
      <c r="N1363" s="1476">
        <f t="shared" si="214"/>
        <v>0</v>
      </c>
    </row>
    <row r="1364" spans="1:14" ht="31" outlineLevel="1">
      <c r="A1364" s="1454">
        <f t="shared" si="219"/>
        <v>11</v>
      </c>
      <c r="B1364" s="1454" t="str">
        <f t="shared" si="219"/>
        <v>Implementation of Energy Conservation Demonstration Project in buildings of BTPS 2x500MW</v>
      </c>
      <c r="C1364" s="1475">
        <f t="shared" si="219"/>
        <v>0</v>
      </c>
      <c r="D1364" s="1473" t="str">
        <f t="shared" si="219"/>
        <v>-</v>
      </c>
      <c r="E1364" s="1476">
        <f t="shared" si="219"/>
        <v>0</v>
      </c>
      <c r="F1364" s="1444">
        <f t="shared" si="220"/>
        <v>0</v>
      </c>
      <c r="G1364" s="1444">
        <f t="shared" si="221"/>
        <v>0</v>
      </c>
      <c r="H1364" s="1476">
        <f t="shared" si="213"/>
        <v>0</v>
      </c>
      <c r="I1364" s="1444">
        <v>0</v>
      </c>
      <c r="J1364" s="1444">
        <v>0</v>
      </c>
      <c r="K1364" s="1476"/>
      <c r="L1364" s="1476"/>
      <c r="M1364" s="1476">
        <f t="shared" si="222"/>
        <v>0</v>
      </c>
      <c r="N1364" s="1476">
        <f t="shared" si="214"/>
        <v>0</v>
      </c>
    </row>
    <row r="1365" spans="1:14" ht="15.5" outlineLevel="1">
      <c r="A1365" s="1454">
        <f t="shared" si="219"/>
        <v>12</v>
      </c>
      <c r="B1365" s="1454" t="str">
        <f t="shared" si="219"/>
        <v>Installation of Fire &amp; Explosion Prevention system at Bhusawal 500MW Unit-4.</v>
      </c>
      <c r="C1365" s="1475">
        <f t="shared" si="219"/>
        <v>0</v>
      </c>
      <c r="D1365" s="1473" t="str">
        <f t="shared" si="219"/>
        <v>-</v>
      </c>
      <c r="E1365" s="1476">
        <f t="shared" si="219"/>
        <v>0</v>
      </c>
      <c r="F1365" s="1444">
        <f t="shared" si="220"/>
        <v>2.4539</v>
      </c>
      <c r="G1365" s="1444">
        <f t="shared" si="221"/>
        <v>2.4539</v>
      </c>
      <c r="H1365" s="1476">
        <f t="shared" si="213"/>
        <v>0</v>
      </c>
      <c r="I1365" s="1444">
        <v>0</v>
      </c>
      <c r="J1365" s="1444">
        <v>0</v>
      </c>
      <c r="K1365" s="1476"/>
      <c r="L1365" s="1476"/>
      <c r="M1365" s="1476">
        <f t="shared" si="222"/>
        <v>0</v>
      </c>
      <c r="N1365" s="1476">
        <f t="shared" si="214"/>
        <v>0</v>
      </c>
    </row>
    <row r="1366" spans="1:14" ht="15.5" outlineLevel="1">
      <c r="A1366" s="1454">
        <f t="shared" si="219"/>
        <v>13</v>
      </c>
      <c r="B1366" s="1454" t="str">
        <f t="shared" si="219"/>
        <v>Fixtures &amp; Fitting (10801)</v>
      </c>
      <c r="C1366" s="1475">
        <f t="shared" si="219"/>
        <v>0</v>
      </c>
      <c r="D1366" s="1473" t="str">
        <f t="shared" si="219"/>
        <v>-</v>
      </c>
      <c r="E1366" s="1476">
        <f t="shared" si="219"/>
        <v>0</v>
      </c>
      <c r="F1366" s="1444">
        <f t="shared" si="220"/>
        <v>0.21333523199999999</v>
      </c>
      <c r="G1366" s="1444">
        <f t="shared" si="221"/>
        <v>0.21333523199999999</v>
      </c>
      <c r="H1366" s="1476">
        <f t="shared" si="213"/>
        <v>0</v>
      </c>
      <c r="I1366" s="1444">
        <v>0</v>
      </c>
      <c r="J1366" s="1444">
        <v>0</v>
      </c>
      <c r="K1366" s="1476"/>
      <c r="L1366" s="1476"/>
      <c r="M1366" s="1476">
        <f t="shared" si="222"/>
        <v>0</v>
      </c>
      <c r="N1366" s="1476">
        <f t="shared" si="214"/>
        <v>0</v>
      </c>
    </row>
    <row r="1367" spans="1:14" ht="15.5" outlineLevel="1">
      <c r="A1367" s="1454">
        <f t="shared" si="219"/>
        <v>14</v>
      </c>
      <c r="B1367" s="1454" t="str">
        <f t="shared" si="219"/>
        <v>Office equpment (10901)</v>
      </c>
      <c r="C1367" s="1475">
        <f t="shared" si="219"/>
        <v>0</v>
      </c>
      <c r="D1367" s="1473" t="str">
        <f t="shared" si="219"/>
        <v>-</v>
      </c>
      <c r="E1367" s="1476">
        <f t="shared" si="219"/>
        <v>0</v>
      </c>
      <c r="F1367" s="1444">
        <f t="shared" si="220"/>
        <v>0.22996406</v>
      </c>
      <c r="G1367" s="1444">
        <f t="shared" si="221"/>
        <v>0.22996406</v>
      </c>
      <c r="H1367" s="1476">
        <f t="shared" si="213"/>
        <v>0</v>
      </c>
      <c r="I1367" s="1444">
        <v>0</v>
      </c>
      <c r="J1367" s="1444">
        <v>0</v>
      </c>
      <c r="K1367" s="1476"/>
      <c r="L1367" s="1476"/>
      <c r="M1367" s="1476">
        <f t="shared" si="222"/>
        <v>0</v>
      </c>
      <c r="N1367" s="1476">
        <f t="shared" si="214"/>
        <v>0</v>
      </c>
    </row>
    <row r="1368" spans="1:14" ht="15.5" outlineLevel="1">
      <c r="A1368" s="1454">
        <f t="shared" ref="A1368:E1383" si="223">A1138</f>
        <v>15</v>
      </c>
      <c r="B1368" s="1454" t="str">
        <f t="shared" si="223"/>
        <v>150 W &amp; 40 W LED FIXTURES AT TG HOUSE BUILDING 2X500MW</v>
      </c>
      <c r="C1368" s="1475">
        <f t="shared" si="223"/>
        <v>0</v>
      </c>
      <c r="D1368" s="1473" t="str">
        <f t="shared" si="223"/>
        <v>-</v>
      </c>
      <c r="E1368" s="1476">
        <f t="shared" si="223"/>
        <v>0</v>
      </c>
      <c r="F1368" s="1444">
        <f t="shared" si="220"/>
        <v>0.5280705</v>
      </c>
      <c r="G1368" s="1444">
        <f t="shared" si="221"/>
        <v>0.2780705</v>
      </c>
      <c r="H1368" s="1476">
        <f t="shared" si="213"/>
        <v>0.25</v>
      </c>
      <c r="I1368" s="1444">
        <v>0</v>
      </c>
      <c r="J1368" s="1444">
        <v>0</v>
      </c>
      <c r="K1368" s="1476"/>
      <c r="L1368" s="1476"/>
      <c r="M1368" s="1476">
        <f t="shared" si="222"/>
        <v>0</v>
      </c>
      <c r="N1368" s="1476">
        <f t="shared" si="214"/>
        <v>0.25</v>
      </c>
    </row>
    <row r="1369" spans="1:14" ht="15.5" outlineLevel="1">
      <c r="A1369" s="1454">
        <f t="shared" si="223"/>
        <v>16</v>
      </c>
      <c r="B1369" s="1454" t="str">
        <f t="shared" si="223"/>
        <v>JUMBO DEESERT AIR COOLERS FOR POWER TRANSFORERS</v>
      </c>
      <c r="C1369" s="1475">
        <f t="shared" si="223"/>
        <v>0</v>
      </c>
      <c r="D1369" s="1473" t="str">
        <f t="shared" si="223"/>
        <v>-</v>
      </c>
      <c r="E1369" s="1476">
        <f t="shared" si="223"/>
        <v>0</v>
      </c>
      <c r="F1369" s="1444">
        <f t="shared" si="220"/>
        <v>0.1014328</v>
      </c>
      <c r="G1369" s="1444">
        <f t="shared" si="221"/>
        <v>0.1014328</v>
      </c>
      <c r="H1369" s="1476">
        <f t="shared" si="213"/>
        <v>0</v>
      </c>
      <c r="I1369" s="1444">
        <v>0</v>
      </c>
      <c r="J1369" s="1444">
        <v>0</v>
      </c>
      <c r="K1369" s="1476"/>
      <c r="L1369" s="1476"/>
      <c r="M1369" s="1476">
        <f t="shared" si="222"/>
        <v>0</v>
      </c>
      <c r="N1369" s="1476">
        <f t="shared" si="214"/>
        <v>0</v>
      </c>
    </row>
    <row r="1370" spans="1:14" ht="15.5" outlineLevel="1">
      <c r="A1370" s="1454">
        <f t="shared" si="223"/>
        <v>17</v>
      </c>
      <c r="B1370" s="1454" t="str">
        <f t="shared" si="223"/>
        <v>GEN ASSET (ALMIRAH,TABLE &amp; CHAIR) (10801)</v>
      </c>
      <c r="C1370" s="1475">
        <f t="shared" si="223"/>
        <v>0</v>
      </c>
      <c r="D1370" s="1473" t="str">
        <f t="shared" si="223"/>
        <v>-</v>
      </c>
      <c r="E1370" s="1476">
        <f t="shared" si="223"/>
        <v>0</v>
      </c>
      <c r="F1370" s="1444">
        <f t="shared" si="220"/>
        <v>0.23453750000000001</v>
      </c>
      <c r="G1370" s="1444">
        <f t="shared" si="221"/>
        <v>0.23453750000000001</v>
      </c>
      <c r="H1370" s="1476">
        <f t="shared" si="213"/>
        <v>0</v>
      </c>
      <c r="I1370" s="1444">
        <v>0</v>
      </c>
      <c r="J1370" s="1444">
        <v>0</v>
      </c>
      <c r="K1370" s="1476"/>
      <c r="L1370" s="1476"/>
      <c r="M1370" s="1476">
        <f t="shared" si="222"/>
        <v>0</v>
      </c>
      <c r="N1370" s="1476">
        <f t="shared" si="214"/>
        <v>0</v>
      </c>
    </row>
    <row r="1371" spans="1:14" ht="15.5" outlineLevel="1">
      <c r="A1371" s="1454">
        <f t="shared" si="223"/>
        <v>18</v>
      </c>
      <c r="B1371" s="1454" t="str">
        <f t="shared" si="223"/>
        <v>LAPTOP, 50 INCH TV,PRINTER,PROJECTOR,DESKTOP,UPS &amp; ETS. (10901)</v>
      </c>
      <c r="C1371" s="1475">
        <f t="shared" si="223"/>
        <v>0</v>
      </c>
      <c r="D1371" s="1473" t="str">
        <f t="shared" si="223"/>
        <v>-</v>
      </c>
      <c r="E1371" s="1476">
        <f t="shared" si="223"/>
        <v>0</v>
      </c>
      <c r="F1371" s="1444">
        <f t="shared" si="220"/>
        <v>0.55035469999999997</v>
      </c>
      <c r="G1371" s="1444">
        <f t="shared" si="221"/>
        <v>0.55035469999999997</v>
      </c>
      <c r="H1371" s="1476">
        <f t="shared" si="213"/>
        <v>0</v>
      </c>
      <c r="I1371" s="1444">
        <v>0</v>
      </c>
      <c r="J1371" s="1444">
        <v>0</v>
      </c>
      <c r="K1371" s="1476"/>
      <c r="L1371" s="1476"/>
      <c r="M1371" s="1476">
        <f t="shared" si="222"/>
        <v>0</v>
      </c>
      <c r="N1371" s="1476">
        <f t="shared" si="214"/>
        <v>0</v>
      </c>
    </row>
    <row r="1372" spans="1:14" ht="15.5" outlineLevel="1">
      <c r="A1372" s="1454">
        <f t="shared" si="223"/>
        <v>19</v>
      </c>
      <c r="B1372" s="1454" t="str">
        <f t="shared" si="223"/>
        <v>RESTAURANT EQUIP COMPOSTING MACHINE</v>
      </c>
      <c r="C1372" s="1475">
        <f t="shared" si="223"/>
        <v>0</v>
      </c>
      <c r="D1372" s="1473" t="str">
        <f t="shared" si="223"/>
        <v>-</v>
      </c>
      <c r="E1372" s="1476">
        <f t="shared" si="223"/>
        <v>0</v>
      </c>
      <c r="F1372" s="1444">
        <f t="shared" si="220"/>
        <v>5.0490047999999996E-2</v>
      </c>
      <c r="G1372" s="1444">
        <f t="shared" si="221"/>
        <v>5.0490047999999996E-2</v>
      </c>
      <c r="H1372" s="1476">
        <f t="shared" ref="H1372:H1384" si="224">F1372-G1372</f>
        <v>0</v>
      </c>
      <c r="I1372" s="1444">
        <v>0</v>
      </c>
      <c r="J1372" s="1444">
        <v>0</v>
      </c>
      <c r="K1372" s="1476"/>
      <c r="L1372" s="1476"/>
      <c r="M1372" s="1476">
        <f t="shared" si="222"/>
        <v>0</v>
      </c>
      <c r="N1372" s="1476"/>
    </row>
    <row r="1373" spans="1:14" ht="15.5" outlineLevel="1">
      <c r="A1373" s="1454">
        <f t="shared" si="223"/>
        <v>20</v>
      </c>
      <c r="B1373" s="1454" t="str">
        <f t="shared" si="223"/>
        <v>OFFICE TABLE,STORGE RACK,FAN</v>
      </c>
      <c r="C1373" s="1475">
        <f t="shared" si="223"/>
        <v>0</v>
      </c>
      <c r="D1373" s="1473" t="str">
        <f t="shared" si="223"/>
        <v>-</v>
      </c>
      <c r="E1373" s="1476">
        <f t="shared" si="223"/>
        <v>0</v>
      </c>
      <c r="F1373" s="1444">
        <f t="shared" si="220"/>
        <v>0.57868969999999997</v>
      </c>
      <c r="G1373" s="1444">
        <f t="shared" si="221"/>
        <v>0.57868969999999997</v>
      </c>
      <c r="H1373" s="1476">
        <f t="shared" si="224"/>
        <v>0</v>
      </c>
      <c r="I1373" s="1444">
        <v>0</v>
      </c>
      <c r="J1373" s="1444">
        <v>0</v>
      </c>
      <c r="K1373" s="1476"/>
      <c r="L1373" s="1476"/>
      <c r="M1373" s="1476">
        <f t="shared" si="222"/>
        <v>0</v>
      </c>
      <c r="N1373" s="1476"/>
    </row>
    <row r="1374" spans="1:14" ht="15.5" outlineLevel="1">
      <c r="A1374" s="1454">
        <f t="shared" si="223"/>
        <v>21</v>
      </c>
      <c r="B1374" s="1454" t="str">
        <f t="shared" si="223"/>
        <v>CAMERAS</v>
      </c>
      <c r="C1374" s="1475">
        <f t="shared" si="223"/>
        <v>0</v>
      </c>
      <c r="D1374" s="1473" t="str">
        <f t="shared" si="223"/>
        <v>-</v>
      </c>
      <c r="E1374" s="1476">
        <f t="shared" si="223"/>
        <v>0</v>
      </c>
      <c r="F1374" s="1444">
        <f t="shared" si="220"/>
        <v>3.8467899999999999E-2</v>
      </c>
      <c r="G1374" s="1444">
        <f t="shared" si="221"/>
        <v>3.8467899999999999E-2</v>
      </c>
      <c r="H1374" s="1476">
        <f t="shared" si="224"/>
        <v>0</v>
      </c>
      <c r="I1374" s="1444">
        <v>0</v>
      </c>
      <c r="J1374" s="1444">
        <v>0</v>
      </c>
      <c r="K1374" s="1476"/>
      <c r="L1374" s="1476"/>
      <c r="M1374" s="1476">
        <f t="shared" si="222"/>
        <v>0</v>
      </c>
      <c r="N1374" s="1476"/>
    </row>
    <row r="1375" spans="1:14" ht="15.5" outlineLevel="1">
      <c r="A1375" s="1454">
        <f t="shared" si="223"/>
        <v>22</v>
      </c>
      <c r="B1375" s="1454" t="str">
        <f t="shared" si="223"/>
        <v>VELHALA ASH BUND RD WORK</v>
      </c>
      <c r="C1375" s="1475">
        <f t="shared" si="223"/>
        <v>0</v>
      </c>
      <c r="D1375" s="1473" t="str">
        <f t="shared" si="223"/>
        <v>-</v>
      </c>
      <c r="E1375" s="1476">
        <f t="shared" si="223"/>
        <v>0</v>
      </c>
      <c r="F1375" s="1444">
        <f t="shared" si="220"/>
        <v>2.4644665859999999</v>
      </c>
      <c r="G1375" s="1444">
        <f t="shared" si="221"/>
        <v>2.4644665859999999</v>
      </c>
      <c r="H1375" s="1476">
        <f t="shared" si="224"/>
        <v>0</v>
      </c>
      <c r="I1375" s="1444">
        <v>0</v>
      </c>
      <c r="J1375" s="1444">
        <v>0</v>
      </c>
      <c r="K1375" s="1476"/>
      <c r="L1375" s="1476"/>
      <c r="M1375" s="1476">
        <f t="shared" si="222"/>
        <v>0</v>
      </c>
      <c r="N1375" s="1476"/>
    </row>
    <row r="1376" spans="1:14" ht="15.5" outlineLevel="1">
      <c r="A1376" s="1454">
        <f t="shared" si="223"/>
        <v>23</v>
      </c>
      <c r="B1376" s="1454" t="str">
        <f t="shared" si="223"/>
        <v>CONCERETE ROAD FROM DIESEL PUMP TO 500MW FACTORY G</v>
      </c>
      <c r="C1376" s="1475">
        <f t="shared" si="223"/>
        <v>0</v>
      </c>
      <c r="D1376" s="1473" t="str">
        <f t="shared" si="223"/>
        <v>-</v>
      </c>
      <c r="E1376" s="1476">
        <f t="shared" si="223"/>
        <v>0</v>
      </c>
      <c r="F1376" s="1444">
        <f t="shared" si="220"/>
        <v>0.98448907899999993</v>
      </c>
      <c r="G1376" s="1444">
        <f t="shared" si="221"/>
        <v>0.98448907899999993</v>
      </c>
      <c r="H1376" s="1476">
        <f t="shared" si="224"/>
        <v>0</v>
      </c>
      <c r="I1376" s="1444">
        <v>0</v>
      </c>
      <c r="J1376" s="1444">
        <v>0</v>
      </c>
      <c r="K1376" s="1476"/>
      <c r="L1376" s="1476"/>
      <c r="M1376" s="1476">
        <f t="shared" si="222"/>
        <v>0</v>
      </c>
      <c r="N1376" s="1476"/>
    </row>
    <row r="1377" spans="1:16" ht="15.5" outlineLevel="1">
      <c r="A1377" s="1454">
        <f t="shared" si="223"/>
        <v>24</v>
      </c>
      <c r="B1377" s="1454" t="str">
        <f t="shared" si="223"/>
        <v>Admin Building</v>
      </c>
      <c r="C1377" s="1475">
        <f t="shared" si="223"/>
        <v>0</v>
      </c>
      <c r="D1377" s="1473" t="str">
        <f t="shared" si="223"/>
        <v>-</v>
      </c>
      <c r="E1377" s="1476">
        <f t="shared" si="223"/>
        <v>0</v>
      </c>
      <c r="F1377" s="1444">
        <f t="shared" si="220"/>
        <v>5.1749999999999997E-2</v>
      </c>
      <c r="G1377" s="1444">
        <f t="shared" si="221"/>
        <v>0</v>
      </c>
      <c r="H1377" s="1476">
        <f t="shared" si="224"/>
        <v>5.1749999999999997E-2</v>
      </c>
      <c r="I1377" s="1444">
        <v>0</v>
      </c>
      <c r="J1377" s="1444">
        <v>0</v>
      </c>
      <c r="K1377" s="1476"/>
      <c r="L1377" s="1476"/>
      <c r="M1377" s="1476">
        <f t="shared" si="222"/>
        <v>0</v>
      </c>
      <c r="N1377" s="1476"/>
    </row>
    <row r="1378" spans="1:16" ht="15.5" outlineLevel="1">
      <c r="A1378" s="1455">
        <f t="shared" si="223"/>
        <v>25</v>
      </c>
      <c r="B1378" s="1455" t="str">
        <f t="shared" si="223"/>
        <v>Furniture &amp; Fixture</v>
      </c>
      <c r="C1378" s="1475">
        <f t="shared" si="223"/>
        <v>0</v>
      </c>
      <c r="D1378" s="1473" t="str">
        <f t="shared" si="223"/>
        <v>-</v>
      </c>
      <c r="E1378" s="1476">
        <f t="shared" si="223"/>
        <v>0</v>
      </c>
      <c r="F1378" s="1444">
        <f t="shared" si="220"/>
        <v>0.13712089999999999</v>
      </c>
      <c r="G1378" s="1444">
        <f t="shared" si="221"/>
        <v>0.13712089999999999</v>
      </c>
      <c r="H1378" s="1476">
        <f t="shared" si="224"/>
        <v>0</v>
      </c>
      <c r="I1378" s="1444">
        <v>0</v>
      </c>
      <c r="J1378" s="1444">
        <v>0</v>
      </c>
      <c r="K1378" s="1476"/>
      <c r="L1378" s="1476"/>
      <c r="M1378" s="1476">
        <f t="shared" si="222"/>
        <v>0</v>
      </c>
      <c r="N1378" s="1476"/>
    </row>
    <row r="1379" spans="1:16" ht="15.5" outlineLevel="1">
      <c r="A1379" s="1455">
        <f t="shared" si="223"/>
        <v>26</v>
      </c>
      <c r="B1379" s="1455" t="str">
        <f t="shared" si="223"/>
        <v>Office Equipment</v>
      </c>
      <c r="C1379" s="1475">
        <f t="shared" si="223"/>
        <v>0</v>
      </c>
      <c r="D1379" s="1473" t="str">
        <f t="shared" si="223"/>
        <v>-</v>
      </c>
      <c r="E1379" s="1476">
        <f t="shared" si="223"/>
        <v>0</v>
      </c>
      <c r="F1379" s="1444">
        <f t="shared" si="220"/>
        <v>0.14423554</v>
      </c>
      <c r="G1379" s="1444">
        <f t="shared" si="221"/>
        <v>0.14423554</v>
      </c>
      <c r="H1379" s="1476">
        <f t="shared" si="224"/>
        <v>0</v>
      </c>
      <c r="I1379" s="1444">
        <v>0</v>
      </c>
      <c r="J1379" s="1444">
        <v>0</v>
      </c>
      <c r="K1379" s="1476"/>
      <c r="L1379" s="1476"/>
      <c r="M1379" s="1476">
        <f t="shared" si="222"/>
        <v>0</v>
      </c>
      <c r="N1379" s="1476"/>
    </row>
    <row r="1380" spans="1:16" ht="15.5" outlineLevel="1">
      <c r="A1380" s="1455">
        <f t="shared" si="223"/>
        <v>27</v>
      </c>
      <c r="B1380" s="1455" t="str">
        <f t="shared" si="223"/>
        <v>Furniture &amp; Fixture</v>
      </c>
      <c r="C1380" s="1475">
        <f t="shared" si="223"/>
        <v>0</v>
      </c>
      <c r="D1380" s="1473" t="str">
        <f t="shared" si="223"/>
        <v>-</v>
      </c>
      <c r="E1380" s="1476">
        <f t="shared" si="223"/>
        <v>0</v>
      </c>
      <c r="F1380" s="1444">
        <f t="shared" si="220"/>
        <v>7.3968300000000001E-2</v>
      </c>
      <c r="G1380" s="1444">
        <f t="shared" si="221"/>
        <v>7.3968300000000001E-2</v>
      </c>
      <c r="H1380" s="1476">
        <f t="shared" si="224"/>
        <v>0</v>
      </c>
      <c r="I1380" s="1444">
        <v>0</v>
      </c>
      <c r="J1380" s="1444">
        <v>0</v>
      </c>
      <c r="K1380" s="1476"/>
      <c r="L1380" s="1476"/>
      <c r="M1380" s="1476">
        <f t="shared" si="222"/>
        <v>0</v>
      </c>
      <c r="N1380" s="1476"/>
    </row>
    <row r="1381" spans="1:16" ht="15.5" outlineLevel="1">
      <c r="A1381" s="1455">
        <f t="shared" si="223"/>
        <v>28</v>
      </c>
      <c r="B1381" s="1455" t="str">
        <f t="shared" si="223"/>
        <v>Office Equipment</v>
      </c>
      <c r="C1381" s="1475">
        <f t="shared" si="223"/>
        <v>0</v>
      </c>
      <c r="D1381" s="1473" t="str">
        <f t="shared" si="223"/>
        <v>-</v>
      </c>
      <c r="E1381" s="1476">
        <f t="shared" si="223"/>
        <v>0</v>
      </c>
      <c r="F1381" s="1444">
        <f t="shared" si="220"/>
        <v>0.15890559299999998</v>
      </c>
      <c r="G1381" s="1444">
        <f t="shared" si="221"/>
        <v>0.15890559299999998</v>
      </c>
      <c r="H1381" s="1476">
        <f t="shared" si="224"/>
        <v>0</v>
      </c>
      <c r="I1381" s="1444">
        <v>0</v>
      </c>
      <c r="J1381" s="1444">
        <v>0</v>
      </c>
      <c r="K1381" s="1476"/>
      <c r="L1381" s="1476"/>
      <c r="M1381" s="1476">
        <f t="shared" si="222"/>
        <v>0</v>
      </c>
      <c r="N1381" s="1476"/>
    </row>
    <row r="1382" spans="1:16" ht="31" outlineLevel="1">
      <c r="A1382" s="1455">
        <f t="shared" si="223"/>
        <v>29</v>
      </c>
      <c r="B1382" s="1455" t="str">
        <f t="shared" si="223"/>
        <v>Work of repairs of 350 KW BCWP-4B &amp; BCWP-5B motor of M/s. Torishima make at BTPS 2x500 MW</v>
      </c>
      <c r="C1382" s="1475">
        <f t="shared" si="223"/>
        <v>0</v>
      </c>
      <c r="D1382" s="1473" t="str">
        <f t="shared" si="223"/>
        <v>-</v>
      </c>
      <c r="E1382" s="1476">
        <f t="shared" si="223"/>
        <v>0</v>
      </c>
      <c r="F1382" s="1444">
        <f t="shared" si="220"/>
        <v>4.8465386759999998</v>
      </c>
      <c r="G1382" s="1444">
        <f t="shared" si="221"/>
        <v>4.8465386759999998</v>
      </c>
      <c r="H1382" s="1476">
        <f t="shared" si="224"/>
        <v>0</v>
      </c>
      <c r="I1382" s="1444">
        <v>0</v>
      </c>
      <c r="J1382" s="1444">
        <v>0</v>
      </c>
      <c r="K1382" s="1476"/>
      <c r="L1382" s="1476"/>
      <c r="M1382" s="1476">
        <f t="shared" si="222"/>
        <v>0</v>
      </c>
      <c r="N1382" s="1476"/>
    </row>
    <row r="1383" spans="1:16" ht="15.5" outlineLevel="1">
      <c r="A1383" s="1455">
        <f t="shared" si="223"/>
        <v>30</v>
      </c>
      <c r="B1383" s="1455" t="str">
        <f t="shared" si="223"/>
        <v>ABC Powder Type and Foam Type Composite Fire Extinguisher</v>
      </c>
      <c r="C1383" s="1475">
        <f t="shared" si="223"/>
        <v>0</v>
      </c>
      <c r="D1383" s="1473" t="str">
        <f t="shared" si="223"/>
        <v>-</v>
      </c>
      <c r="E1383" s="1476">
        <f t="shared" si="223"/>
        <v>0</v>
      </c>
      <c r="F1383" s="1444">
        <f t="shared" si="220"/>
        <v>0.58547995599999991</v>
      </c>
      <c r="G1383" s="1444">
        <f t="shared" si="221"/>
        <v>0.58547995599999991</v>
      </c>
      <c r="H1383" s="1476">
        <f t="shared" si="224"/>
        <v>0</v>
      </c>
      <c r="I1383" s="1444">
        <v>0</v>
      </c>
      <c r="J1383" s="1444">
        <v>0</v>
      </c>
      <c r="K1383" s="1476"/>
      <c r="L1383" s="1476"/>
      <c r="M1383" s="1476">
        <f t="shared" si="222"/>
        <v>0</v>
      </c>
      <c r="N1383" s="1476"/>
    </row>
    <row r="1384" spans="1:16" ht="16" outlineLevel="1" thickBot="1">
      <c r="A1384" s="1455">
        <f t="shared" ref="A1384:E1384" si="225">A1154</f>
        <v>31</v>
      </c>
      <c r="B1384" s="1455" t="str">
        <f t="shared" si="225"/>
        <v>Withdrawal of capex from Project (LD - Passenger Lifts)</v>
      </c>
      <c r="C1384" s="1475">
        <f t="shared" si="225"/>
        <v>0</v>
      </c>
      <c r="D1384" s="1473" t="str">
        <f t="shared" si="225"/>
        <v>-</v>
      </c>
      <c r="E1384" s="1476">
        <f t="shared" si="225"/>
        <v>0</v>
      </c>
      <c r="F1384" s="1444">
        <f t="shared" si="220"/>
        <v>0</v>
      </c>
      <c r="G1384" s="1444">
        <f t="shared" si="221"/>
        <v>-0.138988</v>
      </c>
      <c r="H1384" s="1476">
        <f t="shared" si="224"/>
        <v>0.138988</v>
      </c>
      <c r="I1384" s="1444">
        <v>0</v>
      </c>
      <c r="J1384" s="1444">
        <v>0</v>
      </c>
      <c r="K1384" s="1476"/>
      <c r="L1384" s="1476"/>
      <c r="M1384" s="1476">
        <f t="shared" si="222"/>
        <v>0</v>
      </c>
      <c r="N1384" s="1476"/>
    </row>
    <row r="1385" spans="1:16" ht="15.5" thickBot="1">
      <c r="A1385" s="1379"/>
      <c r="B1385" s="1484" t="str">
        <f>B1155</f>
        <v>Total</v>
      </c>
      <c r="C1385" s="1380"/>
      <c r="D1385" s="1381"/>
      <c r="E1385" s="1485"/>
      <c r="F1385" s="1485">
        <f>SUM(F1160:F1384)</f>
        <v>1718.4104532496597</v>
      </c>
      <c r="G1385" s="1485">
        <f t="shared" ref="G1385:N1385" si="226">SUM(G1160:G1384)</f>
        <v>1542.7396935786594</v>
      </c>
      <c r="H1385" s="1485">
        <f t="shared" si="226"/>
        <v>175.67075967100001</v>
      </c>
      <c r="I1385" s="1485">
        <f t="shared" si="226"/>
        <v>243</v>
      </c>
      <c r="J1385" s="1485">
        <f t="shared" si="226"/>
        <v>667.57999999999993</v>
      </c>
      <c r="K1385" s="1485">
        <f t="shared" si="226"/>
        <v>0</v>
      </c>
      <c r="L1385" s="1485">
        <f t="shared" si="226"/>
        <v>0</v>
      </c>
      <c r="M1385" s="1485">
        <f t="shared" si="226"/>
        <v>667.57999999999993</v>
      </c>
      <c r="N1385" s="1485">
        <f t="shared" si="226"/>
        <v>-249.09997832900001</v>
      </c>
    </row>
    <row r="1387" spans="1:16">
      <c r="A1387" s="1434"/>
      <c r="B1387" s="574" t="s">
        <v>1760</v>
      </c>
      <c r="C1387" s="1435"/>
      <c r="D1387" s="1436"/>
      <c r="E1387" s="318"/>
      <c r="F1387" s="318"/>
      <c r="G1387" s="318"/>
      <c r="H1387" s="318"/>
      <c r="I1387" s="318"/>
      <c r="J1387" s="318"/>
      <c r="K1387" s="318"/>
      <c r="L1387" s="318"/>
      <c r="M1387" s="318"/>
      <c r="N1387" s="318"/>
    </row>
    <row r="1388" spans="1:16" outlineLevel="1">
      <c r="A1388" s="131"/>
      <c r="B1388" s="1288" t="str">
        <f t="shared" ref="B1388:E1403" si="227">B1158</f>
        <v>a) DPR Schemes</v>
      </c>
      <c r="C1388" s="1435"/>
      <c r="D1388" s="1436"/>
      <c r="E1388" s="318"/>
      <c r="F1388" s="318"/>
      <c r="G1388" s="318"/>
      <c r="H1388" s="318"/>
      <c r="I1388" s="318"/>
      <c r="J1388" s="318"/>
      <c r="K1388" s="318"/>
      <c r="L1388" s="318"/>
      <c r="M1388" s="318"/>
      <c r="N1388" s="318"/>
    </row>
    <row r="1389" spans="1:16" outlineLevel="1">
      <c r="A1389" s="131"/>
      <c r="B1389" s="1437" t="str">
        <f t="shared" si="227"/>
        <v>(i) Submitted to MERC</v>
      </c>
      <c r="C1389" s="1438"/>
      <c r="D1389" s="1439"/>
      <c r="E1389" s="318"/>
      <c r="F1389" s="318"/>
      <c r="G1389" s="318"/>
      <c r="H1389" s="318"/>
      <c r="I1389" s="318"/>
      <c r="J1389" s="318"/>
      <c r="K1389" s="318"/>
      <c r="L1389" s="318"/>
      <c r="M1389" s="318"/>
      <c r="N1389" s="318"/>
    </row>
    <row r="1390" spans="1:16" ht="31" outlineLevel="1">
      <c r="A1390" s="1440">
        <f t="shared" ref="A1390:E1405" si="228">A1160</f>
        <v>7</v>
      </c>
      <c r="B1390" s="1441" t="str">
        <f t="shared" si="227"/>
        <v>Interconnection of 210 MW CHP to 500 MW CHP through Conveyors BC-02 &amp; BC-03 having capacity of 500 TPH</v>
      </c>
      <c r="C1390" s="1442" t="str">
        <f t="shared" si="227"/>
        <v>MERC/CAPEX/20162017/00227</v>
      </c>
      <c r="D1390" s="1443">
        <f t="shared" si="227"/>
        <v>42514</v>
      </c>
      <c r="E1390" s="1444">
        <f t="shared" si="227"/>
        <v>24</v>
      </c>
      <c r="F1390" s="1444">
        <f t="shared" ref="F1390:F1453" si="229">F1160+I1160</f>
        <v>0</v>
      </c>
      <c r="G1390" s="1444">
        <f t="shared" ref="G1390:G1453" si="230">G1160+M1160</f>
        <v>0</v>
      </c>
      <c r="H1390" s="1444">
        <f t="shared" ref="H1390:H1453" si="231">F1390-G1390</f>
        <v>0</v>
      </c>
      <c r="I1390" s="1444">
        <v>0</v>
      </c>
      <c r="J1390" s="1444">
        <v>0</v>
      </c>
      <c r="K1390" s="1444"/>
      <c r="L1390" s="1444"/>
      <c r="M1390" s="1444">
        <f t="shared" ref="M1390" si="232">SUM(J1390:L1390)</f>
        <v>0</v>
      </c>
      <c r="N1390" s="1444">
        <f t="shared" ref="N1390:N1453" si="233">H1390+I1390-M1390</f>
        <v>0</v>
      </c>
      <c r="O1390" s="1445">
        <f t="shared" ref="O1390:O1453" si="234">MAX(0,IF(M1390=0,0,IF(G1390+M1390&lt;E1390,M1390,E1390-G1390)))</f>
        <v>0</v>
      </c>
      <c r="P1390" s="1377">
        <f t="shared" ref="P1390:P1453" si="235">M1390-O1390</f>
        <v>0</v>
      </c>
    </row>
    <row r="1391" spans="1:16" ht="31" outlineLevel="1">
      <c r="A1391" s="1446">
        <f t="shared" si="228"/>
        <v>7.1</v>
      </c>
      <c r="B1391" s="1447" t="str">
        <f t="shared" si="227"/>
        <v>Interconnection of 210 MW CHP to 500 MW CHP through Conveyors BC-02 &amp; BC-03 having capacity of 500 TPH</v>
      </c>
      <c r="C1391" s="1472" t="str">
        <f t="shared" si="227"/>
        <v>MERC/CAPEX/20162017/00227</v>
      </c>
      <c r="D1391" s="1473">
        <f t="shared" si="227"/>
        <v>42514</v>
      </c>
      <c r="E1391" s="1474">
        <f t="shared" si="227"/>
        <v>22.73</v>
      </c>
      <c r="F1391" s="1444">
        <f t="shared" si="229"/>
        <v>19.106691754</v>
      </c>
      <c r="G1391" s="1444">
        <f t="shared" si="230"/>
        <v>19.106691754</v>
      </c>
      <c r="H1391" s="1474">
        <f t="shared" si="231"/>
        <v>0</v>
      </c>
      <c r="I1391" s="1444">
        <v>0</v>
      </c>
      <c r="J1391" s="1444">
        <v>0</v>
      </c>
      <c r="K1391" s="1474"/>
      <c r="L1391" s="1474"/>
      <c r="M1391" s="1474">
        <f t="shared" ref="M1391:M1454" si="236">SUM(J1391:L1391)</f>
        <v>0</v>
      </c>
      <c r="N1391" s="1474">
        <f t="shared" si="233"/>
        <v>0</v>
      </c>
      <c r="O1391" s="1445">
        <f t="shared" si="234"/>
        <v>0</v>
      </c>
      <c r="P1391" s="1377">
        <f t="shared" si="235"/>
        <v>0</v>
      </c>
    </row>
    <row r="1392" spans="1:16" ht="15.5" outlineLevel="1">
      <c r="A1392" s="1446">
        <f t="shared" si="228"/>
        <v>0</v>
      </c>
      <c r="B1392" s="1447" t="str">
        <f t="shared" si="227"/>
        <v>IDC</v>
      </c>
      <c r="C1392" s="1472" t="str">
        <f t="shared" si="227"/>
        <v>MERC/CAPEX/20162017/00227</v>
      </c>
      <c r="D1392" s="1473">
        <f t="shared" si="227"/>
        <v>42514</v>
      </c>
      <c r="E1392" s="1474">
        <f t="shared" si="227"/>
        <v>1.27</v>
      </c>
      <c r="F1392" s="1444">
        <f t="shared" si="229"/>
        <v>0</v>
      </c>
      <c r="G1392" s="1444">
        <f t="shared" si="230"/>
        <v>0</v>
      </c>
      <c r="H1392" s="1474">
        <f t="shared" si="231"/>
        <v>0</v>
      </c>
      <c r="I1392" s="1444">
        <v>0</v>
      </c>
      <c r="J1392" s="1444">
        <v>0</v>
      </c>
      <c r="K1392" s="1474"/>
      <c r="L1392" s="1474"/>
      <c r="M1392" s="1474">
        <f t="shared" si="236"/>
        <v>0</v>
      </c>
      <c r="N1392" s="1474">
        <f t="shared" si="233"/>
        <v>0</v>
      </c>
      <c r="O1392" s="1445">
        <f t="shared" si="234"/>
        <v>0</v>
      </c>
      <c r="P1392" s="1377">
        <f t="shared" si="235"/>
        <v>0</v>
      </c>
    </row>
    <row r="1393" spans="1:16" ht="31" outlineLevel="1">
      <c r="A1393" s="1440">
        <f t="shared" si="228"/>
        <v>8</v>
      </c>
      <c r="B1393" s="1441" t="str">
        <f t="shared" si="227"/>
        <v>Stack management by procurement of Bulldozer &amp; LOCO and CHP area schemes for performance &amp; unloading improvement</v>
      </c>
      <c r="C1393" s="1442" t="str">
        <f t="shared" si="227"/>
        <v>MERC/CAPEX/20162017/01426</v>
      </c>
      <c r="D1393" s="1443">
        <f t="shared" si="227"/>
        <v>42768</v>
      </c>
      <c r="E1393" s="1444">
        <f t="shared" si="227"/>
        <v>9.9669421487603316</v>
      </c>
      <c r="F1393" s="1444">
        <f t="shared" si="229"/>
        <v>0</v>
      </c>
      <c r="G1393" s="1444">
        <f t="shared" si="230"/>
        <v>0</v>
      </c>
      <c r="H1393" s="1444">
        <f t="shared" si="231"/>
        <v>0</v>
      </c>
      <c r="I1393" s="1444">
        <v>0</v>
      </c>
      <c r="J1393" s="1444">
        <v>0</v>
      </c>
      <c r="K1393" s="1444"/>
      <c r="L1393" s="1444"/>
      <c r="M1393" s="1444">
        <f t="shared" si="236"/>
        <v>0</v>
      </c>
      <c r="N1393" s="1444">
        <f t="shared" si="233"/>
        <v>0</v>
      </c>
      <c r="O1393" s="1445">
        <f t="shared" si="234"/>
        <v>0</v>
      </c>
      <c r="P1393" s="1377">
        <f t="shared" si="235"/>
        <v>0</v>
      </c>
    </row>
    <row r="1394" spans="1:16" ht="15.5" outlineLevel="1">
      <c r="A1394" s="1446">
        <f t="shared" si="228"/>
        <v>8.1</v>
      </c>
      <c r="B1394" s="1447" t="str">
        <f t="shared" si="227"/>
        <v>Procurement of Locomotive 800 HP (2 No.’s)</v>
      </c>
      <c r="C1394" s="1472" t="str">
        <f t="shared" si="227"/>
        <v>MERC/CAPEX/20162017/01426</v>
      </c>
      <c r="D1394" s="1473">
        <f t="shared" si="227"/>
        <v>42768</v>
      </c>
      <c r="E1394" s="1474">
        <f t="shared" si="227"/>
        <v>4.9504132231404956</v>
      </c>
      <c r="F1394" s="1444">
        <f t="shared" si="229"/>
        <v>4.8260800000000001</v>
      </c>
      <c r="G1394" s="1444">
        <f t="shared" si="230"/>
        <v>4.8260800000000001</v>
      </c>
      <c r="H1394" s="1474">
        <f t="shared" si="231"/>
        <v>0</v>
      </c>
      <c r="I1394" s="1444">
        <v>0</v>
      </c>
      <c r="J1394" s="1444">
        <v>0</v>
      </c>
      <c r="K1394" s="1474"/>
      <c r="L1394" s="1474"/>
      <c r="M1394" s="1474">
        <f t="shared" si="236"/>
        <v>0</v>
      </c>
      <c r="N1394" s="1474">
        <f t="shared" si="233"/>
        <v>0</v>
      </c>
      <c r="O1394" s="1445">
        <f t="shared" si="234"/>
        <v>0</v>
      </c>
      <c r="P1394" s="1377">
        <f t="shared" si="235"/>
        <v>0</v>
      </c>
    </row>
    <row r="1395" spans="1:16" ht="15.5" outlineLevel="1">
      <c r="A1395" s="1446">
        <f t="shared" si="228"/>
        <v>8.1999999999999993</v>
      </c>
      <c r="B1395" s="1447" t="str">
        <f t="shared" si="227"/>
        <v>Procurement of 2 No’s of Bulldozer Model D-155(2 No.’s)</v>
      </c>
      <c r="C1395" s="1472" t="str">
        <f t="shared" si="227"/>
        <v>MERC/CAPEX/20162017/01426</v>
      </c>
      <c r="D1395" s="1473">
        <f t="shared" si="227"/>
        <v>42768</v>
      </c>
      <c r="E1395" s="1474">
        <f t="shared" si="227"/>
        <v>2.5619834710743801</v>
      </c>
      <c r="F1395" s="1444">
        <f t="shared" si="229"/>
        <v>3.4747105785123966</v>
      </c>
      <c r="G1395" s="1444">
        <f t="shared" si="230"/>
        <v>3.4747105785123966</v>
      </c>
      <c r="H1395" s="1474">
        <f t="shared" si="231"/>
        <v>0</v>
      </c>
      <c r="I1395" s="1444">
        <v>0</v>
      </c>
      <c r="J1395" s="1444">
        <v>0</v>
      </c>
      <c r="K1395" s="1474"/>
      <c r="L1395" s="1474"/>
      <c r="M1395" s="1474">
        <f t="shared" si="236"/>
        <v>0</v>
      </c>
      <c r="N1395" s="1474">
        <f t="shared" si="233"/>
        <v>0</v>
      </c>
      <c r="O1395" s="1445">
        <f t="shared" si="234"/>
        <v>0</v>
      </c>
      <c r="P1395" s="1377">
        <f t="shared" si="235"/>
        <v>0</v>
      </c>
    </row>
    <row r="1396" spans="1:16" ht="15.5" outlineLevel="1">
      <c r="A1396" s="1446">
        <f t="shared" si="228"/>
        <v>8.3000000000000007</v>
      </c>
      <c r="B1396" s="1447" t="str">
        <f t="shared" si="227"/>
        <v>Modification below primary crusher chutes 15A/B &amp; Conv.02</v>
      </c>
      <c r="C1396" s="1472" t="str">
        <f t="shared" si="227"/>
        <v>MERC/CAPEX/20162017/01426</v>
      </c>
      <c r="D1396" s="1473">
        <f t="shared" si="227"/>
        <v>42768</v>
      </c>
      <c r="E1396" s="1474">
        <f t="shared" si="227"/>
        <v>0.42975206611570249</v>
      </c>
      <c r="F1396" s="1444">
        <f t="shared" si="229"/>
        <v>0.38033057851239671</v>
      </c>
      <c r="G1396" s="1444">
        <f t="shared" si="230"/>
        <v>0.38033057851239671</v>
      </c>
      <c r="H1396" s="1474">
        <f t="shared" si="231"/>
        <v>0</v>
      </c>
      <c r="I1396" s="1444">
        <v>0</v>
      </c>
      <c r="J1396" s="1444">
        <v>0</v>
      </c>
      <c r="K1396" s="1474"/>
      <c r="L1396" s="1474"/>
      <c r="M1396" s="1474">
        <f t="shared" si="236"/>
        <v>0</v>
      </c>
      <c r="N1396" s="1474">
        <f t="shared" si="233"/>
        <v>0</v>
      </c>
      <c r="O1396" s="1445">
        <f t="shared" si="234"/>
        <v>0</v>
      </c>
      <c r="P1396" s="1377">
        <f t="shared" si="235"/>
        <v>0</v>
      </c>
    </row>
    <row r="1397" spans="1:16" ht="15.5" outlineLevel="1">
      <c r="A1397" s="1446">
        <f t="shared" si="228"/>
        <v>8.4</v>
      </c>
      <c r="B1397" s="1447" t="str">
        <f t="shared" si="227"/>
        <v>New helical gear box for various conveyors</v>
      </c>
      <c r="C1397" s="1472" t="str">
        <f t="shared" si="227"/>
        <v>MERC/CAPEX/20162017/01426</v>
      </c>
      <c r="D1397" s="1473">
        <f t="shared" si="227"/>
        <v>42768</v>
      </c>
      <c r="E1397" s="1474">
        <f t="shared" si="227"/>
        <v>0.79338842975206614</v>
      </c>
      <c r="F1397" s="1444">
        <f t="shared" si="229"/>
        <v>0</v>
      </c>
      <c r="G1397" s="1444">
        <f t="shared" si="230"/>
        <v>0</v>
      </c>
      <c r="H1397" s="1474">
        <f t="shared" si="231"/>
        <v>0</v>
      </c>
      <c r="I1397" s="1444">
        <v>0</v>
      </c>
      <c r="J1397" s="1444">
        <v>0</v>
      </c>
      <c r="K1397" s="1474"/>
      <c r="L1397" s="1474"/>
      <c r="M1397" s="1474">
        <f t="shared" si="236"/>
        <v>0</v>
      </c>
      <c r="N1397" s="1474">
        <f t="shared" si="233"/>
        <v>0</v>
      </c>
      <c r="O1397" s="1445">
        <f t="shared" si="234"/>
        <v>0</v>
      </c>
      <c r="P1397" s="1377">
        <f t="shared" si="235"/>
        <v>0</v>
      </c>
    </row>
    <row r="1398" spans="1:16" ht="15.5" outlineLevel="1">
      <c r="A1398" s="1446">
        <f t="shared" si="228"/>
        <v>8.5</v>
      </c>
      <c r="B1398" s="1447" t="str">
        <f t="shared" si="227"/>
        <v xml:space="preserve">Procurement of Elecon Make Ring Granulator Type TK-09-38B </v>
      </c>
      <c r="C1398" s="1472" t="str">
        <f t="shared" si="227"/>
        <v>MERC/CAPEX/20162017/01426</v>
      </c>
      <c r="D1398" s="1473">
        <f t="shared" si="227"/>
        <v>42768</v>
      </c>
      <c r="E1398" s="1474">
        <f t="shared" si="227"/>
        <v>0.53719008264462809</v>
      </c>
      <c r="F1398" s="1444">
        <f t="shared" si="229"/>
        <v>0</v>
      </c>
      <c r="G1398" s="1444">
        <f t="shared" si="230"/>
        <v>0</v>
      </c>
      <c r="H1398" s="1474">
        <f t="shared" si="231"/>
        <v>0</v>
      </c>
      <c r="I1398" s="1444">
        <v>0</v>
      </c>
      <c r="J1398" s="1444">
        <v>0</v>
      </c>
      <c r="K1398" s="1474"/>
      <c r="L1398" s="1474"/>
      <c r="M1398" s="1474">
        <f t="shared" si="236"/>
        <v>0</v>
      </c>
      <c r="N1398" s="1474">
        <f t="shared" si="233"/>
        <v>0</v>
      </c>
      <c r="O1398" s="1445">
        <f t="shared" si="234"/>
        <v>0</v>
      </c>
      <c r="P1398" s="1377">
        <f t="shared" si="235"/>
        <v>0</v>
      </c>
    </row>
    <row r="1399" spans="1:16" ht="15.5" outlineLevel="1">
      <c r="A1399" s="1446">
        <f t="shared" si="228"/>
        <v>8.6</v>
      </c>
      <c r="B1399" s="1447" t="str">
        <f t="shared" si="227"/>
        <v>Procurement of Elecon Make Ring Granulator Type TK6 32B Ring Granulator</v>
      </c>
      <c r="C1399" s="1472" t="str">
        <f t="shared" si="227"/>
        <v>MERC/CAPEX/20162017/01426</v>
      </c>
      <c r="D1399" s="1473">
        <f t="shared" si="227"/>
        <v>42768</v>
      </c>
      <c r="E1399" s="1474">
        <f t="shared" si="227"/>
        <v>0.33884297520661155</v>
      </c>
      <c r="F1399" s="1444">
        <f t="shared" si="229"/>
        <v>0</v>
      </c>
      <c r="G1399" s="1444">
        <f t="shared" si="230"/>
        <v>0</v>
      </c>
      <c r="H1399" s="1474">
        <f t="shared" si="231"/>
        <v>0</v>
      </c>
      <c r="I1399" s="1444">
        <v>0</v>
      </c>
      <c r="J1399" s="1444">
        <v>0</v>
      </c>
      <c r="K1399" s="1474"/>
      <c r="L1399" s="1474"/>
      <c r="M1399" s="1474">
        <f t="shared" si="236"/>
        <v>0</v>
      </c>
      <c r="N1399" s="1474">
        <f t="shared" si="233"/>
        <v>0</v>
      </c>
      <c r="O1399" s="1445">
        <f t="shared" si="234"/>
        <v>0</v>
      </c>
      <c r="P1399" s="1377">
        <f t="shared" si="235"/>
        <v>0</v>
      </c>
    </row>
    <row r="1400" spans="1:16" ht="15.5" outlineLevel="1">
      <c r="A1400" s="1446">
        <f t="shared" si="228"/>
        <v>0</v>
      </c>
      <c r="B1400" s="1447" t="str">
        <f t="shared" si="227"/>
        <v>IDC</v>
      </c>
      <c r="C1400" s="1472" t="str">
        <f t="shared" si="227"/>
        <v>MERC/CAPEX/20162017/01426</v>
      </c>
      <c r="D1400" s="1473">
        <f t="shared" si="227"/>
        <v>42768</v>
      </c>
      <c r="E1400" s="1474">
        <f t="shared" si="227"/>
        <v>0.35537190082644626</v>
      </c>
      <c r="F1400" s="1444">
        <f t="shared" si="229"/>
        <v>0</v>
      </c>
      <c r="G1400" s="1444">
        <f t="shared" si="230"/>
        <v>0</v>
      </c>
      <c r="H1400" s="1474">
        <f t="shared" si="231"/>
        <v>0</v>
      </c>
      <c r="I1400" s="1444">
        <v>0</v>
      </c>
      <c r="J1400" s="1444">
        <v>0</v>
      </c>
      <c r="K1400" s="1474"/>
      <c r="L1400" s="1474"/>
      <c r="M1400" s="1474">
        <f t="shared" si="236"/>
        <v>0</v>
      </c>
      <c r="N1400" s="1474">
        <f t="shared" si="233"/>
        <v>0</v>
      </c>
      <c r="O1400" s="1445">
        <f t="shared" si="234"/>
        <v>0</v>
      </c>
      <c r="P1400" s="1377">
        <f t="shared" si="235"/>
        <v>0</v>
      </c>
    </row>
    <row r="1401" spans="1:16" ht="15.5" outlineLevel="1">
      <c r="A1401" s="1440">
        <f t="shared" si="228"/>
        <v>9</v>
      </c>
      <c r="B1401" s="1441" t="str">
        <f t="shared" si="227"/>
        <v>Construction of 1st raising of Ash bund from T.B.L. 258M to 264M at Bhusawal TPS</v>
      </c>
      <c r="C1401" s="1442" t="str">
        <f t="shared" si="227"/>
        <v>MERC/CAPEX/20172018/4267</v>
      </c>
      <c r="D1401" s="1443">
        <f t="shared" si="227"/>
        <v>43006</v>
      </c>
      <c r="E1401" s="1444">
        <f t="shared" si="227"/>
        <v>64.22</v>
      </c>
      <c r="F1401" s="1444">
        <f t="shared" si="229"/>
        <v>0</v>
      </c>
      <c r="G1401" s="1444">
        <f t="shared" si="230"/>
        <v>0</v>
      </c>
      <c r="H1401" s="1444">
        <f t="shared" si="231"/>
        <v>0</v>
      </c>
      <c r="I1401" s="1444">
        <v>0</v>
      </c>
      <c r="J1401" s="1444">
        <v>0</v>
      </c>
      <c r="K1401" s="1444"/>
      <c r="L1401" s="1444"/>
      <c r="M1401" s="1444">
        <f t="shared" si="236"/>
        <v>0</v>
      </c>
      <c r="N1401" s="1444">
        <f t="shared" si="233"/>
        <v>0</v>
      </c>
      <c r="O1401" s="1445">
        <f t="shared" si="234"/>
        <v>0</v>
      </c>
      <c r="P1401" s="1377">
        <f t="shared" si="235"/>
        <v>0</v>
      </c>
    </row>
    <row r="1402" spans="1:16" ht="31" outlineLevel="1">
      <c r="A1402" s="1446">
        <f t="shared" si="228"/>
        <v>9.1</v>
      </c>
      <c r="B1402" s="1447" t="str">
        <f t="shared" si="227"/>
        <v>Construction of 1st raising of Ash bund from T.B.L. 258M to 264M at Bhusawal TPS</v>
      </c>
      <c r="C1402" s="1472" t="str">
        <f t="shared" si="227"/>
        <v>MERC/CAPEX/20172018/4267</v>
      </c>
      <c r="D1402" s="1473">
        <f t="shared" si="227"/>
        <v>43006</v>
      </c>
      <c r="E1402" s="1474">
        <f t="shared" si="227"/>
        <v>64.22</v>
      </c>
      <c r="F1402" s="1444">
        <f t="shared" si="229"/>
        <v>64.498238246301369</v>
      </c>
      <c r="G1402" s="1444">
        <f t="shared" si="230"/>
        <v>64.498238246301369</v>
      </c>
      <c r="H1402" s="1474">
        <f t="shared" si="231"/>
        <v>0</v>
      </c>
      <c r="I1402" s="1444">
        <v>0</v>
      </c>
      <c r="J1402" s="1444">
        <v>0</v>
      </c>
      <c r="K1402" s="1474"/>
      <c r="L1402" s="1474"/>
      <c r="M1402" s="1474">
        <f t="shared" si="236"/>
        <v>0</v>
      </c>
      <c r="N1402" s="1474">
        <f t="shared" si="233"/>
        <v>0</v>
      </c>
      <c r="O1402" s="1445">
        <f t="shared" si="234"/>
        <v>0</v>
      </c>
      <c r="P1402" s="1377">
        <f t="shared" si="235"/>
        <v>0</v>
      </c>
    </row>
    <row r="1403" spans="1:16" ht="31" outlineLevel="1">
      <c r="A1403" s="1440">
        <f t="shared" si="228"/>
        <v>10</v>
      </c>
      <c r="B1403" s="1441" t="str">
        <f t="shared" si="227"/>
        <v>Augmentation of Ash Evacuation System &amp; Procurement of BCW Pump Motors at Bhusawal &amp; Khaperkheda TPS 500 MW Units</v>
      </c>
      <c r="C1403" s="1442" t="str">
        <f t="shared" si="227"/>
        <v>MERC/CAPEX/20172018/4782</v>
      </c>
      <c r="D1403" s="1443">
        <f t="shared" si="227"/>
        <v>43067</v>
      </c>
      <c r="E1403" s="1444">
        <f t="shared" si="227"/>
        <v>17.439999999999998</v>
      </c>
      <c r="F1403" s="1444">
        <f t="shared" si="229"/>
        <v>0</v>
      </c>
      <c r="G1403" s="1444">
        <f t="shared" si="230"/>
        <v>0</v>
      </c>
      <c r="H1403" s="1444">
        <f t="shared" si="231"/>
        <v>0</v>
      </c>
      <c r="I1403" s="1444">
        <v>0</v>
      </c>
      <c r="J1403" s="1444">
        <v>0</v>
      </c>
      <c r="K1403" s="1444"/>
      <c r="L1403" s="1444"/>
      <c r="M1403" s="1444">
        <f t="shared" si="236"/>
        <v>0</v>
      </c>
      <c r="N1403" s="1444">
        <f t="shared" si="233"/>
        <v>0</v>
      </c>
      <c r="O1403" s="1445">
        <f t="shared" si="234"/>
        <v>0</v>
      </c>
      <c r="P1403" s="1377">
        <f t="shared" si="235"/>
        <v>0</v>
      </c>
    </row>
    <row r="1404" spans="1:16" ht="15.5" outlineLevel="1">
      <c r="A1404" s="1446">
        <f t="shared" si="228"/>
        <v>10.1</v>
      </c>
      <c r="B1404" s="1447" t="str">
        <f t="shared" si="228"/>
        <v>Installation of standby Buffer Hopper parallel to existing pair of buffer hoppers</v>
      </c>
      <c r="C1404" s="1472" t="str">
        <f t="shared" si="228"/>
        <v>MERC/CAPEX/20172018/4782</v>
      </c>
      <c r="D1404" s="1473">
        <f t="shared" si="228"/>
        <v>43067</v>
      </c>
      <c r="E1404" s="1474">
        <f t="shared" si="228"/>
        <v>11.5</v>
      </c>
      <c r="F1404" s="1444">
        <f t="shared" si="229"/>
        <v>0</v>
      </c>
      <c r="G1404" s="1444">
        <f t="shared" si="230"/>
        <v>0</v>
      </c>
      <c r="H1404" s="1474">
        <f t="shared" si="231"/>
        <v>0</v>
      </c>
      <c r="I1404" s="1444">
        <v>0</v>
      </c>
      <c r="J1404" s="1444">
        <v>0</v>
      </c>
      <c r="K1404" s="1474"/>
      <c r="L1404" s="1474"/>
      <c r="M1404" s="1474">
        <f t="shared" si="236"/>
        <v>0</v>
      </c>
      <c r="N1404" s="1474">
        <f t="shared" si="233"/>
        <v>0</v>
      </c>
      <c r="O1404" s="1445">
        <f t="shared" si="234"/>
        <v>0</v>
      </c>
      <c r="P1404" s="1377">
        <f t="shared" si="235"/>
        <v>0</v>
      </c>
    </row>
    <row r="1405" spans="1:16" ht="31" outlineLevel="1">
      <c r="A1405" s="1446">
        <f t="shared" si="228"/>
        <v>10.199999999999999</v>
      </c>
      <c r="B1405" s="1447" t="str">
        <f t="shared" si="228"/>
        <v>Installation of additional vacuum pump for every two passes, near to intermediate hopper.</v>
      </c>
      <c r="C1405" s="1472" t="str">
        <f t="shared" si="228"/>
        <v>MERC/CAPEX/20172018/4782</v>
      </c>
      <c r="D1405" s="1473">
        <f t="shared" si="228"/>
        <v>43067</v>
      </c>
      <c r="E1405" s="1474">
        <f t="shared" si="228"/>
        <v>0.6</v>
      </c>
      <c r="F1405" s="1444">
        <f t="shared" si="229"/>
        <v>0</v>
      </c>
      <c r="G1405" s="1444">
        <f t="shared" si="230"/>
        <v>0</v>
      </c>
      <c r="H1405" s="1474">
        <f t="shared" si="231"/>
        <v>0</v>
      </c>
      <c r="I1405" s="1444">
        <v>0</v>
      </c>
      <c r="J1405" s="1444">
        <v>0</v>
      </c>
      <c r="K1405" s="1474"/>
      <c r="L1405" s="1474"/>
      <c r="M1405" s="1474">
        <f t="shared" si="236"/>
        <v>0</v>
      </c>
      <c r="N1405" s="1474">
        <f t="shared" si="233"/>
        <v>0</v>
      </c>
      <c r="O1405" s="1445">
        <f t="shared" si="234"/>
        <v>0</v>
      </c>
      <c r="P1405" s="1377">
        <f t="shared" si="235"/>
        <v>0</v>
      </c>
    </row>
    <row r="1406" spans="1:16" ht="62" outlineLevel="1">
      <c r="A1406" s="1446">
        <f t="shared" ref="A1406:E1421" si="237">A1176</f>
        <v>10.3</v>
      </c>
      <c r="B1406" s="1447" t="str">
        <f t="shared" si="237"/>
        <v>Procurement of 02 Nos of M/s Torishima, Japan make, 350 KW, 6.6KV, Boiler Circulating Water (BCW) Pump Motors (without pump casing) with 02 lots of recommended Electrical &amp; C&amp;I spares for Bhusawal and Khaparkheda TPS 500MW.</v>
      </c>
      <c r="C1406" s="1472" t="str">
        <f t="shared" si="237"/>
        <v>MERC/CAPEX/20172018/4782</v>
      </c>
      <c r="D1406" s="1473">
        <f t="shared" si="237"/>
        <v>43067</v>
      </c>
      <c r="E1406" s="1474">
        <f t="shared" si="237"/>
        <v>4.24</v>
      </c>
      <c r="F1406" s="1444">
        <f t="shared" si="229"/>
        <v>4.6696428000000001</v>
      </c>
      <c r="G1406" s="1444">
        <f t="shared" si="230"/>
        <v>4.6696428000000001</v>
      </c>
      <c r="H1406" s="1474">
        <f t="shared" si="231"/>
        <v>0</v>
      </c>
      <c r="I1406" s="1444">
        <v>0</v>
      </c>
      <c r="J1406" s="1444">
        <v>0</v>
      </c>
      <c r="K1406" s="1474"/>
      <c r="L1406" s="1474"/>
      <c r="M1406" s="1474">
        <f t="shared" si="236"/>
        <v>0</v>
      </c>
      <c r="N1406" s="1474">
        <f t="shared" si="233"/>
        <v>0</v>
      </c>
      <c r="O1406" s="1445">
        <f t="shared" si="234"/>
        <v>0</v>
      </c>
      <c r="P1406" s="1377">
        <f t="shared" si="235"/>
        <v>0</v>
      </c>
    </row>
    <row r="1407" spans="1:16" ht="31" outlineLevel="1">
      <c r="A1407" s="1446">
        <f t="shared" si="237"/>
        <v>10.4</v>
      </c>
      <c r="B1407" s="1447" t="str">
        <f t="shared" si="237"/>
        <v>Procurement of complete ACVF drive module comprising of 2 Nos. of Supply and 3 Nos. of  Inverter modules for GEHO pumps</v>
      </c>
      <c r="C1407" s="1472" t="str">
        <f t="shared" si="237"/>
        <v>MERC/CAPEX/20172018/4782</v>
      </c>
      <c r="D1407" s="1473">
        <f t="shared" si="237"/>
        <v>43067</v>
      </c>
      <c r="E1407" s="1474">
        <f t="shared" si="237"/>
        <v>0.95</v>
      </c>
      <c r="F1407" s="1444">
        <f t="shared" si="229"/>
        <v>0.92864275500000004</v>
      </c>
      <c r="G1407" s="1444">
        <f t="shared" si="230"/>
        <v>0.92864275500000004</v>
      </c>
      <c r="H1407" s="1474">
        <f t="shared" si="231"/>
        <v>0</v>
      </c>
      <c r="I1407" s="1444">
        <v>0</v>
      </c>
      <c r="J1407" s="1444">
        <v>0</v>
      </c>
      <c r="K1407" s="1474"/>
      <c r="L1407" s="1474"/>
      <c r="M1407" s="1474">
        <f t="shared" si="236"/>
        <v>0</v>
      </c>
      <c r="N1407" s="1474">
        <f t="shared" si="233"/>
        <v>0</v>
      </c>
      <c r="O1407" s="1445">
        <f t="shared" si="234"/>
        <v>0</v>
      </c>
      <c r="P1407" s="1377">
        <f t="shared" si="235"/>
        <v>0</v>
      </c>
    </row>
    <row r="1408" spans="1:16" ht="31" outlineLevel="1">
      <c r="A1408" s="1446">
        <f t="shared" si="237"/>
        <v>10.5</v>
      </c>
      <c r="B1408" s="1447" t="str">
        <f t="shared" si="237"/>
        <v>Supply, erection and commissioning of 24VDC, 100A Float &amp; Float cum Boost Battery Charger with 325Ah Battery Bank for CWPH at BTPS 2x500 MW.</v>
      </c>
      <c r="C1408" s="1472" t="str">
        <f t="shared" si="237"/>
        <v>MERC/CAPEX/20172018/4782</v>
      </c>
      <c r="D1408" s="1473">
        <f t="shared" si="237"/>
        <v>43067</v>
      </c>
      <c r="E1408" s="1474">
        <f t="shared" si="237"/>
        <v>0.15</v>
      </c>
      <c r="F1408" s="1444">
        <f t="shared" si="229"/>
        <v>0.157884</v>
      </c>
      <c r="G1408" s="1444">
        <f t="shared" si="230"/>
        <v>0.157884</v>
      </c>
      <c r="H1408" s="1474">
        <f t="shared" si="231"/>
        <v>0</v>
      </c>
      <c r="I1408" s="1444">
        <v>0</v>
      </c>
      <c r="J1408" s="1444">
        <v>0</v>
      </c>
      <c r="K1408" s="1474"/>
      <c r="L1408" s="1474"/>
      <c r="M1408" s="1474">
        <f t="shared" si="236"/>
        <v>0</v>
      </c>
      <c r="N1408" s="1474">
        <f t="shared" si="233"/>
        <v>0</v>
      </c>
      <c r="O1408" s="1445">
        <f t="shared" si="234"/>
        <v>0</v>
      </c>
      <c r="P1408" s="1377">
        <f t="shared" si="235"/>
        <v>0</v>
      </c>
    </row>
    <row r="1409" spans="1:16" ht="15.5" outlineLevel="1">
      <c r="A1409" s="1446">
        <f t="shared" si="237"/>
        <v>0</v>
      </c>
      <c r="B1409" s="1447" t="str">
        <f t="shared" si="237"/>
        <v xml:space="preserve">IDC </v>
      </c>
      <c r="C1409" s="1472" t="str">
        <f t="shared" si="237"/>
        <v>MERC/CAPEX/20172018/4782</v>
      </c>
      <c r="D1409" s="1473">
        <f t="shared" si="237"/>
        <v>43067</v>
      </c>
      <c r="E1409" s="1474">
        <f t="shared" si="237"/>
        <v>0</v>
      </c>
      <c r="F1409" s="1444">
        <f t="shared" si="229"/>
        <v>0</v>
      </c>
      <c r="G1409" s="1444">
        <f t="shared" si="230"/>
        <v>0</v>
      </c>
      <c r="H1409" s="1474">
        <f t="shared" si="231"/>
        <v>0</v>
      </c>
      <c r="I1409" s="1444">
        <v>0</v>
      </c>
      <c r="J1409" s="1444">
        <v>0</v>
      </c>
      <c r="K1409" s="1474"/>
      <c r="L1409" s="1474"/>
      <c r="M1409" s="1474">
        <f t="shared" si="236"/>
        <v>0</v>
      </c>
      <c r="N1409" s="1474">
        <f t="shared" si="233"/>
        <v>0</v>
      </c>
      <c r="O1409" s="1445">
        <f t="shared" si="234"/>
        <v>0</v>
      </c>
      <c r="P1409" s="1377">
        <f t="shared" si="235"/>
        <v>0</v>
      </c>
    </row>
    <row r="1410" spans="1:16" ht="15.5" outlineLevel="1">
      <c r="A1410" s="1440">
        <f t="shared" si="237"/>
        <v>11</v>
      </c>
      <c r="B1410" s="1441" t="str">
        <f t="shared" si="237"/>
        <v>Various schemes for renovation of colony at Bhusawal TPS</v>
      </c>
      <c r="C1410" s="1442" t="str">
        <f t="shared" si="237"/>
        <v>MERC/CAPEX/20172018/0221</v>
      </c>
      <c r="D1410" s="1443">
        <f t="shared" si="237"/>
        <v>43143</v>
      </c>
      <c r="E1410" s="1444">
        <f t="shared" si="237"/>
        <v>19.334125999999998</v>
      </c>
      <c r="F1410" s="1444">
        <f t="shared" si="229"/>
        <v>0</v>
      </c>
      <c r="G1410" s="1444">
        <f t="shared" si="230"/>
        <v>0</v>
      </c>
      <c r="H1410" s="1444">
        <f t="shared" si="231"/>
        <v>0</v>
      </c>
      <c r="I1410" s="1444">
        <v>0</v>
      </c>
      <c r="J1410" s="1444">
        <v>0</v>
      </c>
      <c r="K1410" s="1444"/>
      <c r="L1410" s="1444"/>
      <c r="M1410" s="1444">
        <f t="shared" si="236"/>
        <v>0</v>
      </c>
      <c r="N1410" s="1444">
        <f t="shared" si="233"/>
        <v>0</v>
      </c>
      <c r="O1410" s="1445">
        <f t="shared" si="234"/>
        <v>0</v>
      </c>
      <c r="P1410" s="1377">
        <f t="shared" si="235"/>
        <v>0</v>
      </c>
    </row>
    <row r="1411" spans="1:16" ht="15.5" outlineLevel="1">
      <c r="A1411" s="1446">
        <f t="shared" si="237"/>
        <v>11.1</v>
      </c>
      <c r="B1411" s="1447" t="str">
        <f t="shared" si="237"/>
        <v>Renovation of staff quarters &amp; related work at BTPS Deepnagar</v>
      </c>
      <c r="C1411" s="1472" t="str">
        <f t="shared" si="237"/>
        <v>MERC/CAPEX/20172018/0221</v>
      </c>
      <c r="D1411" s="1473">
        <f t="shared" si="237"/>
        <v>43143</v>
      </c>
      <c r="E1411" s="1474">
        <f t="shared" si="237"/>
        <v>7.0209999999999999</v>
      </c>
      <c r="F1411" s="1444">
        <f t="shared" si="229"/>
        <v>5.45837182</v>
      </c>
      <c r="G1411" s="1444">
        <f t="shared" si="230"/>
        <v>5.45837182</v>
      </c>
      <c r="H1411" s="1474">
        <f t="shared" si="231"/>
        <v>0</v>
      </c>
      <c r="I1411" s="1444">
        <v>0</v>
      </c>
      <c r="J1411" s="1444">
        <v>0</v>
      </c>
      <c r="K1411" s="1474"/>
      <c r="L1411" s="1474"/>
      <c r="M1411" s="1474">
        <f t="shared" si="236"/>
        <v>0</v>
      </c>
      <c r="N1411" s="1474">
        <f t="shared" si="233"/>
        <v>0</v>
      </c>
      <c r="O1411" s="1445">
        <f t="shared" si="234"/>
        <v>0</v>
      </c>
      <c r="P1411" s="1377">
        <f t="shared" si="235"/>
        <v>0</v>
      </c>
    </row>
    <row r="1412" spans="1:16" ht="15.5" outlineLevel="1">
      <c r="A1412" s="1446">
        <f t="shared" si="237"/>
        <v>11.2</v>
      </c>
      <c r="B1412" s="1447" t="str">
        <f t="shared" si="237"/>
        <v>Colony Internal Roads at BTPS, Deepnagar</v>
      </c>
      <c r="C1412" s="1472" t="str">
        <f t="shared" si="237"/>
        <v>MERC/CAPEX/20172018/0221</v>
      </c>
      <c r="D1412" s="1473">
        <f t="shared" si="237"/>
        <v>43143</v>
      </c>
      <c r="E1412" s="1474">
        <f t="shared" si="237"/>
        <v>3.85</v>
      </c>
      <c r="F1412" s="1444">
        <f t="shared" si="229"/>
        <v>3.2500731940000001</v>
      </c>
      <c r="G1412" s="1444">
        <f t="shared" si="230"/>
        <v>3.2514022229999999</v>
      </c>
      <c r="H1412" s="1474">
        <f t="shared" si="231"/>
        <v>-1.3290289999998706E-3</v>
      </c>
      <c r="I1412" s="1444">
        <v>0</v>
      </c>
      <c r="J1412" s="1444">
        <v>0</v>
      </c>
      <c r="K1412" s="1474"/>
      <c r="L1412" s="1474"/>
      <c r="M1412" s="1474">
        <f t="shared" si="236"/>
        <v>0</v>
      </c>
      <c r="N1412" s="1474">
        <f t="shared" si="233"/>
        <v>-1.3290289999998706E-3</v>
      </c>
      <c r="O1412" s="1445">
        <f t="shared" si="234"/>
        <v>0</v>
      </c>
      <c r="P1412" s="1377">
        <f t="shared" si="235"/>
        <v>0</v>
      </c>
    </row>
    <row r="1413" spans="1:16" ht="15.5" outlineLevel="1">
      <c r="A1413" s="1446">
        <f t="shared" si="237"/>
        <v>11.3</v>
      </c>
      <c r="B1413" s="1447" t="str">
        <f t="shared" si="237"/>
        <v>Water supply , sanitary &amp; drainage works at BTPS, Deepnagar</v>
      </c>
      <c r="C1413" s="1472" t="str">
        <f t="shared" si="237"/>
        <v>MERC/CAPEX/20172018/0221</v>
      </c>
      <c r="D1413" s="1473">
        <f t="shared" si="237"/>
        <v>43143</v>
      </c>
      <c r="E1413" s="1474">
        <f t="shared" si="237"/>
        <v>7.3</v>
      </c>
      <c r="F1413" s="1444">
        <f t="shared" si="229"/>
        <v>5.8360794</v>
      </c>
      <c r="G1413" s="1444">
        <f t="shared" si="230"/>
        <v>5.8108501159999992</v>
      </c>
      <c r="H1413" s="1474">
        <f t="shared" si="231"/>
        <v>2.5229284000000796E-2</v>
      </c>
      <c r="I1413" s="1444">
        <v>0</v>
      </c>
      <c r="J1413" s="1444">
        <v>0</v>
      </c>
      <c r="K1413" s="1474"/>
      <c r="L1413" s="1474"/>
      <c r="M1413" s="1474">
        <f t="shared" si="236"/>
        <v>0</v>
      </c>
      <c r="N1413" s="1474">
        <f t="shared" si="233"/>
        <v>2.5229284000000796E-2</v>
      </c>
      <c r="O1413" s="1445">
        <f t="shared" si="234"/>
        <v>0</v>
      </c>
      <c r="P1413" s="1377">
        <f t="shared" si="235"/>
        <v>0</v>
      </c>
    </row>
    <row r="1414" spans="1:16" ht="15.5" outlineLevel="1">
      <c r="A1414" s="1446">
        <f t="shared" si="237"/>
        <v>11.4</v>
      </c>
      <c r="B1414" s="1447" t="str">
        <f t="shared" si="237"/>
        <v>Plinth protection to existing buildings at BTPS, Deepnagar</v>
      </c>
      <c r="C1414" s="1472" t="str">
        <f t="shared" si="237"/>
        <v>MERC/CAPEX/20172018/0221</v>
      </c>
      <c r="D1414" s="1473">
        <f t="shared" si="237"/>
        <v>43143</v>
      </c>
      <c r="E1414" s="1474">
        <f t="shared" si="237"/>
        <v>1.1631259999999999</v>
      </c>
      <c r="F1414" s="1444">
        <f t="shared" si="229"/>
        <v>0.91823160000000004</v>
      </c>
      <c r="G1414" s="1444">
        <f t="shared" si="230"/>
        <v>0.91823162200000008</v>
      </c>
      <c r="H1414" s="1474">
        <f t="shared" si="231"/>
        <v>-2.2000000043931323E-8</v>
      </c>
      <c r="I1414" s="1444">
        <v>0</v>
      </c>
      <c r="J1414" s="1444">
        <v>0</v>
      </c>
      <c r="K1414" s="1474"/>
      <c r="L1414" s="1474"/>
      <c r="M1414" s="1474">
        <f t="shared" si="236"/>
        <v>0</v>
      </c>
      <c r="N1414" s="1474">
        <f t="shared" si="233"/>
        <v>-2.2000000043931323E-8</v>
      </c>
      <c r="O1414" s="1445">
        <f t="shared" si="234"/>
        <v>0</v>
      </c>
      <c r="P1414" s="1377">
        <f t="shared" si="235"/>
        <v>0</v>
      </c>
    </row>
    <row r="1415" spans="1:16" ht="31" outlineLevel="1">
      <c r="A1415" s="1440">
        <f t="shared" si="237"/>
        <v>12</v>
      </c>
      <c r="B1415" s="1441" t="str">
        <f t="shared" si="237"/>
        <v>Pipeline from River Water Pump House (RWPH) to aquaduct over Bhogawati River and Other allied power house road works under DPR scheme at BTPS, Bhusawal</v>
      </c>
      <c r="C1415" s="1442" t="str">
        <f t="shared" si="237"/>
        <v>MERC/CAPEX/2018-2019/0104</v>
      </c>
      <c r="D1415" s="1443">
        <f t="shared" si="237"/>
        <v>43559</v>
      </c>
      <c r="E1415" s="1444">
        <f t="shared" si="237"/>
        <v>13.1172</v>
      </c>
      <c r="F1415" s="1444">
        <f t="shared" si="229"/>
        <v>0</v>
      </c>
      <c r="G1415" s="1444">
        <f t="shared" si="230"/>
        <v>0</v>
      </c>
      <c r="H1415" s="1444">
        <f t="shared" si="231"/>
        <v>0</v>
      </c>
      <c r="I1415" s="1444">
        <v>0</v>
      </c>
      <c r="J1415" s="1444">
        <v>0</v>
      </c>
      <c r="K1415" s="1444"/>
      <c r="L1415" s="1444"/>
      <c r="M1415" s="1444">
        <f t="shared" si="236"/>
        <v>0</v>
      </c>
      <c r="N1415" s="1444">
        <f t="shared" si="233"/>
        <v>0</v>
      </c>
      <c r="O1415" s="1445">
        <f t="shared" si="234"/>
        <v>0</v>
      </c>
      <c r="P1415" s="1377">
        <f t="shared" si="235"/>
        <v>0</v>
      </c>
    </row>
    <row r="1416" spans="1:16" ht="46.5" outlineLevel="1">
      <c r="A1416" s="1448">
        <f t="shared" si="237"/>
        <v>12.1</v>
      </c>
      <c r="B1416" s="1449" t="str">
        <f t="shared" si="237"/>
        <v>Providing supplying laying, jointing, testing and commissioning of 1650 mm Ø ID 8 mm thick M.S. pipeline for raw water supply from RWPH to aquaduct over Bhogawati river at, BTPS, Bhusawal.</v>
      </c>
      <c r="C1416" s="1472" t="str">
        <f t="shared" si="237"/>
        <v>MERC/CAPEX/2018-2019/0104</v>
      </c>
      <c r="D1416" s="1473">
        <f t="shared" si="237"/>
        <v>43559</v>
      </c>
      <c r="E1416" s="1474">
        <f t="shared" si="237"/>
        <v>7.2569999999999997</v>
      </c>
      <c r="F1416" s="1444">
        <f t="shared" si="229"/>
        <v>0</v>
      </c>
      <c r="G1416" s="1444">
        <f t="shared" si="230"/>
        <v>0</v>
      </c>
      <c r="H1416" s="1474">
        <f t="shared" si="231"/>
        <v>0</v>
      </c>
      <c r="I1416" s="1444">
        <v>0</v>
      </c>
      <c r="J1416" s="1444">
        <v>0</v>
      </c>
      <c r="K1416" s="1474"/>
      <c r="L1416" s="1474"/>
      <c r="M1416" s="1474">
        <f t="shared" si="236"/>
        <v>0</v>
      </c>
      <c r="N1416" s="1474">
        <f t="shared" si="233"/>
        <v>0</v>
      </c>
      <c r="O1416" s="1445">
        <f t="shared" si="234"/>
        <v>0</v>
      </c>
      <c r="P1416" s="1377">
        <f t="shared" si="235"/>
        <v>0</v>
      </c>
    </row>
    <row r="1417" spans="1:16" ht="31" outlineLevel="1">
      <c r="A1417" s="1448">
        <f t="shared" si="237"/>
        <v>12.2</v>
      </c>
      <c r="B1417" s="1449" t="str">
        <f t="shared" si="237"/>
        <v>Construction of WBM and Bituminous road along inlet &amp; outlet canals and concreate road along periphery of Major store at BTPS, Bhusawal.</v>
      </c>
      <c r="C1417" s="1472" t="str">
        <f t="shared" si="237"/>
        <v>MERC/CAPEX/2018-2019/0104</v>
      </c>
      <c r="D1417" s="1473">
        <f t="shared" si="237"/>
        <v>43559</v>
      </c>
      <c r="E1417" s="1474">
        <f t="shared" si="237"/>
        <v>4.22</v>
      </c>
      <c r="F1417" s="1444">
        <f t="shared" si="229"/>
        <v>3.8304708600000001</v>
      </c>
      <c r="G1417" s="1444">
        <f t="shared" si="230"/>
        <v>3.8304708869999997</v>
      </c>
      <c r="H1417" s="1474">
        <f t="shared" si="231"/>
        <v>-2.6999999569454758E-8</v>
      </c>
      <c r="I1417" s="1444">
        <v>0</v>
      </c>
      <c r="J1417" s="1444">
        <v>0</v>
      </c>
      <c r="K1417" s="1474"/>
      <c r="L1417" s="1474"/>
      <c r="M1417" s="1474">
        <f t="shared" si="236"/>
        <v>0</v>
      </c>
      <c r="N1417" s="1474">
        <f t="shared" si="233"/>
        <v>-2.6999999569454758E-8</v>
      </c>
      <c r="O1417" s="1445">
        <f t="shared" si="234"/>
        <v>0</v>
      </c>
      <c r="P1417" s="1377">
        <f t="shared" si="235"/>
        <v>0</v>
      </c>
    </row>
    <row r="1418" spans="1:16" ht="31" outlineLevel="1">
      <c r="A1418" s="1446">
        <f t="shared" si="237"/>
        <v>12.3</v>
      </c>
      <c r="B1418" s="1447" t="str">
        <f t="shared" si="237"/>
        <v>Work of construction of self-supporting steel roofing system for a major store godown shed of span 25M at BTPS, Deepnagar.</v>
      </c>
      <c r="C1418" s="1472" t="str">
        <f t="shared" si="237"/>
        <v>MERC/CAPEX/2018-2019/0104</v>
      </c>
      <c r="D1418" s="1473">
        <f t="shared" si="237"/>
        <v>43559</v>
      </c>
      <c r="E1418" s="1474">
        <f t="shared" si="237"/>
        <v>1.6401999999999999</v>
      </c>
      <c r="F1418" s="1444">
        <f t="shared" si="229"/>
        <v>0.27</v>
      </c>
      <c r="G1418" s="1444">
        <f t="shared" si="230"/>
        <v>1.6376399460000002</v>
      </c>
      <c r="H1418" s="1474">
        <f t="shared" si="231"/>
        <v>-1.3676399460000002</v>
      </c>
      <c r="I1418" s="1444">
        <v>0</v>
      </c>
      <c r="J1418" s="1444">
        <v>0</v>
      </c>
      <c r="K1418" s="1474"/>
      <c r="L1418" s="1474"/>
      <c r="M1418" s="1474">
        <f t="shared" si="236"/>
        <v>0</v>
      </c>
      <c r="N1418" s="1474">
        <f t="shared" si="233"/>
        <v>-1.3676399460000002</v>
      </c>
      <c r="O1418" s="1445">
        <f t="shared" si="234"/>
        <v>0</v>
      </c>
      <c r="P1418" s="1377">
        <f t="shared" si="235"/>
        <v>0</v>
      </c>
    </row>
    <row r="1419" spans="1:16" ht="15.5" outlineLevel="1">
      <c r="A1419" s="1448">
        <f t="shared" si="237"/>
        <v>0</v>
      </c>
      <c r="B1419" s="1449" t="str">
        <f t="shared" si="237"/>
        <v>IDC</v>
      </c>
      <c r="C1419" s="1472" t="str">
        <f t="shared" si="237"/>
        <v>MERC/CAPEX/2018-2019/0104</v>
      </c>
      <c r="D1419" s="1473">
        <f t="shared" si="237"/>
        <v>43559</v>
      </c>
      <c r="E1419" s="1474">
        <f t="shared" si="237"/>
        <v>0</v>
      </c>
      <c r="F1419" s="1444">
        <f t="shared" si="229"/>
        <v>0.14917520000000001</v>
      </c>
      <c r="G1419" s="1444">
        <f t="shared" si="230"/>
        <v>0.14917520000000001</v>
      </c>
      <c r="H1419" s="1474">
        <f t="shared" si="231"/>
        <v>0</v>
      </c>
      <c r="I1419" s="1444">
        <v>0</v>
      </c>
      <c r="J1419" s="1444">
        <v>0</v>
      </c>
      <c r="K1419" s="1474"/>
      <c r="L1419" s="1474"/>
      <c r="M1419" s="1474">
        <f t="shared" si="236"/>
        <v>0</v>
      </c>
      <c r="N1419" s="1474">
        <f t="shared" si="233"/>
        <v>0</v>
      </c>
      <c r="O1419" s="1445">
        <f t="shared" si="234"/>
        <v>0</v>
      </c>
      <c r="P1419" s="1377">
        <f t="shared" si="235"/>
        <v>0</v>
      </c>
    </row>
    <row r="1420" spans="1:16" ht="46.5" outlineLevel="1">
      <c r="A1420" s="1440">
        <f t="shared" si="237"/>
        <v>13</v>
      </c>
      <c r="B1420" s="1441" t="str">
        <f t="shared" si="237"/>
        <v>Supply, erection, commissioning &amp; site testing of 220 V, 2035 AH, Station Battery Sets (4 Nos.) and 24 V, 2250 AH, SG/TG &amp; BOP Battery Sets (8 Nos.) for U# 4 &amp; 5 along with accessories at 2 x 500 MW BTPS, Bhusawal</v>
      </c>
      <c r="C1420" s="1442" t="str">
        <f t="shared" si="237"/>
        <v>MERC/CAPEX/2017-2018/1226</v>
      </c>
      <c r="D1420" s="1443">
        <f t="shared" si="237"/>
        <v>43322</v>
      </c>
      <c r="E1420" s="1444">
        <f t="shared" si="237"/>
        <v>11.59</v>
      </c>
      <c r="F1420" s="1444">
        <f t="shared" si="229"/>
        <v>0</v>
      </c>
      <c r="G1420" s="1444">
        <f t="shared" si="230"/>
        <v>0</v>
      </c>
      <c r="H1420" s="1444">
        <f t="shared" si="231"/>
        <v>0</v>
      </c>
      <c r="I1420" s="1444">
        <v>0</v>
      </c>
      <c r="J1420" s="1444">
        <v>0</v>
      </c>
      <c r="K1420" s="1444"/>
      <c r="L1420" s="1444"/>
      <c r="M1420" s="1444">
        <f t="shared" si="236"/>
        <v>0</v>
      </c>
      <c r="N1420" s="1444">
        <f t="shared" si="233"/>
        <v>0</v>
      </c>
      <c r="O1420" s="1445">
        <f t="shared" si="234"/>
        <v>0</v>
      </c>
      <c r="P1420" s="1377">
        <f t="shared" si="235"/>
        <v>0</v>
      </c>
    </row>
    <row r="1421" spans="1:16" ht="46.5" outlineLevel="1">
      <c r="A1421" s="1446">
        <f t="shared" si="237"/>
        <v>13.1</v>
      </c>
      <c r="B1421" s="1447" t="str">
        <f t="shared" si="237"/>
        <v>Supply, erection, commissioning &amp; site testing of 220V, 2035 AH Station Battery Sets (02 Nos.) and 24V, 2250AH, SG/TG &amp; BOP Battery Set (04 Nos.) along with accessories for Unit No.5 at BTPS 2x500MW.</v>
      </c>
      <c r="C1421" s="1472" t="str">
        <f t="shared" si="237"/>
        <v>MERC/CAPEX/2017-2018/1226</v>
      </c>
      <c r="D1421" s="1473">
        <f t="shared" si="237"/>
        <v>43322</v>
      </c>
      <c r="E1421" s="1474">
        <f t="shared" si="237"/>
        <v>5.7949999999999999</v>
      </c>
      <c r="F1421" s="1444">
        <f t="shared" si="229"/>
        <v>6.3739579500000003</v>
      </c>
      <c r="G1421" s="1444">
        <f t="shared" si="230"/>
        <v>6.3739579500000003</v>
      </c>
      <c r="H1421" s="1474">
        <f t="shared" si="231"/>
        <v>0</v>
      </c>
      <c r="I1421" s="1444">
        <v>0</v>
      </c>
      <c r="J1421" s="1444">
        <v>0</v>
      </c>
      <c r="K1421" s="1474"/>
      <c r="L1421" s="1474"/>
      <c r="M1421" s="1474">
        <f t="shared" si="236"/>
        <v>0</v>
      </c>
      <c r="N1421" s="1474">
        <f t="shared" si="233"/>
        <v>0</v>
      </c>
      <c r="O1421" s="1445">
        <f t="shared" si="234"/>
        <v>0</v>
      </c>
      <c r="P1421" s="1377">
        <f t="shared" si="235"/>
        <v>0</v>
      </c>
    </row>
    <row r="1422" spans="1:16" ht="46.5" outlineLevel="1">
      <c r="A1422" s="1446">
        <f t="shared" ref="A1422:E1437" si="238">A1192</f>
        <v>13.2</v>
      </c>
      <c r="B1422" s="1447" t="str">
        <f t="shared" si="238"/>
        <v>Supply, erection, commissioning &amp; site testing of 220V, 2035 AH Station Battery Sets (02 Nos.) and 24V, 2250AH, SG/TG &amp; BOP Battery Set (04 Nos.) along with accessories for Unit No.4 at BTPS 2x500MW.</v>
      </c>
      <c r="C1422" s="1472" t="str">
        <f t="shared" si="238"/>
        <v>MERC/CAPEX/2017-2018/1226</v>
      </c>
      <c r="D1422" s="1473">
        <f t="shared" si="238"/>
        <v>43322</v>
      </c>
      <c r="E1422" s="1474">
        <f t="shared" si="238"/>
        <v>5.7949999999999999</v>
      </c>
      <c r="F1422" s="1444">
        <f t="shared" si="229"/>
        <v>6.3227326000000001</v>
      </c>
      <c r="G1422" s="1444">
        <f t="shared" si="230"/>
        <v>6.3227326000000001</v>
      </c>
      <c r="H1422" s="1474">
        <f t="shared" si="231"/>
        <v>0</v>
      </c>
      <c r="I1422" s="1444">
        <v>0</v>
      </c>
      <c r="J1422" s="1444">
        <v>0</v>
      </c>
      <c r="K1422" s="1474"/>
      <c r="L1422" s="1474"/>
      <c r="M1422" s="1474">
        <f t="shared" si="236"/>
        <v>0</v>
      </c>
      <c r="N1422" s="1474">
        <f t="shared" si="233"/>
        <v>0</v>
      </c>
      <c r="O1422" s="1445">
        <f t="shared" si="234"/>
        <v>0</v>
      </c>
      <c r="P1422" s="1377">
        <f t="shared" si="235"/>
        <v>0</v>
      </c>
    </row>
    <row r="1423" spans="1:16" ht="31" outlineLevel="1">
      <c r="A1423" s="1440">
        <f t="shared" si="238"/>
        <v>15</v>
      </c>
      <c r="B1423" s="1441" t="str">
        <f t="shared" si="238"/>
        <v>Flue Gas Desulphurization (FGD) System for 500 MW Units (Total 8 Nos) of MSPGCL</v>
      </c>
      <c r="C1423" s="1442" t="str">
        <f t="shared" si="238"/>
        <v>MERC/CAPEX/2020-2021/WFH/SBR/45</v>
      </c>
      <c r="D1423" s="1443">
        <f t="shared" si="238"/>
        <v>44232</v>
      </c>
      <c r="E1423" s="1444">
        <f t="shared" si="238"/>
        <v>869.5</v>
      </c>
      <c r="F1423" s="1444">
        <f t="shared" si="229"/>
        <v>0</v>
      </c>
      <c r="G1423" s="1444">
        <f t="shared" si="230"/>
        <v>0</v>
      </c>
      <c r="H1423" s="1444">
        <f t="shared" si="231"/>
        <v>0</v>
      </c>
      <c r="I1423" s="1444">
        <v>0</v>
      </c>
      <c r="J1423" s="1444">
        <v>0</v>
      </c>
      <c r="K1423" s="1444"/>
      <c r="L1423" s="1444"/>
      <c r="M1423" s="1444">
        <f t="shared" si="236"/>
        <v>0</v>
      </c>
      <c r="N1423" s="1444">
        <f t="shared" si="233"/>
        <v>0</v>
      </c>
      <c r="O1423" s="1445">
        <f t="shared" si="234"/>
        <v>0</v>
      </c>
      <c r="P1423" s="1377">
        <f t="shared" si="235"/>
        <v>0</v>
      </c>
    </row>
    <row r="1424" spans="1:16" ht="15.5" outlineLevel="1">
      <c r="A1424" s="1450">
        <f t="shared" si="238"/>
        <v>15.1</v>
      </c>
      <c r="B1424" s="1451" t="str">
        <f t="shared" si="238"/>
        <v>Flue Gas Desulphurization (FGD) System for Bhusawal Unit 4-5</v>
      </c>
      <c r="C1424" s="1475" t="str">
        <f t="shared" si="238"/>
        <v>MERC/CAPEX/2020-2021/WFH/SBR/45</v>
      </c>
      <c r="D1424" s="1473">
        <f t="shared" si="238"/>
        <v>44232</v>
      </c>
      <c r="E1424" s="1476">
        <f t="shared" si="238"/>
        <v>830.4</v>
      </c>
      <c r="F1424" s="1444">
        <f t="shared" si="229"/>
        <v>849.16000000000008</v>
      </c>
      <c r="G1424" s="1444">
        <f t="shared" si="230"/>
        <v>1273.74</v>
      </c>
      <c r="H1424" s="1476">
        <f t="shared" si="231"/>
        <v>-424.57999999999993</v>
      </c>
      <c r="I1424" s="1444">
        <v>0</v>
      </c>
      <c r="J1424" s="1444">
        <v>0</v>
      </c>
      <c r="K1424" s="1476"/>
      <c r="L1424" s="1476"/>
      <c r="M1424" s="1476">
        <f t="shared" si="236"/>
        <v>0</v>
      </c>
      <c r="N1424" s="1476">
        <f t="shared" si="233"/>
        <v>-424.57999999999993</v>
      </c>
      <c r="O1424" s="1445">
        <f t="shared" si="234"/>
        <v>0</v>
      </c>
      <c r="P1424" s="1377">
        <f t="shared" si="235"/>
        <v>0</v>
      </c>
    </row>
    <row r="1425" spans="1:16" ht="15.5" outlineLevel="1">
      <c r="A1425" s="1450">
        <f t="shared" si="238"/>
        <v>0</v>
      </c>
      <c r="B1425" s="1452" t="str">
        <f t="shared" si="238"/>
        <v>IDC</v>
      </c>
      <c r="C1425" s="1475" t="str">
        <f t="shared" si="238"/>
        <v>MERC/CAPEX/2020-2021/WFH/SBR/45</v>
      </c>
      <c r="D1425" s="1473">
        <f t="shared" si="238"/>
        <v>44232</v>
      </c>
      <c r="E1425" s="1476">
        <f t="shared" si="238"/>
        <v>39.1</v>
      </c>
      <c r="F1425" s="1444">
        <f t="shared" si="229"/>
        <v>0</v>
      </c>
      <c r="G1425" s="1444">
        <f t="shared" si="230"/>
        <v>0</v>
      </c>
      <c r="H1425" s="1476">
        <f t="shared" si="231"/>
        <v>0</v>
      </c>
      <c r="I1425" s="1444">
        <v>0</v>
      </c>
      <c r="J1425" s="1444">
        <v>0</v>
      </c>
      <c r="K1425" s="1476"/>
      <c r="L1425" s="1476"/>
      <c r="M1425" s="1476">
        <f t="shared" si="236"/>
        <v>0</v>
      </c>
      <c r="N1425" s="1476">
        <f t="shared" si="233"/>
        <v>0</v>
      </c>
      <c r="O1425" s="1445">
        <f t="shared" si="234"/>
        <v>0</v>
      </c>
      <c r="P1425" s="1377">
        <f t="shared" si="235"/>
        <v>0</v>
      </c>
    </row>
    <row r="1426" spans="1:16" ht="31" outlineLevel="1">
      <c r="A1426" s="1440">
        <f t="shared" si="238"/>
        <v>16</v>
      </c>
      <c r="B1426" s="1441" t="str">
        <f t="shared" si="238"/>
        <v>Procurement of two BFP Cartridges &amp; one rotor of Turbine driven BFP &amp; at 500MW BTPS, Bhusawal</v>
      </c>
      <c r="C1426" s="1442" t="str">
        <f t="shared" si="238"/>
        <v>MERC/CAPEX/2020-2021/WFO/SBR/49</v>
      </c>
      <c r="D1426" s="1443">
        <f t="shared" si="238"/>
        <v>44263</v>
      </c>
      <c r="E1426" s="1444">
        <f t="shared" si="238"/>
        <v>10.520000000000001</v>
      </c>
      <c r="F1426" s="1444">
        <f t="shared" si="229"/>
        <v>0</v>
      </c>
      <c r="G1426" s="1444">
        <f t="shared" si="230"/>
        <v>0</v>
      </c>
      <c r="H1426" s="1444">
        <f t="shared" si="231"/>
        <v>0</v>
      </c>
      <c r="I1426" s="1444">
        <v>0</v>
      </c>
      <c r="J1426" s="1444">
        <v>0</v>
      </c>
      <c r="K1426" s="1444"/>
      <c r="L1426" s="1444"/>
      <c r="M1426" s="1444">
        <f t="shared" si="236"/>
        <v>0</v>
      </c>
      <c r="N1426" s="1444">
        <f t="shared" si="233"/>
        <v>0</v>
      </c>
      <c r="O1426" s="1445">
        <f t="shared" si="234"/>
        <v>0</v>
      </c>
      <c r="P1426" s="1377">
        <f t="shared" si="235"/>
        <v>0</v>
      </c>
    </row>
    <row r="1427" spans="1:16" ht="15.5" outlineLevel="1">
      <c r="A1427" s="1450">
        <f t="shared" si="238"/>
        <v>16.100000000000001</v>
      </c>
      <c r="B1427" s="1452" t="str">
        <f t="shared" si="238"/>
        <v>Procurement of two BFP Cartridges at 500MW BTPS, Bhusawal</v>
      </c>
      <c r="C1427" s="1475" t="str">
        <f t="shared" si="238"/>
        <v>MERC/CAPEX/2020-2021/WFO/SBR/49</v>
      </c>
      <c r="D1427" s="1473">
        <f t="shared" si="238"/>
        <v>44263</v>
      </c>
      <c r="E1427" s="1476">
        <f t="shared" si="238"/>
        <v>3.84</v>
      </c>
      <c r="F1427" s="1444">
        <f t="shared" si="229"/>
        <v>2.2399997760000003</v>
      </c>
      <c r="G1427" s="1444">
        <f t="shared" si="230"/>
        <v>2.2399997760000003</v>
      </c>
      <c r="H1427" s="1476">
        <f t="shared" si="231"/>
        <v>0</v>
      </c>
      <c r="I1427" s="1444">
        <v>0</v>
      </c>
      <c r="J1427" s="1444">
        <v>0</v>
      </c>
      <c r="K1427" s="1476"/>
      <c r="L1427" s="1476"/>
      <c r="M1427" s="1476">
        <f t="shared" si="236"/>
        <v>0</v>
      </c>
      <c r="N1427" s="1476">
        <f t="shared" si="233"/>
        <v>0</v>
      </c>
      <c r="O1427" s="1445">
        <f t="shared" si="234"/>
        <v>0</v>
      </c>
      <c r="P1427" s="1377">
        <f t="shared" si="235"/>
        <v>0</v>
      </c>
    </row>
    <row r="1428" spans="1:16" ht="15.5" outlineLevel="1">
      <c r="A1428" s="1450">
        <f t="shared" si="238"/>
        <v>16.2</v>
      </c>
      <c r="B1428" s="1452" t="str">
        <f t="shared" si="238"/>
        <v>Procurement of one rotor of Turbine driven BFP at 500MW BTPS, Bhusawal</v>
      </c>
      <c r="C1428" s="1475" t="str">
        <f t="shared" si="238"/>
        <v>MERC/CAPEX/2020-2021/WFO/SBR/49</v>
      </c>
      <c r="D1428" s="1473">
        <f t="shared" si="238"/>
        <v>44263</v>
      </c>
      <c r="E1428" s="1476">
        <f t="shared" si="238"/>
        <v>6.46</v>
      </c>
      <c r="F1428" s="1444">
        <f t="shared" si="229"/>
        <v>7.6135872999999998</v>
      </c>
      <c r="G1428" s="1444">
        <f t="shared" si="230"/>
        <v>7.6135872999999998</v>
      </c>
      <c r="H1428" s="1476">
        <f t="shared" si="231"/>
        <v>0</v>
      </c>
      <c r="I1428" s="1444">
        <v>0</v>
      </c>
      <c r="J1428" s="1444">
        <v>0</v>
      </c>
      <c r="K1428" s="1476"/>
      <c r="L1428" s="1476"/>
      <c r="M1428" s="1476">
        <f t="shared" si="236"/>
        <v>0</v>
      </c>
      <c r="N1428" s="1476">
        <f t="shared" si="233"/>
        <v>0</v>
      </c>
      <c r="O1428" s="1445">
        <f t="shared" si="234"/>
        <v>0</v>
      </c>
      <c r="P1428" s="1377">
        <f t="shared" si="235"/>
        <v>0</v>
      </c>
    </row>
    <row r="1429" spans="1:16" ht="15.5" outlineLevel="1">
      <c r="A1429" s="1450">
        <f t="shared" si="238"/>
        <v>0</v>
      </c>
      <c r="B1429" s="1452" t="str">
        <f t="shared" si="238"/>
        <v>IDC</v>
      </c>
      <c r="C1429" s="1475" t="str">
        <f t="shared" si="238"/>
        <v>MERC/CAPEX/2020-2021/WFO/SBR/49</v>
      </c>
      <c r="D1429" s="1473">
        <f t="shared" si="238"/>
        <v>44263</v>
      </c>
      <c r="E1429" s="1476">
        <f t="shared" si="238"/>
        <v>0.22</v>
      </c>
      <c r="F1429" s="1444">
        <f t="shared" si="229"/>
        <v>0</v>
      </c>
      <c r="G1429" s="1444">
        <f t="shared" si="230"/>
        <v>0</v>
      </c>
      <c r="H1429" s="1476">
        <f t="shared" si="231"/>
        <v>0</v>
      </c>
      <c r="I1429" s="1444">
        <v>0</v>
      </c>
      <c r="J1429" s="1444">
        <v>0</v>
      </c>
      <c r="K1429" s="1476"/>
      <c r="L1429" s="1476"/>
      <c r="M1429" s="1476">
        <f t="shared" si="236"/>
        <v>0</v>
      </c>
      <c r="N1429" s="1476">
        <f t="shared" si="233"/>
        <v>0</v>
      </c>
      <c r="O1429" s="1445">
        <f t="shared" si="234"/>
        <v>0</v>
      </c>
      <c r="P1429" s="1377">
        <f t="shared" si="235"/>
        <v>0</v>
      </c>
    </row>
    <row r="1430" spans="1:16" ht="31" outlineLevel="1">
      <c r="A1430" s="1440">
        <f t="shared" si="238"/>
        <v>17</v>
      </c>
      <c r="B1430" s="1441" t="str">
        <f t="shared" si="238"/>
        <v>CHP Improvement Schemes at 2X500MW, BTPS, Bhusawal</v>
      </c>
      <c r="C1430" s="1442" t="str">
        <f t="shared" si="238"/>
        <v>MERC/CAPEX/2020-2021/WFH/SBR/09</v>
      </c>
      <c r="D1430" s="1443">
        <f t="shared" si="238"/>
        <v>44357</v>
      </c>
      <c r="E1430" s="1444">
        <f t="shared" si="238"/>
        <v>21.22</v>
      </c>
      <c r="F1430" s="1444">
        <f t="shared" si="229"/>
        <v>0</v>
      </c>
      <c r="G1430" s="1444">
        <f t="shared" si="230"/>
        <v>0</v>
      </c>
      <c r="H1430" s="1444">
        <f t="shared" si="231"/>
        <v>0</v>
      </c>
      <c r="I1430" s="1444">
        <v>0</v>
      </c>
      <c r="J1430" s="1444">
        <v>0</v>
      </c>
      <c r="K1430" s="1444"/>
      <c r="L1430" s="1444"/>
      <c r="M1430" s="1444">
        <f t="shared" si="236"/>
        <v>0</v>
      </c>
      <c r="N1430" s="1444">
        <f t="shared" si="233"/>
        <v>0</v>
      </c>
      <c r="O1430" s="1445">
        <f t="shared" si="234"/>
        <v>0</v>
      </c>
      <c r="P1430" s="1377">
        <f t="shared" si="235"/>
        <v>0</v>
      </c>
    </row>
    <row r="1431" spans="1:16" ht="15.5" outlineLevel="1">
      <c r="A1431" s="1450">
        <f t="shared" si="238"/>
        <v>17.100000000000001</v>
      </c>
      <c r="B1431" s="1452" t="str">
        <f t="shared" si="238"/>
        <v>Revamping of Apron Feeder in CHP at 2X500MW, BTPS</v>
      </c>
      <c r="C1431" s="1475" t="str">
        <f t="shared" si="238"/>
        <v>MERC/CAPEX/2020-2021/WFH/SBR/09</v>
      </c>
      <c r="D1431" s="1473">
        <f t="shared" si="238"/>
        <v>44357</v>
      </c>
      <c r="E1431" s="1476">
        <f t="shared" si="238"/>
        <v>4.67</v>
      </c>
      <c r="F1431" s="1444">
        <f t="shared" si="229"/>
        <v>4.6492000000000004</v>
      </c>
      <c r="G1431" s="1444">
        <f t="shared" si="230"/>
        <v>4.6492000000000004</v>
      </c>
      <c r="H1431" s="1476">
        <f t="shared" si="231"/>
        <v>0</v>
      </c>
      <c r="I1431" s="1444">
        <v>0</v>
      </c>
      <c r="J1431" s="1444">
        <v>0</v>
      </c>
      <c r="K1431" s="1476"/>
      <c r="L1431" s="1476"/>
      <c r="M1431" s="1476">
        <f t="shared" si="236"/>
        <v>0</v>
      </c>
      <c r="N1431" s="1476">
        <f t="shared" si="233"/>
        <v>0</v>
      </c>
      <c r="O1431" s="1445">
        <f t="shared" si="234"/>
        <v>0</v>
      </c>
      <c r="P1431" s="1377">
        <f t="shared" si="235"/>
        <v>0</v>
      </c>
    </row>
    <row r="1432" spans="1:16" ht="31" outlineLevel="1">
      <c r="A1432" s="1450">
        <f t="shared" si="238"/>
        <v>17.2</v>
      </c>
      <c r="B1432" s="1452" t="str">
        <f t="shared" si="238"/>
        <v>Design, engineering, manufacturing, supply, Erection and commissioning of short conveyor from stack yard to belt feeder 112 in CHP 2x500MW BTPS.</v>
      </c>
      <c r="C1432" s="1475" t="str">
        <f t="shared" si="238"/>
        <v>MERC/CAPEX/2020-2021/WFH/SBR/09</v>
      </c>
      <c r="D1432" s="1473">
        <f t="shared" si="238"/>
        <v>44357</v>
      </c>
      <c r="E1432" s="1476">
        <f t="shared" si="238"/>
        <v>3.53</v>
      </c>
      <c r="F1432" s="1444">
        <f t="shared" si="229"/>
        <v>3.9647536259999998</v>
      </c>
      <c r="G1432" s="1444">
        <f t="shared" si="230"/>
        <v>3.9647536259999998</v>
      </c>
      <c r="H1432" s="1476">
        <f t="shared" si="231"/>
        <v>0</v>
      </c>
      <c r="I1432" s="1444">
        <v>0</v>
      </c>
      <c r="J1432" s="1444">
        <v>0</v>
      </c>
      <c r="K1432" s="1476"/>
      <c r="L1432" s="1476"/>
      <c r="M1432" s="1476">
        <f t="shared" si="236"/>
        <v>0</v>
      </c>
      <c r="N1432" s="1476">
        <f t="shared" si="233"/>
        <v>0</v>
      </c>
      <c r="O1432" s="1445">
        <f t="shared" si="234"/>
        <v>0</v>
      </c>
      <c r="P1432" s="1377">
        <f t="shared" si="235"/>
        <v>0</v>
      </c>
    </row>
    <row r="1433" spans="1:16" ht="31" outlineLevel="1">
      <c r="A1433" s="1450">
        <f t="shared" si="238"/>
        <v>17.3</v>
      </c>
      <c r="B1433" s="1452" t="str">
        <f t="shared" si="238"/>
        <v>Design, engineering, manufacturing, supply, Erection and commissioning of stone grappler at Wagon Tippler No.3 in CHP 2x500MW BTPS.</v>
      </c>
      <c r="C1433" s="1475" t="str">
        <f t="shared" si="238"/>
        <v>MERC/CAPEX/2020-2021/WFH/SBR/09</v>
      </c>
      <c r="D1433" s="1473">
        <f t="shared" si="238"/>
        <v>44357</v>
      </c>
      <c r="E1433" s="1476">
        <f t="shared" si="238"/>
        <v>0.84</v>
      </c>
      <c r="F1433" s="1444">
        <f t="shared" si="229"/>
        <v>0.84</v>
      </c>
      <c r="G1433" s="1444">
        <f t="shared" si="230"/>
        <v>0.84</v>
      </c>
      <c r="H1433" s="1476">
        <f t="shared" si="231"/>
        <v>0</v>
      </c>
      <c r="I1433" s="1444">
        <v>0</v>
      </c>
      <c r="J1433" s="1444">
        <v>0</v>
      </c>
      <c r="K1433" s="1476"/>
      <c r="L1433" s="1476"/>
      <c r="M1433" s="1476">
        <f t="shared" si="236"/>
        <v>0</v>
      </c>
      <c r="N1433" s="1476">
        <f t="shared" si="233"/>
        <v>0</v>
      </c>
      <c r="O1433" s="1445">
        <f t="shared" si="234"/>
        <v>0</v>
      </c>
      <c r="P1433" s="1377">
        <f t="shared" si="235"/>
        <v>0</v>
      </c>
    </row>
    <row r="1434" spans="1:16" ht="15.5" outlineLevel="1">
      <c r="A1434" s="1450">
        <f t="shared" si="238"/>
        <v>17.399999999999999</v>
      </c>
      <c r="B1434" s="1452" t="str">
        <f t="shared" si="238"/>
        <v>Procurement of suspended magnets in CHP 2x500MW BTPS.</v>
      </c>
      <c r="C1434" s="1475" t="str">
        <f t="shared" si="238"/>
        <v>MERC/CAPEX/2020-2021/WFH/SBR/09</v>
      </c>
      <c r="D1434" s="1473">
        <f t="shared" si="238"/>
        <v>44357</v>
      </c>
      <c r="E1434" s="1476">
        <f t="shared" si="238"/>
        <v>2.95</v>
      </c>
      <c r="F1434" s="1444">
        <f t="shared" si="229"/>
        <v>2.9470499999999999</v>
      </c>
      <c r="G1434" s="1444">
        <f t="shared" si="230"/>
        <v>2.9470499999999999</v>
      </c>
      <c r="H1434" s="1476">
        <f t="shared" si="231"/>
        <v>0</v>
      </c>
      <c r="I1434" s="1444">
        <v>0</v>
      </c>
      <c r="J1434" s="1444">
        <v>0</v>
      </c>
      <c r="K1434" s="1476"/>
      <c r="L1434" s="1476"/>
      <c r="M1434" s="1476">
        <f t="shared" si="236"/>
        <v>0</v>
      </c>
      <c r="N1434" s="1476">
        <f t="shared" si="233"/>
        <v>0</v>
      </c>
      <c r="O1434" s="1445">
        <f t="shared" si="234"/>
        <v>0</v>
      </c>
      <c r="P1434" s="1377">
        <f t="shared" si="235"/>
        <v>0</v>
      </c>
    </row>
    <row r="1435" spans="1:16" ht="31" outlineLevel="1">
      <c r="A1435" s="1450">
        <f t="shared" si="238"/>
        <v>17.5</v>
      </c>
      <c r="B1435" s="1452" t="str">
        <f t="shared" si="238"/>
        <v>Supply, Erection And Commissioning of Electro-Mechanical Drive to Apron Feeder at CHP 500MW</v>
      </c>
      <c r="C1435" s="1475" t="str">
        <f t="shared" si="238"/>
        <v>MERC/CAPEX/2020-2021/WFH/SBR/09</v>
      </c>
      <c r="D1435" s="1473">
        <f t="shared" si="238"/>
        <v>44357</v>
      </c>
      <c r="E1435" s="1476">
        <f t="shared" si="238"/>
        <v>7.57</v>
      </c>
      <c r="F1435" s="1444">
        <f t="shared" si="229"/>
        <v>7.57</v>
      </c>
      <c r="G1435" s="1444">
        <f t="shared" si="230"/>
        <v>0</v>
      </c>
      <c r="H1435" s="1476">
        <f t="shared" si="231"/>
        <v>7.57</v>
      </c>
      <c r="I1435" s="1444">
        <v>0</v>
      </c>
      <c r="J1435" s="1444">
        <v>0</v>
      </c>
      <c r="K1435" s="1476"/>
      <c r="L1435" s="1476"/>
      <c r="M1435" s="1476">
        <f t="shared" si="236"/>
        <v>0</v>
      </c>
      <c r="N1435" s="1476">
        <f t="shared" si="233"/>
        <v>7.57</v>
      </c>
      <c r="O1435" s="1445">
        <f t="shared" si="234"/>
        <v>0</v>
      </c>
      <c r="P1435" s="1377">
        <f t="shared" si="235"/>
        <v>0</v>
      </c>
    </row>
    <row r="1436" spans="1:16" ht="15.5" outlineLevel="1">
      <c r="A1436" s="1450">
        <f t="shared" si="238"/>
        <v>0</v>
      </c>
      <c r="B1436" s="1453" t="str">
        <f t="shared" si="238"/>
        <v>IDC</v>
      </c>
      <c r="C1436" s="1475" t="str">
        <f t="shared" si="238"/>
        <v>MERC/CAPEX/2020-2021/WFH/SBR/09</v>
      </c>
      <c r="D1436" s="1473">
        <f t="shared" si="238"/>
        <v>44357</v>
      </c>
      <c r="E1436" s="1476">
        <f t="shared" si="238"/>
        <v>1.66</v>
      </c>
      <c r="F1436" s="1444">
        <f t="shared" si="229"/>
        <v>6.7524100000000004E-2</v>
      </c>
      <c r="G1436" s="1444">
        <f t="shared" si="230"/>
        <v>6.7524100000000004E-2</v>
      </c>
      <c r="H1436" s="1476">
        <f t="shared" si="231"/>
        <v>0</v>
      </c>
      <c r="I1436" s="1444">
        <v>0</v>
      </c>
      <c r="J1436" s="1444">
        <v>0</v>
      </c>
      <c r="K1436" s="1476"/>
      <c r="L1436" s="1476"/>
      <c r="M1436" s="1476">
        <f t="shared" si="236"/>
        <v>0</v>
      </c>
      <c r="N1436" s="1476">
        <f t="shared" si="233"/>
        <v>0</v>
      </c>
      <c r="O1436" s="1445">
        <f t="shared" si="234"/>
        <v>0</v>
      </c>
      <c r="P1436" s="1377">
        <f t="shared" si="235"/>
        <v>0</v>
      </c>
    </row>
    <row r="1437" spans="1:16" ht="31" outlineLevel="1">
      <c r="A1437" s="1440" t="str">
        <f t="shared" si="238"/>
        <v>HO
DPR 6</v>
      </c>
      <c r="B1437" s="1441" t="str">
        <f t="shared" si="238"/>
        <v>Supply, Installation, Commissioning and Operation &amp; Maintenance Services of Continuous Ambient Air Quality Monitoring Stations (CAAQMS) at various TPS</v>
      </c>
      <c r="C1437" s="1442" t="str">
        <f t="shared" si="238"/>
        <v>MERC/CAPEX/20162017/00423</v>
      </c>
      <c r="D1437" s="1443">
        <f t="shared" si="238"/>
        <v>42585</v>
      </c>
      <c r="E1437" s="1444">
        <f t="shared" si="238"/>
        <v>3.9772580142857143</v>
      </c>
      <c r="F1437" s="1444">
        <f t="shared" si="229"/>
        <v>0</v>
      </c>
      <c r="G1437" s="1444">
        <f t="shared" si="230"/>
        <v>0</v>
      </c>
      <c r="H1437" s="1444">
        <f t="shared" si="231"/>
        <v>0</v>
      </c>
      <c r="I1437" s="1444">
        <v>0</v>
      </c>
      <c r="J1437" s="1444">
        <v>0</v>
      </c>
      <c r="K1437" s="1444"/>
      <c r="L1437" s="1444"/>
      <c r="M1437" s="1444">
        <f t="shared" si="236"/>
        <v>0</v>
      </c>
      <c r="N1437" s="1444">
        <f t="shared" si="233"/>
        <v>0</v>
      </c>
      <c r="O1437" s="1445">
        <f t="shared" si="234"/>
        <v>0</v>
      </c>
      <c r="P1437" s="1377">
        <f t="shared" si="235"/>
        <v>0</v>
      </c>
    </row>
    <row r="1438" spans="1:16" ht="15.5" outlineLevel="1">
      <c r="A1438" s="1450">
        <f t="shared" ref="A1438:E1453" si="239">A1208</f>
        <v>1</v>
      </c>
      <c r="B1438" s="1452" t="str">
        <f t="shared" si="239"/>
        <v>Bhusawal: Unit 4-5 (3 Nos.)</v>
      </c>
      <c r="C1438" s="1475" t="str">
        <f t="shared" si="239"/>
        <v>MERC/CAPEX/20162017/00423</v>
      </c>
      <c r="D1438" s="1473">
        <f t="shared" si="239"/>
        <v>42585</v>
      </c>
      <c r="E1438" s="1476">
        <f t="shared" si="239"/>
        <v>3.9772580142857143</v>
      </c>
      <c r="F1438" s="1444">
        <f t="shared" si="229"/>
        <v>1.9467999333333335</v>
      </c>
      <c r="G1438" s="1444">
        <f t="shared" si="230"/>
        <v>1.9457999143333333</v>
      </c>
      <c r="H1438" s="1476">
        <f t="shared" si="231"/>
        <v>1.0000190000001297E-3</v>
      </c>
      <c r="I1438" s="1444">
        <v>0</v>
      </c>
      <c r="J1438" s="1444">
        <v>0</v>
      </c>
      <c r="K1438" s="1476"/>
      <c r="L1438" s="1476"/>
      <c r="M1438" s="1476">
        <f t="shared" si="236"/>
        <v>0</v>
      </c>
      <c r="N1438" s="1476">
        <f t="shared" si="233"/>
        <v>1.0000190000001297E-3</v>
      </c>
      <c r="O1438" s="1445">
        <f t="shared" si="234"/>
        <v>0</v>
      </c>
      <c r="P1438" s="1377">
        <f t="shared" si="235"/>
        <v>0</v>
      </c>
    </row>
    <row r="1439" spans="1:16" ht="31" outlineLevel="1">
      <c r="A1439" s="1440" t="str">
        <f t="shared" si="239"/>
        <v>HO
DPR 7</v>
      </c>
      <c r="B1439" s="1441" t="str">
        <f t="shared" si="239"/>
        <v>Installation of Real Time Online Coal-Ash Analyzer at various TPS</v>
      </c>
      <c r="C1439" s="1442" t="str">
        <f t="shared" si="239"/>
        <v>MERC/CAPEX/20162017/00774</v>
      </c>
      <c r="D1439" s="1443">
        <f t="shared" si="239"/>
        <v>42643</v>
      </c>
      <c r="E1439" s="1444">
        <f t="shared" si="239"/>
        <v>4.0552000000000001</v>
      </c>
      <c r="F1439" s="1444">
        <f t="shared" si="229"/>
        <v>0</v>
      </c>
      <c r="G1439" s="1444">
        <f t="shared" si="230"/>
        <v>0</v>
      </c>
      <c r="H1439" s="1444">
        <f t="shared" si="231"/>
        <v>0</v>
      </c>
      <c r="I1439" s="1444">
        <v>0</v>
      </c>
      <c r="J1439" s="1444">
        <v>0</v>
      </c>
      <c r="K1439" s="1444"/>
      <c r="L1439" s="1444"/>
      <c r="M1439" s="1444">
        <f t="shared" si="236"/>
        <v>0</v>
      </c>
      <c r="N1439" s="1444">
        <f t="shared" si="233"/>
        <v>0</v>
      </c>
      <c r="O1439" s="1445">
        <f t="shared" si="234"/>
        <v>0</v>
      </c>
      <c r="P1439" s="1377">
        <f t="shared" si="235"/>
        <v>0</v>
      </c>
    </row>
    <row r="1440" spans="1:16" ht="15.5" outlineLevel="1">
      <c r="A1440" s="1450">
        <f t="shared" si="239"/>
        <v>1</v>
      </c>
      <c r="B1440" s="1452" t="str">
        <f t="shared" si="239"/>
        <v>Bhusawal: Unit 4-5</v>
      </c>
      <c r="C1440" s="1475" t="str">
        <f t="shared" si="239"/>
        <v>MERC/CAPEX/20162017/00774</v>
      </c>
      <c r="D1440" s="1473">
        <f t="shared" si="239"/>
        <v>42643</v>
      </c>
      <c r="E1440" s="1476">
        <f t="shared" si="239"/>
        <v>4.0552000000000001</v>
      </c>
      <c r="F1440" s="1444">
        <f t="shared" si="229"/>
        <v>0</v>
      </c>
      <c r="G1440" s="1444">
        <f t="shared" si="230"/>
        <v>0</v>
      </c>
      <c r="H1440" s="1476">
        <f t="shared" si="231"/>
        <v>0</v>
      </c>
      <c r="I1440" s="1444">
        <v>0</v>
      </c>
      <c r="J1440" s="1444">
        <v>0</v>
      </c>
      <c r="K1440" s="1476"/>
      <c r="L1440" s="1476"/>
      <c r="M1440" s="1476">
        <f t="shared" si="236"/>
        <v>0</v>
      </c>
      <c r="N1440" s="1476">
        <f t="shared" si="233"/>
        <v>0</v>
      </c>
      <c r="O1440" s="1445">
        <f t="shared" si="234"/>
        <v>0</v>
      </c>
      <c r="P1440" s="1377">
        <f t="shared" si="235"/>
        <v>0</v>
      </c>
    </row>
    <row r="1441" spans="1:16" ht="31" outlineLevel="1">
      <c r="A1441" s="1440" t="str">
        <f t="shared" si="239"/>
        <v>HO
DPR 8</v>
      </c>
      <c r="B1441" s="1441" t="str">
        <f t="shared" si="239"/>
        <v>Replacement of Fire Tenders at Various Power Stations of Mahagenco</v>
      </c>
      <c r="C1441" s="1442" t="str">
        <f t="shared" si="239"/>
        <v>MERC/CAPEX/20172018/4653</v>
      </c>
      <c r="D1441" s="1443">
        <f t="shared" si="239"/>
        <v>43052</v>
      </c>
      <c r="E1441" s="1444">
        <f t="shared" si="239"/>
        <v>3.95</v>
      </c>
      <c r="F1441" s="1444">
        <f t="shared" si="229"/>
        <v>0</v>
      </c>
      <c r="G1441" s="1444">
        <f t="shared" si="230"/>
        <v>0</v>
      </c>
      <c r="H1441" s="1444">
        <f t="shared" si="231"/>
        <v>0</v>
      </c>
      <c r="I1441" s="1444">
        <v>0</v>
      </c>
      <c r="J1441" s="1444">
        <v>0</v>
      </c>
      <c r="K1441" s="1444"/>
      <c r="L1441" s="1444"/>
      <c r="M1441" s="1444">
        <f t="shared" si="236"/>
        <v>0</v>
      </c>
      <c r="N1441" s="1444">
        <f t="shared" si="233"/>
        <v>0</v>
      </c>
      <c r="O1441" s="1445">
        <f t="shared" si="234"/>
        <v>0</v>
      </c>
      <c r="P1441" s="1377">
        <f t="shared" si="235"/>
        <v>0</v>
      </c>
    </row>
    <row r="1442" spans="1:16" ht="15.5" outlineLevel="1">
      <c r="A1442" s="1450">
        <f t="shared" si="239"/>
        <v>1</v>
      </c>
      <c r="B1442" s="1452" t="str">
        <f t="shared" si="239"/>
        <v>Advance Multipurpose Fire Tender for BTPS 4-5</v>
      </c>
      <c r="C1442" s="1477" t="str">
        <f t="shared" si="239"/>
        <v>MERC/CAPEX/20172018/4653</v>
      </c>
      <c r="D1442" s="1473">
        <f t="shared" si="239"/>
        <v>43052</v>
      </c>
      <c r="E1442" s="1476">
        <f t="shared" si="239"/>
        <v>1.45</v>
      </c>
      <c r="F1442" s="1444">
        <f t="shared" si="229"/>
        <v>1.7765</v>
      </c>
      <c r="G1442" s="1444">
        <f t="shared" si="230"/>
        <v>1.7765</v>
      </c>
      <c r="H1442" s="1476">
        <f t="shared" si="231"/>
        <v>0</v>
      </c>
      <c r="I1442" s="1444">
        <v>0</v>
      </c>
      <c r="J1442" s="1444">
        <v>0</v>
      </c>
      <c r="K1442" s="1476"/>
      <c r="L1442" s="1476"/>
      <c r="M1442" s="1476">
        <f t="shared" si="236"/>
        <v>0</v>
      </c>
      <c r="N1442" s="1476">
        <f t="shared" si="233"/>
        <v>0</v>
      </c>
      <c r="O1442" s="1445">
        <f t="shared" si="234"/>
        <v>0</v>
      </c>
      <c r="P1442" s="1377">
        <f t="shared" si="235"/>
        <v>0</v>
      </c>
    </row>
    <row r="1443" spans="1:16" ht="15.5" outlineLevel="1">
      <c r="A1443" s="1450">
        <f t="shared" si="239"/>
        <v>2</v>
      </c>
      <c r="B1443" s="1452" t="str">
        <f t="shared" si="239"/>
        <v>Normal Multipurpose Fire Tender for BTPS 4-5</v>
      </c>
      <c r="C1443" s="1477" t="str">
        <f t="shared" si="239"/>
        <v>MERC/CAPEX/20172018/4653</v>
      </c>
      <c r="D1443" s="1473">
        <f t="shared" si="239"/>
        <v>43052</v>
      </c>
      <c r="E1443" s="1476">
        <f t="shared" si="239"/>
        <v>2.5</v>
      </c>
      <c r="F1443" s="1444">
        <f t="shared" si="229"/>
        <v>2.1846524010000001</v>
      </c>
      <c r="G1443" s="1444">
        <f t="shared" si="230"/>
        <v>2.1846524010000001</v>
      </c>
      <c r="H1443" s="1476">
        <f t="shared" si="231"/>
        <v>0</v>
      </c>
      <c r="I1443" s="1444">
        <v>0</v>
      </c>
      <c r="J1443" s="1444">
        <v>0</v>
      </c>
      <c r="K1443" s="1476"/>
      <c r="L1443" s="1476"/>
      <c r="M1443" s="1476">
        <f t="shared" si="236"/>
        <v>0</v>
      </c>
      <c r="N1443" s="1476">
        <f t="shared" si="233"/>
        <v>0</v>
      </c>
      <c r="O1443" s="1445">
        <f t="shared" si="234"/>
        <v>0</v>
      </c>
      <c r="P1443" s="1377">
        <f t="shared" si="235"/>
        <v>0</v>
      </c>
    </row>
    <row r="1444" spans="1:16" ht="15.5" outlineLevel="1">
      <c r="A1444" s="1450">
        <f t="shared" si="239"/>
        <v>0</v>
      </c>
      <c r="B1444" s="1452" t="str">
        <f t="shared" si="239"/>
        <v>IDC</v>
      </c>
      <c r="C1444" s="1477" t="str">
        <f t="shared" si="239"/>
        <v>MERC/CAPEX/20172018/4653</v>
      </c>
      <c r="D1444" s="1473">
        <f t="shared" si="239"/>
        <v>43052</v>
      </c>
      <c r="E1444" s="1476">
        <f t="shared" si="239"/>
        <v>0</v>
      </c>
      <c r="F1444" s="1444">
        <f t="shared" si="229"/>
        <v>0</v>
      </c>
      <c r="G1444" s="1444">
        <f t="shared" si="230"/>
        <v>0</v>
      </c>
      <c r="H1444" s="1476">
        <f t="shared" si="231"/>
        <v>0</v>
      </c>
      <c r="I1444" s="1444">
        <v>0</v>
      </c>
      <c r="J1444" s="1444">
        <v>0</v>
      </c>
      <c r="K1444" s="1476"/>
      <c r="L1444" s="1476"/>
      <c r="M1444" s="1476">
        <f t="shared" si="236"/>
        <v>0</v>
      </c>
      <c r="N1444" s="1476">
        <f t="shared" si="233"/>
        <v>0</v>
      </c>
      <c r="O1444" s="1445">
        <f t="shared" si="234"/>
        <v>0</v>
      </c>
      <c r="P1444" s="1377">
        <f t="shared" si="235"/>
        <v>0</v>
      </c>
    </row>
    <row r="1445" spans="1:16" ht="31" outlineLevel="1">
      <c r="A1445" s="1440" t="str">
        <f t="shared" si="239"/>
        <v>HO
DPR 10</v>
      </c>
      <c r="B1445" s="1441" t="str">
        <f t="shared" si="239"/>
        <v>Implementation of IB recommendations- Civil works at various TPS of Mahagenco</v>
      </c>
      <c r="C1445" s="1442" t="str">
        <f t="shared" si="239"/>
        <v>MERC/CAPEX/20172018/0177</v>
      </c>
      <c r="D1445" s="1443">
        <f t="shared" si="239"/>
        <v>43137</v>
      </c>
      <c r="E1445" s="1444">
        <f t="shared" si="239"/>
        <v>10.065399999999999</v>
      </c>
      <c r="F1445" s="1444">
        <f t="shared" si="229"/>
        <v>0</v>
      </c>
      <c r="G1445" s="1444">
        <f t="shared" si="230"/>
        <v>0</v>
      </c>
      <c r="H1445" s="1444">
        <f t="shared" si="231"/>
        <v>0</v>
      </c>
      <c r="I1445" s="1444">
        <v>0</v>
      </c>
      <c r="J1445" s="1444">
        <v>0</v>
      </c>
      <c r="K1445" s="1444"/>
      <c r="L1445" s="1444"/>
      <c r="M1445" s="1444">
        <f t="shared" si="236"/>
        <v>0</v>
      </c>
      <c r="N1445" s="1444">
        <f t="shared" si="233"/>
        <v>0</v>
      </c>
      <c r="O1445" s="1445">
        <f t="shared" si="234"/>
        <v>0</v>
      </c>
      <c r="P1445" s="1377">
        <f t="shared" si="235"/>
        <v>0</v>
      </c>
    </row>
    <row r="1446" spans="1:16" ht="15.5" outlineLevel="1">
      <c r="A1446" s="1450">
        <f t="shared" si="239"/>
        <v>1</v>
      </c>
      <c r="B1446" s="1452" t="str">
        <f t="shared" si="239"/>
        <v>Bhusawal: Unit 4-5</v>
      </c>
      <c r="C1446" s="1478" t="str">
        <f t="shared" si="239"/>
        <v>MERC/CAPEX/20172018/0177</v>
      </c>
      <c r="D1446" s="1473">
        <f t="shared" si="239"/>
        <v>43137</v>
      </c>
      <c r="E1446" s="1476">
        <f t="shared" si="239"/>
        <v>10.065399999999999</v>
      </c>
      <c r="F1446" s="1444">
        <f t="shared" si="229"/>
        <v>9.1854371740000005</v>
      </c>
      <c r="G1446" s="1444">
        <f t="shared" si="230"/>
        <v>9.1836757359999996</v>
      </c>
      <c r="H1446" s="1476">
        <f t="shared" si="231"/>
        <v>1.7614380000008367E-3</v>
      </c>
      <c r="I1446" s="1444">
        <v>0</v>
      </c>
      <c r="J1446" s="1444">
        <v>0</v>
      </c>
      <c r="K1446" s="1476"/>
      <c r="L1446" s="1476"/>
      <c r="M1446" s="1476">
        <f t="shared" si="236"/>
        <v>0</v>
      </c>
      <c r="N1446" s="1476">
        <f t="shared" si="233"/>
        <v>1.7614380000008367E-3</v>
      </c>
      <c r="O1446" s="1445">
        <f t="shared" si="234"/>
        <v>0</v>
      </c>
      <c r="P1446" s="1377">
        <f t="shared" si="235"/>
        <v>0</v>
      </c>
    </row>
    <row r="1447" spans="1:16" ht="46.5" outlineLevel="1">
      <c r="A1447" s="1440">
        <f t="shared" si="239"/>
        <v>18</v>
      </c>
      <c r="B1447" s="1441" t="str">
        <f t="shared" si="239"/>
        <v>Procurement of assembly of baskets for Air Pre-heater of type 31.5 VIM 2000 (72° PA), Replacement of thermal insulation of Boiler, Ducts &amp; Steam Pipelines and Coal Mill Gear Box in 2x500MW at BTPS, Bhusawal</v>
      </c>
      <c r="C1447" s="1442" t="str">
        <f t="shared" si="239"/>
        <v>MERC/CAPEX/2021-2022/ SBR/ 15</v>
      </c>
      <c r="D1447" s="1443">
        <f t="shared" si="239"/>
        <v>44461</v>
      </c>
      <c r="E1447" s="1444">
        <f t="shared" si="239"/>
        <v>14.96</v>
      </c>
      <c r="F1447" s="1444">
        <f t="shared" si="229"/>
        <v>0</v>
      </c>
      <c r="G1447" s="1444">
        <f t="shared" si="230"/>
        <v>0</v>
      </c>
      <c r="H1447" s="1444">
        <f t="shared" si="231"/>
        <v>0</v>
      </c>
      <c r="I1447" s="1444">
        <v>0</v>
      </c>
      <c r="J1447" s="1444">
        <v>0</v>
      </c>
      <c r="K1447" s="1444"/>
      <c r="L1447" s="1444"/>
      <c r="M1447" s="1444">
        <f t="shared" si="236"/>
        <v>0</v>
      </c>
      <c r="N1447" s="1444">
        <f t="shared" si="233"/>
        <v>0</v>
      </c>
      <c r="O1447" s="1445">
        <f t="shared" si="234"/>
        <v>0</v>
      </c>
      <c r="P1447" s="1377">
        <f t="shared" si="235"/>
        <v>0</v>
      </c>
    </row>
    <row r="1448" spans="1:16" ht="31" outlineLevel="1">
      <c r="A1448" s="1314">
        <f t="shared" si="239"/>
        <v>18.100000000000001</v>
      </c>
      <c r="B1448" s="1447" t="str">
        <f t="shared" si="239"/>
        <v>Procurement of assembly of baskets for Air Preheater of type 31.5 VIM 2000 (72° PA) for Unit-4&amp;5</v>
      </c>
      <c r="C1448" s="1378" t="str">
        <f t="shared" si="239"/>
        <v>MERC/CAPEX/2021-2022/ SBR/ 15</v>
      </c>
      <c r="D1448" s="1473">
        <f t="shared" si="239"/>
        <v>44461</v>
      </c>
      <c r="E1448" s="305">
        <f t="shared" si="239"/>
        <v>5.53</v>
      </c>
      <c r="F1448" s="1444">
        <f t="shared" si="229"/>
        <v>8.4110399999999998</v>
      </c>
      <c r="G1448" s="1444">
        <f t="shared" si="230"/>
        <v>8.4110399999999998</v>
      </c>
      <c r="H1448" s="305">
        <f t="shared" si="231"/>
        <v>0</v>
      </c>
      <c r="I1448" s="1444">
        <v>0</v>
      </c>
      <c r="J1448" s="1444">
        <v>0</v>
      </c>
      <c r="K1448" s="305"/>
      <c r="L1448" s="305"/>
      <c r="M1448" s="305">
        <f t="shared" si="236"/>
        <v>0</v>
      </c>
      <c r="N1448" s="305">
        <f t="shared" si="233"/>
        <v>0</v>
      </c>
      <c r="O1448" s="1445">
        <f t="shared" si="234"/>
        <v>0</v>
      </c>
      <c r="P1448" s="1377">
        <f t="shared" si="235"/>
        <v>0</v>
      </c>
    </row>
    <row r="1449" spans="1:16" ht="31" outlineLevel="1">
      <c r="A1449" s="1450">
        <f t="shared" si="239"/>
        <v>18.2</v>
      </c>
      <c r="B1449" s="1452" t="str">
        <f t="shared" si="239"/>
        <v>Replacement of thermal insulation of Boiler, Ducts &amp; Steam Pipelines along with supply</v>
      </c>
      <c r="C1449" s="1378" t="str">
        <f t="shared" si="239"/>
        <v>MERC/CAPEX/2021-2022/ SBR/ 15</v>
      </c>
      <c r="D1449" s="1473">
        <f t="shared" si="239"/>
        <v>44461</v>
      </c>
      <c r="E1449" s="305">
        <f t="shared" si="239"/>
        <v>3.52</v>
      </c>
      <c r="F1449" s="1444">
        <f t="shared" si="229"/>
        <v>3.52</v>
      </c>
      <c r="G1449" s="1444">
        <f t="shared" si="230"/>
        <v>2</v>
      </c>
      <c r="H1449" s="305">
        <f t="shared" si="231"/>
        <v>1.52</v>
      </c>
      <c r="I1449" s="1444">
        <v>0</v>
      </c>
      <c r="J1449" s="1444">
        <v>0</v>
      </c>
      <c r="K1449" s="305"/>
      <c r="L1449" s="305"/>
      <c r="M1449" s="305">
        <f t="shared" si="236"/>
        <v>0</v>
      </c>
      <c r="N1449" s="305">
        <f t="shared" si="233"/>
        <v>1.52</v>
      </c>
      <c r="O1449" s="1445">
        <f t="shared" si="234"/>
        <v>0</v>
      </c>
      <c r="P1449" s="1377">
        <f t="shared" si="235"/>
        <v>0</v>
      </c>
    </row>
    <row r="1450" spans="1:16" ht="15.5" outlineLevel="1">
      <c r="A1450" s="1450">
        <f t="shared" si="239"/>
        <v>18.3</v>
      </c>
      <c r="B1450" s="1452" t="str">
        <f t="shared" si="239"/>
        <v>Supply of XRP-1043 coal mill gearbox spares in unit-4&amp;5.</v>
      </c>
      <c r="C1450" s="1378" t="str">
        <f t="shared" si="239"/>
        <v>MERC/CAPEX/2021-2022/ SBR/ 15</v>
      </c>
      <c r="D1450" s="1473">
        <f t="shared" si="239"/>
        <v>44461</v>
      </c>
      <c r="E1450" s="305">
        <f t="shared" si="239"/>
        <v>5.39</v>
      </c>
      <c r="F1450" s="1444">
        <f t="shared" si="229"/>
        <v>3.7043508740000002</v>
      </c>
      <c r="G1450" s="1444">
        <f t="shared" si="230"/>
        <v>3.7043509000000001</v>
      </c>
      <c r="H1450" s="305">
        <f t="shared" si="231"/>
        <v>-2.5999999930803597E-8</v>
      </c>
      <c r="I1450" s="1444">
        <v>0</v>
      </c>
      <c r="J1450" s="1444">
        <v>0</v>
      </c>
      <c r="K1450" s="305"/>
      <c r="L1450" s="305"/>
      <c r="M1450" s="305">
        <f t="shared" si="236"/>
        <v>0</v>
      </c>
      <c r="N1450" s="305">
        <f t="shared" si="233"/>
        <v>-2.5999999930803597E-8</v>
      </c>
      <c r="O1450" s="1445">
        <f t="shared" si="234"/>
        <v>0</v>
      </c>
      <c r="P1450" s="1377">
        <f t="shared" si="235"/>
        <v>0</v>
      </c>
    </row>
    <row r="1451" spans="1:16" ht="15.5" outlineLevel="1">
      <c r="A1451" s="1314">
        <f t="shared" si="239"/>
        <v>0</v>
      </c>
      <c r="B1451" s="1452" t="str">
        <f t="shared" si="239"/>
        <v>IDC</v>
      </c>
      <c r="C1451" s="1378" t="str">
        <f t="shared" si="239"/>
        <v>MERC/CAPEX/2021-2022/ SBR/ 15</v>
      </c>
      <c r="D1451" s="1473">
        <f t="shared" si="239"/>
        <v>44461</v>
      </c>
      <c r="E1451" s="305">
        <f t="shared" si="239"/>
        <v>0.52</v>
      </c>
      <c r="F1451" s="1444">
        <f t="shared" si="229"/>
        <v>0</v>
      </c>
      <c r="G1451" s="1444">
        <f t="shared" si="230"/>
        <v>0</v>
      </c>
      <c r="H1451" s="305">
        <f t="shared" si="231"/>
        <v>0</v>
      </c>
      <c r="I1451" s="1444">
        <v>0</v>
      </c>
      <c r="J1451" s="1444">
        <v>0</v>
      </c>
      <c r="K1451" s="305"/>
      <c r="L1451" s="305"/>
      <c r="M1451" s="305">
        <f t="shared" si="236"/>
        <v>0</v>
      </c>
      <c r="N1451" s="305">
        <f t="shared" si="233"/>
        <v>0</v>
      </c>
      <c r="O1451" s="1445">
        <f t="shared" si="234"/>
        <v>0</v>
      </c>
      <c r="P1451" s="1377">
        <f t="shared" si="235"/>
        <v>0</v>
      </c>
    </row>
    <row r="1452" spans="1:16" ht="46.5" outlineLevel="1">
      <c r="A1452" s="1440">
        <f t="shared" si="239"/>
        <v>19</v>
      </c>
      <c r="B1452" s="1441" t="str">
        <f t="shared" si="239"/>
        <v>Up-gradation of Operating System of Max DNA DCS, GE Fanuc PLC system &amp; Schneider PLC system &amp; Procurement of Critical Insurance spares for PA and FD fans System at 2 x 500 MW Units BTPS Bhusawal</v>
      </c>
      <c r="C1452" s="1442" t="str">
        <f t="shared" si="239"/>
        <v>MERC/CAPEX/2023-2024/0178</v>
      </c>
      <c r="D1452" s="1443">
        <f t="shared" si="239"/>
        <v>45362</v>
      </c>
      <c r="E1452" s="1444">
        <f t="shared" si="239"/>
        <v>31.049999999999997</v>
      </c>
      <c r="F1452" s="1444">
        <f t="shared" si="229"/>
        <v>0</v>
      </c>
      <c r="G1452" s="1444">
        <f t="shared" si="230"/>
        <v>0</v>
      </c>
      <c r="H1452" s="1444">
        <f t="shared" si="231"/>
        <v>0</v>
      </c>
      <c r="I1452" s="1444">
        <v>0</v>
      </c>
      <c r="J1452" s="1444">
        <v>0</v>
      </c>
      <c r="K1452" s="1444"/>
      <c r="L1452" s="1444"/>
      <c r="M1452" s="1444">
        <f t="shared" si="236"/>
        <v>0</v>
      </c>
      <c r="N1452" s="1444">
        <f t="shared" si="233"/>
        <v>0</v>
      </c>
      <c r="O1452" s="1445">
        <f t="shared" si="234"/>
        <v>0</v>
      </c>
      <c r="P1452" s="1377">
        <f t="shared" si="235"/>
        <v>0</v>
      </c>
    </row>
    <row r="1453" spans="1:16" ht="15.5" outlineLevel="1">
      <c r="A1453" s="1450">
        <f t="shared" si="239"/>
        <v>19.100000000000001</v>
      </c>
      <c r="B1453" s="1452" t="str">
        <f t="shared" si="239"/>
        <v>Up-gradation of Existing MaxDNA System (HMI) at 500MW BTPS, Bhusawal</v>
      </c>
      <c r="C1453" s="1378" t="str">
        <f t="shared" si="239"/>
        <v>MERC/CAPEX/2023-2024/0178</v>
      </c>
      <c r="D1453" s="1473">
        <f t="shared" si="239"/>
        <v>45362</v>
      </c>
      <c r="E1453" s="305">
        <f t="shared" si="239"/>
        <v>8.69</v>
      </c>
      <c r="F1453" s="1444">
        <f t="shared" si="229"/>
        <v>8.69</v>
      </c>
      <c r="G1453" s="1444">
        <f t="shared" si="230"/>
        <v>8.69</v>
      </c>
      <c r="H1453" s="305">
        <f t="shared" si="231"/>
        <v>0</v>
      </c>
      <c r="I1453" s="1444">
        <v>0</v>
      </c>
      <c r="J1453" s="1444">
        <v>0</v>
      </c>
      <c r="K1453" s="305"/>
      <c r="L1453" s="305"/>
      <c r="M1453" s="305">
        <f t="shared" si="236"/>
        <v>0</v>
      </c>
      <c r="N1453" s="305">
        <f t="shared" si="233"/>
        <v>0</v>
      </c>
      <c r="O1453" s="1445">
        <f t="shared" si="234"/>
        <v>0</v>
      </c>
      <c r="P1453" s="1377">
        <f t="shared" si="235"/>
        <v>0</v>
      </c>
    </row>
    <row r="1454" spans="1:16" ht="31" outlineLevel="1">
      <c r="A1454" s="1450">
        <f t="shared" ref="A1454:E1469" si="240">A1224</f>
        <v>19.2</v>
      </c>
      <c r="B1454" s="1452" t="str">
        <f t="shared" si="240"/>
        <v>Up-gradation of GE IP (GE-Fanuc) make PLC system (HMI) installed at AHP, CPU plant, FOPH, FWPH and Mill Reject system at 2x500MW BTPS, Bhusawal.</v>
      </c>
      <c r="C1454" s="1378" t="str">
        <f t="shared" si="240"/>
        <v>MERC/CAPEX/2023-2024/0178</v>
      </c>
      <c r="D1454" s="1473">
        <f t="shared" si="240"/>
        <v>45362</v>
      </c>
      <c r="E1454" s="305">
        <f t="shared" si="240"/>
        <v>1.35</v>
      </c>
      <c r="F1454" s="1444">
        <f t="shared" ref="F1454:F1517" si="241">F1224+I1224</f>
        <v>1.2948010000000001</v>
      </c>
      <c r="G1454" s="1444">
        <f t="shared" ref="G1454:G1517" si="242">G1224+M1224</f>
        <v>1.3538010199999999</v>
      </c>
      <c r="H1454" s="305">
        <f t="shared" ref="H1454:H1517" si="243">F1454-G1454</f>
        <v>-5.900001999999982E-2</v>
      </c>
      <c r="I1454" s="1444">
        <v>0</v>
      </c>
      <c r="J1454" s="1444">
        <v>0</v>
      </c>
      <c r="K1454" s="305"/>
      <c r="L1454" s="305"/>
      <c r="M1454" s="305">
        <f t="shared" si="236"/>
        <v>0</v>
      </c>
      <c r="N1454" s="305">
        <f t="shared" ref="N1454:N1517" si="244">H1454+I1454-M1454</f>
        <v>-5.900001999999982E-2</v>
      </c>
      <c r="O1454" s="1445">
        <f t="shared" ref="O1454:O1464" si="245">MAX(0,IF(M1454=0,0,IF(G1454+M1454&lt;E1454,M1454,E1454-G1454)))</f>
        <v>0</v>
      </c>
      <c r="P1454" s="1377">
        <f t="shared" ref="P1454:P1464" si="246">M1454-O1454</f>
        <v>0</v>
      </c>
    </row>
    <row r="1455" spans="1:16" ht="15.5" outlineLevel="1">
      <c r="A1455" s="1450">
        <f t="shared" si="240"/>
        <v>19.3</v>
      </c>
      <c r="B1455" s="1452" t="str">
        <f t="shared" si="240"/>
        <v>Up-gradation of Schneider PLC System at 2x500MW, BTPS, Bhusawal</v>
      </c>
      <c r="C1455" s="1442" t="str">
        <f t="shared" si="240"/>
        <v>MERC/CAPEX/2023-2024/0178</v>
      </c>
      <c r="D1455" s="1443">
        <f t="shared" si="240"/>
        <v>45362</v>
      </c>
      <c r="E1455" s="1444">
        <f t="shared" si="240"/>
        <v>2.33</v>
      </c>
      <c r="F1455" s="1444">
        <f t="shared" si="241"/>
        <v>2.3093444879999998</v>
      </c>
      <c r="G1455" s="1444">
        <f t="shared" si="242"/>
        <v>2.3093444879999998</v>
      </c>
      <c r="H1455" s="1444">
        <f t="shared" si="243"/>
        <v>0</v>
      </c>
      <c r="I1455" s="1444">
        <v>0</v>
      </c>
      <c r="J1455" s="1444">
        <v>0</v>
      </c>
      <c r="K1455" s="1444"/>
      <c r="L1455" s="1444"/>
      <c r="M1455" s="1444">
        <f t="shared" ref="M1455:M1464" si="247">SUM(J1455:L1455)</f>
        <v>0</v>
      </c>
      <c r="N1455" s="1444">
        <f t="shared" si="244"/>
        <v>0</v>
      </c>
      <c r="O1455" s="1445">
        <f t="shared" si="245"/>
        <v>0</v>
      </c>
      <c r="P1455" s="1377">
        <f t="shared" si="246"/>
        <v>0</v>
      </c>
    </row>
    <row r="1456" spans="1:16" ht="31" outlineLevel="1">
      <c r="A1456" s="1450">
        <f t="shared" si="240"/>
        <v>19.399999999999999</v>
      </c>
      <c r="B1456" s="1452" t="str">
        <f t="shared" si="240"/>
        <v>Procurement of Rotor assembly with blade set for PA and FD fan at 2 X 500 MW BTPS Bhusawal</v>
      </c>
      <c r="C1456" s="1475" t="str">
        <f t="shared" si="240"/>
        <v>MERC/CAPEX/2023-2024/0178</v>
      </c>
      <c r="D1456" s="1473">
        <f t="shared" si="240"/>
        <v>45362</v>
      </c>
      <c r="E1456" s="1476">
        <f t="shared" si="240"/>
        <v>18.18</v>
      </c>
      <c r="F1456" s="1444">
        <f t="shared" si="241"/>
        <v>16.16</v>
      </c>
      <c r="G1456" s="1444">
        <f t="shared" si="242"/>
        <v>16.16</v>
      </c>
      <c r="H1456" s="1476">
        <f t="shared" si="243"/>
        <v>0</v>
      </c>
      <c r="I1456" s="1444">
        <v>0</v>
      </c>
      <c r="J1456" s="1444">
        <v>0</v>
      </c>
      <c r="K1456" s="1476"/>
      <c r="L1456" s="1476"/>
      <c r="M1456" s="1476">
        <f t="shared" si="247"/>
        <v>0</v>
      </c>
      <c r="N1456" s="1476">
        <f t="shared" si="244"/>
        <v>0</v>
      </c>
      <c r="O1456" s="1445">
        <f t="shared" si="245"/>
        <v>0</v>
      </c>
      <c r="P1456" s="1377">
        <f t="shared" si="246"/>
        <v>0</v>
      </c>
    </row>
    <row r="1457" spans="1:16" ht="15.5" outlineLevel="1">
      <c r="A1457" s="1314">
        <f t="shared" si="240"/>
        <v>0</v>
      </c>
      <c r="B1457" s="1452" t="str">
        <f t="shared" si="240"/>
        <v>IDC</v>
      </c>
      <c r="C1457" s="1475" t="str">
        <f t="shared" si="240"/>
        <v>MERC/CAPEX/2023-2024/0178</v>
      </c>
      <c r="D1457" s="1473">
        <f t="shared" si="240"/>
        <v>45362</v>
      </c>
      <c r="E1457" s="1476">
        <f t="shared" si="240"/>
        <v>0.5</v>
      </c>
      <c r="F1457" s="1444">
        <f t="shared" si="241"/>
        <v>0.5</v>
      </c>
      <c r="G1457" s="1444">
        <f t="shared" si="242"/>
        <v>0.5</v>
      </c>
      <c r="H1457" s="1476">
        <f t="shared" si="243"/>
        <v>0</v>
      </c>
      <c r="I1457" s="1444">
        <v>0</v>
      </c>
      <c r="J1457" s="1444">
        <v>0</v>
      </c>
      <c r="K1457" s="1476"/>
      <c r="L1457" s="1476"/>
      <c r="M1457" s="1476">
        <f t="shared" si="247"/>
        <v>0</v>
      </c>
      <c r="N1457" s="1476">
        <f t="shared" si="244"/>
        <v>0</v>
      </c>
      <c r="O1457" s="1445">
        <f t="shared" si="245"/>
        <v>0</v>
      </c>
      <c r="P1457" s="1377">
        <f t="shared" si="246"/>
        <v>0</v>
      </c>
    </row>
    <row r="1458" spans="1:16" ht="31" outlineLevel="1">
      <c r="A1458" s="1440" t="str">
        <f t="shared" si="240"/>
        <v>HO
DPR 13</v>
      </c>
      <c r="B1458" s="1441" t="str">
        <f t="shared" si="240"/>
        <v>Construction of new Administrative Building for Mahagenco at Vidyut Bhawan, Katol Road, Nagpur</v>
      </c>
      <c r="C1458" s="1475" t="str">
        <f t="shared" si="240"/>
        <v>MERC/CAPEX/2021-2022/MSPGCL/063</v>
      </c>
      <c r="D1458" s="1473">
        <f t="shared" si="240"/>
        <v>44604</v>
      </c>
      <c r="E1458" s="1476">
        <f t="shared" si="240"/>
        <v>57</v>
      </c>
      <c r="F1458" s="1444">
        <f t="shared" si="241"/>
        <v>0</v>
      </c>
      <c r="G1458" s="1444">
        <f t="shared" si="242"/>
        <v>0</v>
      </c>
      <c r="H1458" s="1476">
        <f t="shared" si="243"/>
        <v>0</v>
      </c>
      <c r="I1458" s="1444">
        <v>0</v>
      </c>
      <c r="J1458" s="1444">
        <v>0</v>
      </c>
      <c r="K1458" s="1476"/>
      <c r="L1458" s="1476"/>
      <c r="M1458" s="1476">
        <f t="shared" si="247"/>
        <v>0</v>
      </c>
      <c r="N1458" s="1476">
        <f t="shared" si="244"/>
        <v>0</v>
      </c>
      <c r="O1458" s="1445">
        <f t="shared" si="245"/>
        <v>0</v>
      </c>
      <c r="P1458" s="1377">
        <f t="shared" si="246"/>
        <v>0</v>
      </c>
    </row>
    <row r="1459" spans="1:16" ht="31" outlineLevel="1">
      <c r="A1459" s="1446">
        <f t="shared" si="240"/>
        <v>1</v>
      </c>
      <c r="B1459" s="1447" t="str">
        <f t="shared" si="240"/>
        <v>Construction of new Administrative Building for Mahagenco at Vidyut Bhawan, Katol Road, Nagpur</v>
      </c>
      <c r="C1459" s="1475" t="str">
        <f t="shared" si="240"/>
        <v>MERC/CAPEX/2021-2022/MSPGCL/063</v>
      </c>
      <c r="D1459" s="1473">
        <f t="shared" si="240"/>
        <v>44604</v>
      </c>
      <c r="E1459" s="1476">
        <f t="shared" si="240"/>
        <v>54.24</v>
      </c>
      <c r="F1459" s="1444">
        <f t="shared" si="241"/>
        <v>0</v>
      </c>
      <c r="G1459" s="1444">
        <f t="shared" si="242"/>
        <v>0</v>
      </c>
      <c r="H1459" s="1476">
        <f t="shared" si="243"/>
        <v>0</v>
      </c>
      <c r="I1459" s="1444">
        <v>0</v>
      </c>
      <c r="J1459" s="1444">
        <v>0</v>
      </c>
      <c r="K1459" s="1476"/>
      <c r="L1459" s="1476"/>
      <c r="M1459" s="1476">
        <f t="shared" si="247"/>
        <v>0</v>
      </c>
      <c r="N1459" s="1476">
        <f t="shared" si="244"/>
        <v>0</v>
      </c>
      <c r="O1459" s="1445">
        <f t="shared" si="245"/>
        <v>0</v>
      </c>
      <c r="P1459" s="1377">
        <f t="shared" si="246"/>
        <v>0</v>
      </c>
    </row>
    <row r="1460" spans="1:16" ht="31" outlineLevel="1">
      <c r="A1460" s="1446">
        <f t="shared" si="240"/>
        <v>0</v>
      </c>
      <c r="B1460" s="1447" t="str">
        <f t="shared" si="240"/>
        <v>IDC</v>
      </c>
      <c r="C1460" s="1442" t="str">
        <f t="shared" si="240"/>
        <v>MERC/CAPEX/2021-2022/MSPGCL/063</v>
      </c>
      <c r="D1460" s="1443">
        <f t="shared" si="240"/>
        <v>44604</v>
      </c>
      <c r="E1460" s="1444">
        <f t="shared" si="240"/>
        <v>2.76</v>
      </c>
      <c r="F1460" s="1444">
        <f t="shared" si="241"/>
        <v>0</v>
      </c>
      <c r="G1460" s="1444">
        <f t="shared" si="242"/>
        <v>0</v>
      </c>
      <c r="H1460" s="1444">
        <f t="shared" si="243"/>
        <v>0</v>
      </c>
      <c r="I1460" s="1444">
        <v>0</v>
      </c>
      <c r="J1460" s="1444">
        <v>0</v>
      </c>
      <c r="K1460" s="1444"/>
      <c r="L1460" s="1444"/>
      <c r="M1460" s="1444">
        <f t="shared" si="247"/>
        <v>0</v>
      </c>
      <c r="N1460" s="1444">
        <f t="shared" si="244"/>
        <v>0</v>
      </c>
      <c r="O1460" s="1445">
        <f t="shared" si="245"/>
        <v>0</v>
      </c>
      <c r="P1460" s="1377">
        <f t="shared" si="246"/>
        <v>0</v>
      </c>
    </row>
    <row r="1461" spans="1:16" ht="31" outlineLevel="1">
      <c r="A1461" s="1440" t="str">
        <f t="shared" si="240"/>
        <v>HO
DPR 16</v>
      </c>
      <c r="B1461" s="1441" t="str">
        <f t="shared" si="240"/>
        <v>Centralized Monitoring Solution</v>
      </c>
      <c r="C1461" s="1475" t="str">
        <f t="shared" si="240"/>
        <v>MERC/CAPEX/MSPGCL/2023-24/0576</v>
      </c>
      <c r="D1461" s="1473">
        <f t="shared" si="240"/>
        <v>45232</v>
      </c>
      <c r="E1461" s="1476">
        <f t="shared" si="240"/>
        <v>69.308999999999997</v>
      </c>
      <c r="F1461" s="1444">
        <f t="shared" si="241"/>
        <v>0</v>
      </c>
      <c r="G1461" s="1444">
        <f t="shared" si="242"/>
        <v>0</v>
      </c>
      <c r="H1461" s="1476">
        <f t="shared" si="243"/>
        <v>0</v>
      </c>
      <c r="I1461" s="1444">
        <v>0</v>
      </c>
      <c r="J1461" s="1444">
        <v>0</v>
      </c>
      <c r="K1461" s="1476"/>
      <c r="L1461" s="1476"/>
      <c r="M1461" s="1476">
        <f t="shared" si="247"/>
        <v>0</v>
      </c>
      <c r="N1461" s="1476">
        <f t="shared" si="244"/>
        <v>0</v>
      </c>
      <c r="O1461" s="1445">
        <f t="shared" si="245"/>
        <v>0</v>
      </c>
      <c r="P1461" s="1377">
        <f t="shared" si="246"/>
        <v>0</v>
      </c>
    </row>
    <row r="1462" spans="1:16" ht="15.5" outlineLevel="1">
      <c r="A1462" s="1446">
        <f t="shared" si="240"/>
        <v>1</v>
      </c>
      <c r="B1462" s="1447" t="str">
        <f t="shared" si="240"/>
        <v>Centralized Monitoring Solution</v>
      </c>
      <c r="C1462" s="1475" t="str">
        <f t="shared" si="240"/>
        <v>MERC/CAPEX/MSPGCL/2023-24/0576</v>
      </c>
      <c r="D1462" s="1473">
        <f t="shared" si="240"/>
        <v>45232</v>
      </c>
      <c r="E1462" s="1476">
        <f t="shared" si="240"/>
        <v>66.009</v>
      </c>
      <c r="F1462" s="1444">
        <f t="shared" si="241"/>
        <v>0</v>
      </c>
      <c r="G1462" s="1444">
        <f t="shared" si="242"/>
        <v>0</v>
      </c>
      <c r="H1462" s="1476">
        <f t="shared" si="243"/>
        <v>0</v>
      </c>
      <c r="I1462" s="1444">
        <v>0</v>
      </c>
      <c r="J1462" s="1444">
        <v>0</v>
      </c>
      <c r="K1462" s="1476"/>
      <c r="L1462" s="1476"/>
      <c r="M1462" s="1476">
        <f t="shared" si="247"/>
        <v>0</v>
      </c>
      <c r="N1462" s="1476">
        <f t="shared" si="244"/>
        <v>0</v>
      </c>
      <c r="O1462" s="1445">
        <f t="shared" si="245"/>
        <v>0</v>
      </c>
      <c r="P1462" s="1377">
        <f t="shared" si="246"/>
        <v>0</v>
      </c>
    </row>
    <row r="1463" spans="1:16" ht="15.5" outlineLevel="1">
      <c r="A1463" s="1446">
        <f t="shared" si="240"/>
        <v>0</v>
      </c>
      <c r="B1463" s="1447" t="str">
        <f t="shared" si="240"/>
        <v>IDC</v>
      </c>
      <c r="C1463" s="1475" t="str">
        <f t="shared" si="240"/>
        <v>MERC/CAPEX/MSPGCL/2023-24/0576</v>
      </c>
      <c r="D1463" s="1473">
        <f t="shared" si="240"/>
        <v>45232</v>
      </c>
      <c r="E1463" s="1476">
        <f t="shared" si="240"/>
        <v>3.3</v>
      </c>
      <c r="F1463" s="1444">
        <f t="shared" si="241"/>
        <v>0</v>
      </c>
      <c r="G1463" s="1444">
        <f t="shared" si="242"/>
        <v>0</v>
      </c>
      <c r="H1463" s="1476">
        <f t="shared" si="243"/>
        <v>0</v>
      </c>
      <c r="I1463" s="1444">
        <v>0</v>
      </c>
      <c r="J1463" s="1444">
        <v>0</v>
      </c>
      <c r="K1463" s="1476"/>
      <c r="L1463" s="1476"/>
      <c r="M1463" s="1476">
        <f t="shared" si="247"/>
        <v>0</v>
      </c>
      <c r="N1463" s="1476">
        <f t="shared" si="244"/>
        <v>0</v>
      </c>
      <c r="O1463" s="1445">
        <f t="shared" si="245"/>
        <v>0</v>
      </c>
      <c r="P1463" s="1377">
        <f t="shared" si="246"/>
        <v>0</v>
      </c>
    </row>
    <row r="1464" spans="1:16" ht="31" outlineLevel="1">
      <c r="A1464" s="1440">
        <f t="shared" si="240"/>
        <v>20</v>
      </c>
      <c r="B1464" s="1441" t="str">
        <f t="shared" si="240"/>
        <v>Improvement of Loadability and Availability of Coal Handling Plant at BTPS, Bhusawal</v>
      </c>
      <c r="C1464" s="1475" t="str">
        <f t="shared" si="240"/>
        <v>MERC/CAPEX/MSPGCL/2024-25/0309</v>
      </c>
      <c r="D1464" s="1473">
        <f t="shared" si="240"/>
        <v>45429</v>
      </c>
      <c r="E1464" s="1476">
        <f t="shared" si="240"/>
        <v>0</v>
      </c>
      <c r="F1464" s="1444">
        <f t="shared" si="241"/>
        <v>0</v>
      </c>
      <c r="G1464" s="1444">
        <f t="shared" si="242"/>
        <v>0</v>
      </c>
      <c r="H1464" s="1476">
        <f t="shared" si="243"/>
        <v>0</v>
      </c>
      <c r="I1464" s="1444">
        <v>0</v>
      </c>
      <c r="J1464" s="1444">
        <v>0</v>
      </c>
      <c r="K1464" s="1476"/>
      <c r="L1464" s="1476"/>
      <c r="M1464" s="1476">
        <f t="shared" si="247"/>
        <v>0</v>
      </c>
      <c r="N1464" s="1476">
        <f t="shared" si="244"/>
        <v>0</v>
      </c>
      <c r="O1464" s="1445">
        <f t="shared" si="245"/>
        <v>0</v>
      </c>
      <c r="P1464" s="1377">
        <f t="shared" si="246"/>
        <v>0</v>
      </c>
    </row>
    <row r="1465" spans="1:16" ht="46.5" outlineLevel="1">
      <c r="A1465" s="1446">
        <f t="shared" si="240"/>
        <v>20.100000000000001</v>
      </c>
      <c r="B1465" s="1447" t="str">
        <f t="shared" si="240"/>
        <v>Scheme-1:-Design Engineering, Supply, Erection, commissioning, Extension of travel Length &amp; Capacity Enhancement of coal yard with additional drive system of stacker reclaimer conveyor No. 110 at in coal handling Plant BTPS.</v>
      </c>
      <c r="C1465" s="1475" t="str">
        <f t="shared" si="240"/>
        <v>MERC/CAPEX/MSPGCL/2024-25/0309</v>
      </c>
      <c r="D1465" s="1473">
        <f t="shared" si="240"/>
        <v>45429</v>
      </c>
      <c r="E1465" s="1476">
        <f t="shared" si="240"/>
        <v>14.27</v>
      </c>
      <c r="F1465" s="1444">
        <f t="shared" si="241"/>
        <v>14.27</v>
      </c>
      <c r="G1465" s="1444">
        <f t="shared" si="242"/>
        <v>14.27</v>
      </c>
      <c r="H1465" s="1476">
        <f t="shared" si="243"/>
        <v>0</v>
      </c>
      <c r="I1465" s="1444">
        <v>0</v>
      </c>
      <c r="J1465" s="1444">
        <v>0</v>
      </c>
      <c r="K1465" s="1476"/>
      <c r="L1465" s="1476"/>
      <c r="M1465" s="1476">
        <f t="shared" ref="M1465:M1528" si="248">SUM(J1465:L1465)</f>
        <v>0</v>
      </c>
      <c r="N1465" s="1476">
        <f t="shared" si="244"/>
        <v>0</v>
      </c>
      <c r="O1465" s="1445"/>
      <c r="P1465" s="1377"/>
    </row>
    <row r="1466" spans="1:16" ht="31" outlineLevel="1">
      <c r="A1466" s="1446">
        <f t="shared" si="240"/>
        <v>20.2</v>
      </c>
      <c r="B1466" s="1447" t="str">
        <f t="shared" si="240"/>
        <v>Scheme-2:-Design, Engineering, Rectification, Erection &amp; Commissioning of Z point at Conveyor 108A &amp; B at CHP-500MW.</v>
      </c>
      <c r="C1466" s="1475" t="str">
        <f t="shared" si="240"/>
        <v>MERC/CAPEX/MSPGCL/2024-25/0309</v>
      </c>
      <c r="D1466" s="1473">
        <f t="shared" si="240"/>
        <v>45429</v>
      </c>
      <c r="E1466" s="1476">
        <f t="shared" si="240"/>
        <v>8.18</v>
      </c>
      <c r="F1466" s="1444">
        <f t="shared" si="241"/>
        <v>8.18</v>
      </c>
      <c r="G1466" s="1444">
        <f t="shared" si="242"/>
        <v>8.18</v>
      </c>
      <c r="H1466" s="1476">
        <f t="shared" si="243"/>
        <v>0</v>
      </c>
      <c r="I1466" s="1444">
        <v>0</v>
      </c>
      <c r="J1466" s="1444">
        <v>0</v>
      </c>
      <c r="K1466" s="1476"/>
      <c r="L1466" s="1476"/>
      <c r="M1466" s="1476">
        <f t="shared" si="248"/>
        <v>0</v>
      </c>
      <c r="N1466" s="1476">
        <f t="shared" si="244"/>
        <v>0</v>
      </c>
      <c r="O1466" s="1445"/>
      <c r="P1466" s="1377"/>
    </row>
    <row r="1467" spans="1:16" ht="31" outlineLevel="1">
      <c r="A1467" s="1446">
        <f t="shared" si="240"/>
        <v>20.3</v>
      </c>
      <c r="B1467" s="1447" t="str">
        <f t="shared" si="240"/>
        <v>Scheme-3:-Design, Engineering and provision of material lifting arrangement for crusher floor, wobbler feeder  &amp; C-105 floor In CHP BTPS.</v>
      </c>
      <c r="C1467" s="1475" t="str">
        <f t="shared" si="240"/>
        <v>MERC/CAPEX/MSPGCL/2024-25/0309</v>
      </c>
      <c r="D1467" s="1473">
        <f t="shared" si="240"/>
        <v>45429</v>
      </c>
      <c r="E1467" s="1476">
        <f t="shared" si="240"/>
        <v>1.88</v>
      </c>
      <c r="F1467" s="1444">
        <f t="shared" si="241"/>
        <v>1.88</v>
      </c>
      <c r="G1467" s="1444">
        <f t="shared" si="242"/>
        <v>1.88</v>
      </c>
      <c r="H1467" s="1476">
        <f t="shared" si="243"/>
        <v>0</v>
      </c>
      <c r="I1467" s="1444">
        <v>0</v>
      </c>
      <c r="J1467" s="1444">
        <v>0</v>
      </c>
      <c r="K1467" s="1476"/>
      <c r="L1467" s="1476"/>
      <c r="M1467" s="1476">
        <f t="shared" si="248"/>
        <v>0</v>
      </c>
      <c r="N1467" s="1476">
        <f t="shared" si="244"/>
        <v>0</v>
      </c>
      <c r="O1467" s="1445"/>
      <c r="P1467" s="1377"/>
    </row>
    <row r="1468" spans="1:16" ht="31" outlineLevel="1">
      <c r="A1468" s="1446">
        <f t="shared" si="240"/>
        <v>20.399999999999999</v>
      </c>
      <c r="B1468" s="1447" t="str">
        <f t="shared" si="240"/>
        <v>Scheme-4:-Structural up-gradation and rehabilitation of reversible yard conveyor in coal handling plant.</v>
      </c>
      <c r="C1468" s="1475" t="str">
        <f t="shared" si="240"/>
        <v>MERC/CAPEX/MSPGCL/2024-25/0309</v>
      </c>
      <c r="D1468" s="1473">
        <f t="shared" si="240"/>
        <v>45429</v>
      </c>
      <c r="E1468" s="1476">
        <f t="shared" si="240"/>
        <v>4.21</v>
      </c>
      <c r="F1468" s="1444">
        <f t="shared" si="241"/>
        <v>4.21</v>
      </c>
      <c r="G1468" s="1444">
        <f t="shared" si="242"/>
        <v>4.21</v>
      </c>
      <c r="H1468" s="1476">
        <f t="shared" si="243"/>
        <v>0</v>
      </c>
      <c r="I1468" s="1444">
        <v>0</v>
      </c>
      <c r="J1468" s="1444">
        <v>0</v>
      </c>
      <c r="K1468" s="1476"/>
      <c r="L1468" s="1476"/>
      <c r="M1468" s="1476">
        <f t="shared" si="248"/>
        <v>0</v>
      </c>
      <c r="N1468" s="1476">
        <f t="shared" si="244"/>
        <v>0</v>
      </c>
      <c r="O1468" s="1445"/>
      <c r="P1468" s="1377"/>
    </row>
    <row r="1469" spans="1:16" ht="31" outlineLevel="1">
      <c r="A1469" s="1446">
        <f t="shared" si="240"/>
        <v>20.5</v>
      </c>
      <c r="B1469" s="1447" t="str">
        <f t="shared" si="240"/>
        <v>Scheme-5:-Design, Engineering, Erection and commissioning of Receiving and discharge chutes of wobbler feeders in CHP BTPS.</v>
      </c>
      <c r="C1469" s="1475" t="str">
        <f t="shared" si="240"/>
        <v>MERC/CAPEX/MSPGCL/2024-25/0309</v>
      </c>
      <c r="D1469" s="1473">
        <f t="shared" si="240"/>
        <v>45429</v>
      </c>
      <c r="E1469" s="1476">
        <f t="shared" si="240"/>
        <v>6.25</v>
      </c>
      <c r="F1469" s="1444">
        <f t="shared" si="241"/>
        <v>6.25</v>
      </c>
      <c r="G1469" s="1444">
        <f t="shared" si="242"/>
        <v>6.25</v>
      </c>
      <c r="H1469" s="1476">
        <f t="shared" si="243"/>
        <v>0</v>
      </c>
      <c r="I1469" s="1444">
        <v>0</v>
      </c>
      <c r="J1469" s="1444">
        <v>0</v>
      </c>
      <c r="K1469" s="1476"/>
      <c r="L1469" s="1476"/>
      <c r="M1469" s="1476">
        <f t="shared" si="248"/>
        <v>0</v>
      </c>
      <c r="N1469" s="1476">
        <f t="shared" si="244"/>
        <v>0</v>
      </c>
      <c r="O1469" s="1445"/>
      <c r="P1469" s="1377"/>
    </row>
    <row r="1470" spans="1:16" ht="15.5" outlineLevel="1">
      <c r="A1470" s="1446">
        <f t="shared" ref="A1470:E1485" si="249">A1240</f>
        <v>20.6</v>
      </c>
      <c r="B1470" s="1447" t="str">
        <f t="shared" si="249"/>
        <v>Scheme-6: Procurement of 3 Nos. of Bulldozers at BTPS, Bhusawal.</v>
      </c>
      <c r="C1470" s="1475" t="str">
        <f t="shared" si="249"/>
        <v>MERC/CAPEX/MSPGCL/2024-25/0309</v>
      </c>
      <c r="D1470" s="1473">
        <f t="shared" si="249"/>
        <v>45429</v>
      </c>
      <c r="E1470" s="1476">
        <f t="shared" si="249"/>
        <v>7.35</v>
      </c>
      <c r="F1470" s="1444">
        <f t="shared" si="241"/>
        <v>7.35</v>
      </c>
      <c r="G1470" s="1444">
        <f t="shared" si="242"/>
        <v>7.35</v>
      </c>
      <c r="H1470" s="1476">
        <f t="shared" si="243"/>
        <v>0</v>
      </c>
      <c r="I1470" s="1444">
        <v>0</v>
      </c>
      <c r="J1470" s="1444">
        <v>0</v>
      </c>
      <c r="K1470" s="1476"/>
      <c r="L1470" s="1476"/>
      <c r="M1470" s="1476">
        <f t="shared" si="248"/>
        <v>0</v>
      </c>
      <c r="N1470" s="1476">
        <f t="shared" si="244"/>
        <v>0</v>
      </c>
      <c r="O1470" s="1445"/>
      <c r="P1470" s="1377"/>
    </row>
    <row r="1471" spans="1:16" ht="15.5" outlineLevel="1">
      <c r="A1471" s="1446">
        <f t="shared" si="249"/>
        <v>0</v>
      </c>
      <c r="B1471" s="1447" t="str">
        <f t="shared" si="249"/>
        <v>IDC</v>
      </c>
      <c r="C1471" s="1475">
        <f t="shared" si="249"/>
        <v>0</v>
      </c>
      <c r="D1471" s="1473" t="str">
        <f t="shared" si="249"/>
        <v>-</v>
      </c>
      <c r="E1471" s="1476">
        <f t="shared" si="249"/>
        <v>0</v>
      </c>
      <c r="F1471" s="1444">
        <f t="shared" si="241"/>
        <v>0.42</v>
      </c>
      <c r="G1471" s="1444">
        <f t="shared" si="242"/>
        <v>0.42</v>
      </c>
      <c r="H1471" s="1476">
        <f t="shared" si="243"/>
        <v>0</v>
      </c>
      <c r="I1471" s="1444">
        <v>0</v>
      </c>
      <c r="J1471" s="1444">
        <v>0</v>
      </c>
      <c r="K1471" s="1476"/>
      <c r="L1471" s="1476"/>
      <c r="M1471" s="1476">
        <f t="shared" si="248"/>
        <v>0</v>
      </c>
      <c r="N1471" s="1476">
        <f t="shared" si="244"/>
        <v>0</v>
      </c>
      <c r="O1471" s="1445"/>
      <c r="P1471" s="1377"/>
    </row>
    <row r="1472" spans="1:16" ht="15.5" outlineLevel="1">
      <c r="A1472" s="1440">
        <f t="shared" si="249"/>
        <v>21</v>
      </c>
      <c r="B1472" s="1441" t="str">
        <f t="shared" si="249"/>
        <v>Performance Improvement of Coal Handling Plant at BTPS-U4 &amp; 5, Bhusawal</v>
      </c>
      <c r="C1472" s="1475" t="str">
        <f t="shared" si="249"/>
        <v>MERC/CAPEX/MSPGCL/2024-25/0310</v>
      </c>
      <c r="D1472" s="1473" t="str">
        <f t="shared" si="249"/>
        <v>-</v>
      </c>
      <c r="E1472" s="1476">
        <f t="shared" si="249"/>
        <v>0</v>
      </c>
      <c r="F1472" s="1444">
        <f t="shared" si="241"/>
        <v>0</v>
      </c>
      <c r="G1472" s="1444">
        <f t="shared" si="242"/>
        <v>0</v>
      </c>
      <c r="H1472" s="1476">
        <f t="shared" si="243"/>
        <v>0</v>
      </c>
      <c r="I1472" s="1444">
        <v>0</v>
      </c>
      <c r="J1472" s="1444">
        <v>0</v>
      </c>
      <c r="K1472" s="1476"/>
      <c r="L1472" s="1476"/>
      <c r="M1472" s="1476">
        <f t="shared" si="248"/>
        <v>0</v>
      </c>
      <c r="N1472" s="1476">
        <f t="shared" si="244"/>
        <v>0</v>
      </c>
      <c r="O1472" s="1445"/>
      <c r="P1472" s="1377"/>
    </row>
    <row r="1473" spans="1:16" ht="31" outlineLevel="1">
      <c r="A1473" s="1446">
        <f t="shared" si="249"/>
        <v>21.1</v>
      </c>
      <c r="B1473" s="1447" t="str">
        <f t="shared" si="249"/>
        <v>Scheme-1: Revamping, Modification of Gravity take-up and Drive Augmentation of Bunkering conveyor in CHP BTPS</v>
      </c>
      <c r="C1473" s="1475" t="str">
        <f t="shared" si="249"/>
        <v>MERC/CAPEX/MSPGCL/2024-25/0310</v>
      </c>
      <c r="D1473" s="1473">
        <f t="shared" si="249"/>
        <v>45429</v>
      </c>
      <c r="E1473" s="1476">
        <f t="shared" si="249"/>
        <v>11.35</v>
      </c>
      <c r="F1473" s="1444">
        <f t="shared" si="241"/>
        <v>11.35</v>
      </c>
      <c r="G1473" s="1444">
        <f t="shared" si="242"/>
        <v>11.35</v>
      </c>
      <c r="H1473" s="1476">
        <f t="shared" si="243"/>
        <v>0</v>
      </c>
      <c r="I1473" s="1444">
        <v>0</v>
      </c>
      <c r="J1473" s="1444">
        <v>0</v>
      </c>
      <c r="K1473" s="1476"/>
      <c r="L1473" s="1476"/>
      <c r="M1473" s="1476">
        <f t="shared" si="248"/>
        <v>0</v>
      </c>
      <c r="N1473" s="1476">
        <f t="shared" si="244"/>
        <v>0</v>
      </c>
      <c r="O1473" s="1445"/>
      <c r="P1473" s="1377"/>
    </row>
    <row r="1474" spans="1:16" ht="15.5" outlineLevel="1">
      <c r="A1474" s="1446">
        <f t="shared" si="249"/>
        <v>21.2</v>
      </c>
      <c r="B1474" s="1447" t="str">
        <f t="shared" si="249"/>
        <v>Scheme-2: Revamping of coal diverting chutes in CHP 2x500 MW BTPS</v>
      </c>
      <c r="C1474" s="1475" t="str">
        <f t="shared" si="249"/>
        <v>MERC/CAPEX/MSPGCL/2024-25/0310</v>
      </c>
      <c r="D1474" s="1473">
        <f t="shared" si="249"/>
        <v>45429</v>
      </c>
      <c r="E1474" s="1476">
        <f t="shared" si="249"/>
        <v>5.73</v>
      </c>
      <c r="F1474" s="1444">
        <f t="shared" si="241"/>
        <v>5.73</v>
      </c>
      <c r="G1474" s="1444">
        <f t="shared" si="242"/>
        <v>5.73</v>
      </c>
      <c r="H1474" s="1476">
        <f t="shared" si="243"/>
        <v>0</v>
      </c>
      <c r="I1474" s="1444">
        <v>0</v>
      </c>
      <c r="J1474" s="1444">
        <v>0</v>
      </c>
      <c r="K1474" s="1476"/>
      <c r="L1474" s="1476"/>
      <c r="M1474" s="1476">
        <f t="shared" si="248"/>
        <v>0</v>
      </c>
      <c r="N1474" s="1476">
        <f t="shared" si="244"/>
        <v>0</v>
      </c>
      <c r="O1474" s="1445"/>
      <c r="P1474" s="1377"/>
    </row>
    <row r="1475" spans="1:16" ht="31" outlineLevel="1">
      <c r="A1475" s="1446">
        <f t="shared" si="249"/>
        <v>21.3</v>
      </c>
      <c r="B1475" s="1447" t="str">
        <f t="shared" si="249"/>
        <v>Scheme-3: Revamping and structural augmentation of Reversible feeder conveyors in CHP-BTPS.</v>
      </c>
      <c r="C1475" s="1475" t="str">
        <f t="shared" si="249"/>
        <v>MERC/CAPEX/MSPGCL/2024-25/0310</v>
      </c>
      <c r="D1475" s="1473">
        <f t="shared" si="249"/>
        <v>45429</v>
      </c>
      <c r="E1475" s="1476">
        <f t="shared" si="249"/>
        <v>1.77</v>
      </c>
      <c r="F1475" s="1444">
        <f t="shared" si="241"/>
        <v>3.52</v>
      </c>
      <c r="G1475" s="1444">
        <f t="shared" si="242"/>
        <v>3.52</v>
      </c>
      <c r="H1475" s="1476">
        <f t="shared" si="243"/>
        <v>0</v>
      </c>
      <c r="I1475" s="1444">
        <v>0</v>
      </c>
      <c r="J1475" s="1444">
        <v>0</v>
      </c>
      <c r="K1475" s="1476"/>
      <c r="L1475" s="1476"/>
      <c r="M1475" s="1476">
        <f t="shared" si="248"/>
        <v>0</v>
      </c>
      <c r="N1475" s="1476">
        <f t="shared" si="244"/>
        <v>0</v>
      </c>
      <c r="O1475" s="1445"/>
      <c r="P1475" s="1377"/>
    </row>
    <row r="1476" spans="1:16" ht="31" outlineLevel="1">
      <c r="A1476" s="1446">
        <f t="shared" si="249"/>
        <v>21.4</v>
      </c>
      <c r="B1476" s="1447" t="str">
        <f t="shared" si="249"/>
        <v>Scheme-4: Revamping and up-gradation of air &amp; ventilation system in Coal Handling Plant-BTPS.</v>
      </c>
      <c r="C1476" s="1475" t="str">
        <f t="shared" si="249"/>
        <v>MERC/CAPEX/MSPGCL/2024-25/0310</v>
      </c>
      <c r="D1476" s="1473">
        <f t="shared" si="249"/>
        <v>45429</v>
      </c>
      <c r="E1476" s="1476">
        <f t="shared" si="249"/>
        <v>9.01</v>
      </c>
      <c r="F1476" s="1444">
        <f t="shared" si="241"/>
        <v>3.85</v>
      </c>
      <c r="G1476" s="1444">
        <f t="shared" si="242"/>
        <v>3.85</v>
      </c>
      <c r="H1476" s="1476">
        <f t="shared" si="243"/>
        <v>0</v>
      </c>
      <c r="I1476" s="1444">
        <v>0</v>
      </c>
      <c r="J1476" s="1444">
        <v>0</v>
      </c>
      <c r="K1476" s="1476"/>
      <c r="L1476" s="1476"/>
      <c r="M1476" s="1476">
        <f t="shared" si="248"/>
        <v>0</v>
      </c>
      <c r="N1476" s="1476">
        <f t="shared" si="244"/>
        <v>0</v>
      </c>
      <c r="O1476" s="1445"/>
      <c r="P1476" s="1377"/>
    </row>
    <row r="1477" spans="1:16" ht="31" outlineLevel="1">
      <c r="A1477" s="1446">
        <f t="shared" si="249"/>
        <v>21.5</v>
      </c>
      <c r="B1477" s="1447" t="str">
        <f t="shared" si="249"/>
        <v>Scheme-5: Revamping, Structural &amp; drive up-gradation  of conveyor-111 in CHP-BTPS.</v>
      </c>
      <c r="C1477" s="1475" t="str">
        <f t="shared" si="249"/>
        <v>MERC/CAPEX/MSPGCL/2024-25/0310</v>
      </c>
      <c r="D1477" s="1473">
        <f t="shared" si="249"/>
        <v>45429</v>
      </c>
      <c r="E1477" s="1476">
        <f t="shared" si="249"/>
        <v>3.85</v>
      </c>
      <c r="F1477" s="1444">
        <f t="shared" si="241"/>
        <v>8.6199999999999992</v>
      </c>
      <c r="G1477" s="1444">
        <f t="shared" si="242"/>
        <v>8.6199999999999992</v>
      </c>
      <c r="H1477" s="1476">
        <f t="shared" si="243"/>
        <v>0</v>
      </c>
      <c r="I1477" s="1444">
        <v>0</v>
      </c>
      <c r="J1477" s="1444">
        <v>0</v>
      </c>
      <c r="K1477" s="1476"/>
      <c r="L1477" s="1476"/>
      <c r="M1477" s="1476">
        <f t="shared" si="248"/>
        <v>0</v>
      </c>
      <c r="N1477" s="1476">
        <f t="shared" si="244"/>
        <v>0</v>
      </c>
      <c r="O1477" s="1445"/>
      <c r="P1477" s="1377"/>
    </row>
    <row r="1478" spans="1:16" ht="31" outlineLevel="1">
      <c r="A1478" s="1446">
        <f t="shared" si="249"/>
        <v>21.6</v>
      </c>
      <c r="B1478" s="1447" t="str">
        <f t="shared" si="249"/>
        <v>Scheme-6: Revamping and structural up-gradation of conveyor system in tunnel area in Coal Handling Plant-BTPS.</v>
      </c>
      <c r="C1478" s="1475" t="str">
        <f t="shared" si="249"/>
        <v>MERC/CAPEX/MSPGCL/2024-25/0310</v>
      </c>
      <c r="D1478" s="1473">
        <f t="shared" si="249"/>
        <v>45429</v>
      </c>
      <c r="E1478" s="1476">
        <f t="shared" si="249"/>
        <v>8.6199999999999992</v>
      </c>
      <c r="F1478" s="1444">
        <f t="shared" si="241"/>
        <v>8.06</v>
      </c>
      <c r="G1478" s="1444">
        <f t="shared" si="242"/>
        <v>8.06</v>
      </c>
      <c r="H1478" s="1476">
        <f t="shared" si="243"/>
        <v>0</v>
      </c>
      <c r="I1478" s="1444">
        <v>0</v>
      </c>
      <c r="J1478" s="1444">
        <v>0</v>
      </c>
      <c r="K1478" s="1476"/>
      <c r="L1478" s="1476"/>
      <c r="M1478" s="1476">
        <f t="shared" si="248"/>
        <v>0</v>
      </c>
      <c r="N1478" s="1476">
        <f t="shared" si="244"/>
        <v>0</v>
      </c>
      <c r="O1478" s="1445"/>
      <c r="P1478" s="1377"/>
    </row>
    <row r="1479" spans="1:16" ht="15.5" outlineLevel="1">
      <c r="A1479" s="1446">
        <f t="shared" si="249"/>
        <v>21.7</v>
      </c>
      <c r="B1479" s="1447" t="str">
        <f t="shared" si="249"/>
        <v>Scheme-7: Erection &amp; Commissioning of Travelling type coal chutes in CHP BTPS.</v>
      </c>
      <c r="C1479" s="1475" t="str">
        <f t="shared" si="249"/>
        <v>MERC/CAPEX/MSPGCL/2024-25/0310</v>
      </c>
      <c r="D1479" s="1473">
        <f t="shared" si="249"/>
        <v>45429</v>
      </c>
      <c r="E1479" s="1476">
        <f t="shared" si="249"/>
        <v>8.06</v>
      </c>
      <c r="F1479" s="1444">
        <f t="shared" si="241"/>
        <v>4.9800000000000004</v>
      </c>
      <c r="G1479" s="1444">
        <f t="shared" si="242"/>
        <v>4.9800000000000004</v>
      </c>
      <c r="H1479" s="1476">
        <f t="shared" si="243"/>
        <v>0</v>
      </c>
      <c r="I1479" s="1444">
        <v>0</v>
      </c>
      <c r="J1479" s="1444">
        <v>0</v>
      </c>
      <c r="K1479" s="1476"/>
      <c r="L1479" s="1476"/>
      <c r="M1479" s="1476">
        <f t="shared" si="248"/>
        <v>0</v>
      </c>
      <c r="N1479" s="1476">
        <f t="shared" si="244"/>
        <v>0</v>
      </c>
      <c r="O1479" s="1445"/>
      <c r="P1479" s="1377"/>
    </row>
    <row r="1480" spans="1:16" ht="31" outlineLevel="1">
      <c r="A1480" s="1446">
        <f t="shared" si="249"/>
        <v>21.8</v>
      </c>
      <c r="B1480" s="1447" t="str">
        <f t="shared" si="249"/>
        <v>Scheme-8: Revamping of scoop cooling system installed in coal handling plant BTPS.</v>
      </c>
      <c r="C1480" s="1475" t="str">
        <f t="shared" si="249"/>
        <v>MERC/CAPEX/MSPGCL/2024-25/0310</v>
      </c>
      <c r="D1480" s="1473">
        <f t="shared" si="249"/>
        <v>45429</v>
      </c>
      <c r="E1480" s="1476">
        <f t="shared" si="249"/>
        <v>4.9800000000000004</v>
      </c>
      <c r="F1480" s="1444">
        <f t="shared" si="241"/>
        <v>3.92</v>
      </c>
      <c r="G1480" s="1444">
        <f t="shared" si="242"/>
        <v>3.92</v>
      </c>
      <c r="H1480" s="1476">
        <f t="shared" si="243"/>
        <v>0</v>
      </c>
      <c r="I1480" s="1444">
        <v>0</v>
      </c>
      <c r="J1480" s="1444">
        <v>0</v>
      </c>
      <c r="K1480" s="1476"/>
      <c r="L1480" s="1476"/>
      <c r="M1480" s="1476">
        <f t="shared" si="248"/>
        <v>0</v>
      </c>
      <c r="N1480" s="1476">
        <f t="shared" si="244"/>
        <v>0</v>
      </c>
      <c r="O1480" s="1445"/>
      <c r="P1480" s="1377"/>
    </row>
    <row r="1481" spans="1:16" ht="15.5" outlineLevel="1">
      <c r="A1481" s="1454">
        <f t="shared" si="249"/>
        <v>21.9</v>
      </c>
      <c r="B1481" s="1454" t="str">
        <f t="shared" si="249"/>
        <v>Scheme-9: Retrofitting and Up-gradation of Dewatering system in CHP-BTPS.</v>
      </c>
      <c r="C1481" s="1475" t="str">
        <f t="shared" si="249"/>
        <v>MERC/CAPEX/MSPGCL/2024-25/0310</v>
      </c>
      <c r="D1481" s="1473">
        <f t="shared" si="249"/>
        <v>45429</v>
      </c>
      <c r="E1481" s="1476">
        <f t="shared" si="249"/>
        <v>3.92</v>
      </c>
      <c r="F1481" s="1444">
        <f t="shared" si="241"/>
        <v>9.01</v>
      </c>
      <c r="G1481" s="1444">
        <f t="shared" si="242"/>
        <v>9.01</v>
      </c>
      <c r="H1481" s="1476">
        <f t="shared" si="243"/>
        <v>0</v>
      </c>
      <c r="I1481" s="1444">
        <v>0</v>
      </c>
      <c r="J1481" s="1444">
        <v>0</v>
      </c>
      <c r="K1481" s="1476"/>
      <c r="L1481" s="1476"/>
      <c r="M1481" s="1476">
        <f t="shared" si="248"/>
        <v>0</v>
      </c>
      <c r="N1481" s="1476">
        <f t="shared" si="244"/>
        <v>0</v>
      </c>
      <c r="O1481" s="1445"/>
      <c r="P1481" s="1377"/>
    </row>
    <row r="1482" spans="1:16" ht="15.5" outlineLevel="1">
      <c r="A1482" s="1455">
        <f t="shared" si="249"/>
        <v>0</v>
      </c>
      <c r="B1482" s="1455" t="str">
        <f t="shared" si="249"/>
        <v>IDC</v>
      </c>
      <c r="C1482" s="1475">
        <f t="shared" si="249"/>
        <v>0</v>
      </c>
      <c r="D1482" s="1473" t="str">
        <f t="shared" si="249"/>
        <v>-</v>
      </c>
      <c r="E1482" s="1476">
        <f t="shared" si="249"/>
        <v>0</v>
      </c>
      <c r="F1482" s="1444">
        <f t="shared" si="241"/>
        <v>0.53</v>
      </c>
      <c r="G1482" s="1444">
        <f t="shared" si="242"/>
        <v>0.53</v>
      </c>
      <c r="H1482" s="1476">
        <f t="shared" si="243"/>
        <v>0</v>
      </c>
      <c r="I1482" s="1444">
        <v>0</v>
      </c>
      <c r="J1482" s="1444">
        <v>0</v>
      </c>
      <c r="K1482" s="1476"/>
      <c r="L1482" s="1476"/>
      <c r="M1482" s="1476">
        <f t="shared" si="248"/>
        <v>0</v>
      </c>
      <c r="N1482" s="1476">
        <f t="shared" si="244"/>
        <v>0</v>
      </c>
      <c r="O1482" s="1445"/>
      <c r="P1482" s="1377"/>
    </row>
    <row r="1483" spans="1:16" ht="15.5" outlineLevel="1">
      <c r="A1483" s="1456">
        <f t="shared" si="249"/>
        <v>0</v>
      </c>
      <c r="B1483" s="1456" t="str">
        <f t="shared" si="249"/>
        <v>Asset Transfer from Projects</v>
      </c>
      <c r="C1483" s="1475">
        <f t="shared" si="249"/>
        <v>0</v>
      </c>
      <c r="D1483" s="1473" t="str">
        <f t="shared" si="249"/>
        <v>-</v>
      </c>
      <c r="E1483" s="1476">
        <f t="shared" si="249"/>
        <v>0</v>
      </c>
      <c r="F1483" s="1444">
        <f t="shared" si="241"/>
        <v>0</v>
      </c>
      <c r="G1483" s="1444">
        <f t="shared" si="242"/>
        <v>0</v>
      </c>
      <c r="H1483" s="1476">
        <f t="shared" si="243"/>
        <v>0</v>
      </c>
      <c r="I1483" s="1444">
        <v>0</v>
      </c>
      <c r="J1483" s="1444">
        <v>0</v>
      </c>
      <c r="K1483" s="1476"/>
      <c r="L1483" s="1476"/>
      <c r="M1483" s="1476">
        <f t="shared" si="248"/>
        <v>0</v>
      </c>
      <c r="N1483" s="1476">
        <f t="shared" si="244"/>
        <v>0</v>
      </c>
      <c r="O1483" s="1445"/>
      <c r="P1483" s="1377"/>
    </row>
    <row r="1484" spans="1:16" ht="15.5" outlineLevel="1">
      <c r="A1484" s="1455">
        <f t="shared" si="249"/>
        <v>0</v>
      </c>
      <c r="B1484" s="1455" t="str">
        <f t="shared" si="249"/>
        <v>SP Busduct Unit 4&amp;5</v>
      </c>
      <c r="C1484" s="1475">
        <f t="shared" si="249"/>
        <v>0</v>
      </c>
      <c r="D1484" s="1473" t="str">
        <f t="shared" si="249"/>
        <v>-</v>
      </c>
      <c r="E1484" s="1476">
        <f t="shared" si="249"/>
        <v>0</v>
      </c>
      <c r="F1484" s="1444">
        <f t="shared" si="241"/>
        <v>0.30071745999999999</v>
      </c>
      <c r="G1484" s="1444">
        <f t="shared" si="242"/>
        <v>0.30071745999999999</v>
      </c>
      <c r="H1484" s="1476">
        <f t="shared" si="243"/>
        <v>0</v>
      </c>
      <c r="I1484" s="1444">
        <v>0</v>
      </c>
      <c r="J1484" s="1444">
        <v>0</v>
      </c>
      <c r="K1484" s="1476"/>
      <c r="L1484" s="1476"/>
      <c r="M1484" s="1476">
        <f t="shared" si="248"/>
        <v>0</v>
      </c>
      <c r="N1484" s="1476">
        <f t="shared" si="244"/>
        <v>0</v>
      </c>
      <c r="O1484" s="1445"/>
      <c r="P1484" s="1377"/>
    </row>
    <row r="1485" spans="1:16" ht="15.5" outlineLevel="1">
      <c r="A1485" s="1455">
        <f t="shared" si="249"/>
        <v>0</v>
      </c>
      <c r="B1485" s="1455" t="str">
        <f t="shared" si="249"/>
        <v>ESP,ID,FD,PA Fans &amp;Other Boiler Auxiliaries</v>
      </c>
      <c r="C1485" s="1442">
        <f t="shared" si="249"/>
        <v>0</v>
      </c>
      <c r="D1485" s="1443" t="str">
        <f t="shared" si="249"/>
        <v>-</v>
      </c>
      <c r="E1485" s="1444">
        <f t="shared" si="249"/>
        <v>0</v>
      </c>
      <c r="F1485" s="1444">
        <f t="shared" si="241"/>
        <v>1.0282827000000001</v>
      </c>
      <c r="G1485" s="1444">
        <f t="shared" si="242"/>
        <v>1.0282827000000001</v>
      </c>
      <c r="H1485" s="1444">
        <f t="shared" si="243"/>
        <v>0</v>
      </c>
      <c r="I1485" s="1444">
        <v>0</v>
      </c>
      <c r="J1485" s="1444">
        <v>0</v>
      </c>
      <c r="K1485" s="1444"/>
      <c r="L1485" s="1444"/>
      <c r="M1485" s="1444">
        <f t="shared" si="248"/>
        <v>0</v>
      </c>
      <c r="N1485" s="1444">
        <f t="shared" si="244"/>
        <v>0</v>
      </c>
    </row>
    <row r="1486" spans="1:16" ht="15.5" outlineLevel="1">
      <c r="A1486" s="1456">
        <f t="shared" ref="A1486:E1501" si="250">A1256</f>
        <v>0</v>
      </c>
      <c r="B1486" s="1456" t="str">
        <f t="shared" si="250"/>
        <v>(ii) DPR Yet to be Submitted to MERC</v>
      </c>
      <c r="C1486" s="1442">
        <f t="shared" si="250"/>
        <v>0</v>
      </c>
      <c r="D1486" s="1443" t="str">
        <f t="shared" si="250"/>
        <v>-</v>
      </c>
      <c r="E1486" s="1444">
        <f t="shared" si="250"/>
        <v>0</v>
      </c>
      <c r="F1486" s="1444">
        <f t="shared" si="241"/>
        <v>0</v>
      </c>
      <c r="G1486" s="1444">
        <f t="shared" si="242"/>
        <v>0</v>
      </c>
      <c r="H1486" s="1444">
        <f t="shared" si="243"/>
        <v>0</v>
      </c>
      <c r="I1486" s="1444">
        <v>0</v>
      </c>
      <c r="J1486" s="1444">
        <v>0</v>
      </c>
      <c r="K1486" s="1444"/>
      <c r="L1486" s="1444"/>
      <c r="M1486" s="1444">
        <f t="shared" si="248"/>
        <v>0</v>
      </c>
      <c r="N1486" s="1444">
        <f t="shared" si="244"/>
        <v>0</v>
      </c>
    </row>
    <row r="1487" spans="1:16" ht="15.5" outlineLevel="1">
      <c r="A1487" s="1457">
        <f t="shared" si="250"/>
        <v>0</v>
      </c>
      <c r="B1487" s="1457" t="str">
        <f t="shared" si="250"/>
        <v xml:space="preserve">FY 2025-26 </v>
      </c>
      <c r="C1487" s="1475">
        <f t="shared" si="250"/>
        <v>0</v>
      </c>
      <c r="D1487" s="1473" t="str">
        <f t="shared" si="250"/>
        <v>-</v>
      </c>
      <c r="E1487" s="1476">
        <f t="shared" si="250"/>
        <v>0</v>
      </c>
      <c r="F1487" s="1444">
        <f t="shared" si="241"/>
        <v>0</v>
      </c>
      <c r="G1487" s="1444">
        <f t="shared" si="242"/>
        <v>0</v>
      </c>
      <c r="H1487" s="1476">
        <f t="shared" si="243"/>
        <v>0</v>
      </c>
      <c r="I1487" s="1444">
        <v>0</v>
      </c>
      <c r="J1487" s="1444">
        <v>0</v>
      </c>
      <c r="K1487" s="1476"/>
      <c r="L1487" s="1476"/>
      <c r="M1487" s="1476">
        <f t="shared" si="248"/>
        <v>0</v>
      </c>
      <c r="N1487" s="1476">
        <f t="shared" si="244"/>
        <v>0</v>
      </c>
    </row>
    <row r="1488" spans="1:16" ht="31" outlineLevel="1">
      <c r="A1488" s="1458">
        <f t="shared" si="250"/>
        <v>1</v>
      </c>
      <c r="B1488" s="1459" t="str">
        <f t="shared" si="250"/>
        <v>Up gradation of coal mill reject system, Procurement of Air heater baskets &amp; spare Air heater gearbox at 2X500MW, Bhusawal TPS</v>
      </c>
      <c r="C1488" s="1475">
        <f t="shared" si="250"/>
        <v>0</v>
      </c>
      <c r="D1488" s="1473" t="str">
        <f t="shared" si="250"/>
        <v>-</v>
      </c>
      <c r="E1488" s="1476">
        <f t="shared" si="250"/>
        <v>0</v>
      </c>
      <c r="F1488" s="1444">
        <f t="shared" si="241"/>
        <v>31.75</v>
      </c>
      <c r="G1488" s="1444">
        <f t="shared" si="242"/>
        <v>0</v>
      </c>
      <c r="H1488" s="1476">
        <f t="shared" si="243"/>
        <v>31.75</v>
      </c>
      <c r="I1488" s="1444">
        <v>0</v>
      </c>
      <c r="J1488" s="1444">
        <v>0</v>
      </c>
      <c r="K1488" s="1476"/>
      <c r="L1488" s="1476"/>
      <c r="M1488" s="1476">
        <f t="shared" si="248"/>
        <v>0</v>
      </c>
      <c r="N1488" s="1476">
        <f t="shared" si="244"/>
        <v>31.75</v>
      </c>
    </row>
    <row r="1489" spans="1:14" ht="62" outlineLevel="1">
      <c r="A1489" s="1455">
        <f t="shared" si="250"/>
        <v>1.1000000000000001</v>
      </c>
      <c r="B1489" s="1455" t="str">
        <f t="shared" si="250"/>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1489" s="1475">
        <f t="shared" si="250"/>
        <v>0</v>
      </c>
      <c r="D1489" s="1473" t="str">
        <f t="shared" si="250"/>
        <v>-</v>
      </c>
      <c r="E1489" s="1476">
        <f t="shared" si="250"/>
        <v>0</v>
      </c>
      <c r="F1489" s="1444">
        <f t="shared" si="241"/>
        <v>15.05</v>
      </c>
      <c r="G1489" s="1444">
        <f t="shared" si="242"/>
        <v>15.05</v>
      </c>
      <c r="H1489" s="1476">
        <f t="shared" si="243"/>
        <v>0</v>
      </c>
      <c r="I1489" s="1444">
        <v>0</v>
      </c>
      <c r="J1489" s="1444">
        <v>0</v>
      </c>
      <c r="K1489" s="1476"/>
      <c r="L1489" s="1476"/>
      <c r="M1489" s="1476">
        <f t="shared" si="248"/>
        <v>0</v>
      </c>
      <c r="N1489" s="1476">
        <f t="shared" si="244"/>
        <v>0</v>
      </c>
    </row>
    <row r="1490" spans="1:14" ht="31" outlineLevel="1">
      <c r="A1490" s="1455">
        <f t="shared" si="250"/>
        <v>1.2</v>
      </c>
      <c r="B1490" s="1455" t="str">
        <f t="shared" si="250"/>
        <v>Procurement of assembly of baskets &amp; seals for Air Preheater of type 31.5 VIM 2000 (72° PA), in Unit-5 2x500MW, BTPS Bhusawal</v>
      </c>
      <c r="C1490" s="1475">
        <f t="shared" si="250"/>
        <v>0</v>
      </c>
      <c r="D1490" s="1473" t="str">
        <f t="shared" si="250"/>
        <v>-</v>
      </c>
      <c r="E1490" s="1476">
        <f t="shared" si="250"/>
        <v>0</v>
      </c>
      <c r="F1490" s="1444">
        <f t="shared" si="241"/>
        <v>7.45</v>
      </c>
      <c r="G1490" s="1444">
        <f t="shared" si="242"/>
        <v>7.45</v>
      </c>
      <c r="H1490" s="1476">
        <f t="shared" si="243"/>
        <v>0</v>
      </c>
      <c r="I1490" s="1444">
        <v>0</v>
      </c>
      <c r="J1490" s="1444">
        <v>0</v>
      </c>
      <c r="K1490" s="1476"/>
      <c r="L1490" s="1476"/>
      <c r="M1490" s="1476">
        <f t="shared" si="248"/>
        <v>0</v>
      </c>
      <c r="N1490" s="1476">
        <f t="shared" si="244"/>
        <v>0</v>
      </c>
    </row>
    <row r="1491" spans="1:14" ht="31" outlineLevel="1">
      <c r="A1491" s="1455">
        <f t="shared" si="250"/>
        <v>1.3</v>
      </c>
      <c r="B1491" s="1455" t="str">
        <f t="shared" si="250"/>
        <v>Procurement of APH Gearbox to improve availability and performance of Air preheaters at 2 x 500 MW Units, BTPS, Bhusawal. </v>
      </c>
      <c r="C1491" s="1475">
        <f t="shared" si="250"/>
        <v>0</v>
      </c>
      <c r="D1491" s="1473" t="str">
        <f t="shared" si="250"/>
        <v>-</v>
      </c>
      <c r="E1491" s="1476">
        <f t="shared" si="250"/>
        <v>0</v>
      </c>
      <c r="F1491" s="1444">
        <f t="shared" si="241"/>
        <v>9.25</v>
      </c>
      <c r="G1491" s="1444">
        <f t="shared" si="242"/>
        <v>9.25</v>
      </c>
      <c r="H1491" s="1476">
        <f t="shared" si="243"/>
        <v>0</v>
      </c>
      <c r="I1491" s="1444">
        <v>0</v>
      </c>
      <c r="J1491" s="1444">
        <v>0</v>
      </c>
      <c r="K1491" s="1476"/>
      <c r="L1491" s="1476"/>
      <c r="M1491" s="1476">
        <f t="shared" si="248"/>
        <v>0</v>
      </c>
      <c r="N1491" s="1476">
        <f t="shared" si="244"/>
        <v>0</v>
      </c>
    </row>
    <row r="1492" spans="1:14" ht="15.5" outlineLevel="1">
      <c r="A1492" s="1458">
        <f t="shared" si="250"/>
        <v>2</v>
      </c>
      <c r="B1492" s="1459" t="str">
        <f t="shared" si="250"/>
        <v>Boiler Reliability &amp; Availability improvement at 2x500MW, Bhusawal TPS.</v>
      </c>
      <c r="C1492" s="1442">
        <f t="shared" si="250"/>
        <v>0</v>
      </c>
      <c r="D1492" s="1443" t="str">
        <f t="shared" si="250"/>
        <v>-</v>
      </c>
      <c r="E1492" s="1444">
        <f t="shared" si="250"/>
        <v>0</v>
      </c>
      <c r="F1492" s="1444">
        <f t="shared" si="241"/>
        <v>83.63000000000001</v>
      </c>
      <c r="G1492" s="1444">
        <f t="shared" si="242"/>
        <v>0</v>
      </c>
      <c r="H1492" s="1444">
        <f t="shared" si="243"/>
        <v>83.63000000000001</v>
      </c>
      <c r="I1492" s="1444">
        <v>0</v>
      </c>
      <c r="J1492" s="1444">
        <v>0</v>
      </c>
      <c r="K1492" s="1444"/>
      <c r="L1492" s="1444"/>
      <c r="M1492" s="1444">
        <f t="shared" si="248"/>
        <v>0</v>
      </c>
      <c r="N1492" s="1444">
        <f t="shared" si="244"/>
        <v>83.63000000000001</v>
      </c>
    </row>
    <row r="1493" spans="1:14" ht="31" outlineLevel="1">
      <c r="A1493" s="1455">
        <f t="shared" si="250"/>
        <v>2.1</v>
      </c>
      <c r="B1493" s="1455" t="str">
        <f t="shared" si="250"/>
        <v xml:space="preserve">Procurement &amp; Replacement Of LTSH Coils for Unit - 4 &amp; 5 (500MW) TPS, Bhusawal. </v>
      </c>
      <c r="C1493" s="1475">
        <f t="shared" si="250"/>
        <v>0</v>
      </c>
      <c r="D1493" s="1473" t="str">
        <f t="shared" si="250"/>
        <v>-</v>
      </c>
      <c r="E1493" s="1476">
        <f t="shared" si="250"/>
        <v>0</v>
      </c>
      <c r="F1493" s="1444">
        <f t="shared" si="241"/>
        <v>19.11</v>
      </c>
      <c r="G1493" s="1444">
        <f t="shared" si="242"/>
        <v>19.11</v>
      </c>
      <c r="H1493" s="1476">
        <f t="shared" si="243"/>
        <v>0</v>
      </c>
      <c r="I1493" s="1444">
        <v>0</v>
      </c>
      <c r="J1493" s="1444">
        <v>0</v>
      </c>
      <c r="K1493" s="1476"/>
      <c r="L1493" s="1476"/>
      <c r="M1493" s="1476">
        <f t="shared" si="248"/>
        <v>0</v>
      </c>
      <c r="N1493" s="1476">
        <f t="shared" si="244"/>
        <v>0</v>
      </c>
    </row>
    <row r="1494" spans="1:14" ht="31" outlineLevel="1">
      <c r="A1494" s="1455">
        <f t="shared" si="250"/>
        <v>2.2000000000000002</v>
      </c>
      <c r="B1494" s="1455" t="str">
        <f t="shared" si="250"/>
        <v>Procurement &amp; Replacement Of Economiser Coils For Unit - 4 &amp; 5 (500MW) TPS, Bhusawal</v>
      </c>
      <c r="C1494" s="1475">
        <f t="shared" si="250"/>
        <v>0</v>
      </c>
      <c r="D1494" s="1473" t="str">
        <f t="shared" si="250"/>
        <v>-</v>
      </c>
      <c r="E1494" s="1476">
        <f t="shared" si="250"/>
        <v>0</v>
      </c>
      <c r="F1494" s="1444">
        <f t="shared" si="241"/>
        <v>47.6</v>
      </c>
      <c r="G1494" s="1444">
        <f t="shared" si="242"/>
        <v>47.6</v>
      </c>
      <c r="H1494" s="1476">
        <f t="shared" si="243"/>
        <v>0</v>
      </c>
      <c r="I1494" s="1444">
        <v>0</v>
      </c>
      <c r="J1494" s="1444">
        <v>0</v>
      </c>
      <c r="K1494" s="1476"/>
      <c r="L1494" s="1476"/>
      <c r="M1494" s="1476">
        <f t="shared" si="248"/>
        <v>0</v>
      </c>
      <c r="N1494" s="1476">
        <f t="shared" si="244"/>
        <v>0</v>
      </c>
    </row>
    <row r="1495" spans="1:14" ht="15.5" outlineLevel="1">
      <c r="A1495" s="1455">
        <f t="shared" si="250"/>
        <v>2.2999999999999998</v>
      </c>
      <c r="B1495" s="1455" t="str">
        <f t="shared" si="250"/>
        <v>Procurement of assembly of APH Baskets Unit-4</v>
      </c>
      <c r="C1495" s="1442">
        <f t="shared" si="250"/>
        <v>0</v>
      </c>
      <c r="D1495" s="1443" t="str">
        <f t="shared" si="250"/>
        <v>-</v>
      </c>
      <c r="E1495" s="1444">
        <f t="shared" si="250"/>
        <v>0</v>
      </c>
      <c r="F1495" s="1444">
        <f t="shared" si="241"/>
        <v>7.55</v>
      </c>
      <c r="G1495" s="1444">
        <f t="shared" si="242"/>
        <v>7.55</v>
      </c>
      <c r="H1495" s="1444">
        <f t="shared" si="243"/>
        <v>0</v>
      </c>
      <c r="I1495" s="1444">
        <v>0</v>
      </c>
      <c r="J1495" s="1444">
        <v>0</v>
      </c>
      <c r="K1495" s="1444"/>
      <c r="L1495" s="1444"/>
      <c r="M1495" s="1444">
        <f t="shared" si="248"/>
        <v>0</v>
      </c>
      <c r="N1495" s="1444">
        <f t="shared" si="244"/>
        <v>0</v>
      </c>
    </row>
    <row r="1496" spans="1:14" ht="15.5" outlineLevel="1">
      <c r="A1496" s="1455">
        <f t="shared" si="250"/>
        <v>2.4</v>
      </c>
      <c r="B1496" s="1455" t="str">
        <f t="shared" si="250"/>
        <v>Procurement of APH Gearbox Unit-4&amp;5</v>
      </c>
      <c r="C1496" s="1475">
        <f t="shared" si="250"/>
        <v>0</v>
      </c>
      <c r="D1496" s="1473" t="str">
        <f t="shared" si="250"/>
        <v>-</v>
      </c>
      <c r="E1496" s="1476">
        <f t="shared" si="250"/>
        <v>0</v>
      </c>
      <c r="F1496" s="1444">
        <f t="shared" si="241"/>
        <v>9.3699999999999992</v>
      </c>
      <c r="G1496" s="1444">
        <f t="shared" si="242"/>
        <v>9.3699999999999992</v>
      </c>
      <c r="H1496" s="1476">
        <f t="shared" si="243"/>
        <v>0</v>
      </c>
      <c r="I1496" s="1444">
        <v>0</v>
      </c>
      <c r="J1496" s="1444">
        <v>0</v>
      </c>
      <c r="K1496" s="1476"/>
      <c r="L1496" s="1476"/>
      <c r="M1496" s="1476">
        <f t="shared" si="248"/>
        <v>0</v>
      </c>
      <c r="N1496" s="1476">
        <f t="shared" si="244"/>
        <v>0</v>
      </c>
    </row>
    <row r="1497" spans="1:14" ht="15.5" outlineLevel="1">
      <c r="A1497" s="1458">
        <f t="shared" si="250"/>
        <v>3</v>
      </c>
      <c r="B1497" s="1459" t="str">
        <f t="shared" si="250"/>
        <v>Various Turbine side reliability improvement schemes at 2x500MW, BTPS</v>
      </c>
      <c r="C1497" s="1475">
        <f t="shared" si="250"/>
        <v>0</v>
      </c>
      <c r="D1497" s="1473" t="str">
        <f t="shared" si="250"/>
        <v>-</v>
      </c>
      <c r="E1497" s="1476">
        <f t="shared" si="250"/>
        <v>0</v>
      </c>
      <c r="F1497" s="1444">
        <f t="shared" si="241"/>
        <v>41.4</v>
      </c>
      <c r="G1497" s="1444">
        <f t="shared" si="242"/>
        <v>0</v>
      </c>
      <c r="H1497" s="1476">
        <f t="shared" si="243"/>
        <v>41.4</v>
      </c>
      <c r="I1497" s="1444">
        <v>0</v>
      </c>
      <c r="J1497" s="1444">
        <v>0</v>
      </c>
      <c r="K1497" s="1476"/>
      <c r="L1497" s="1476"/>
      <c r="M1497" s="1476">
        <f t="shared" si="248"/>
        <v>0</v>
      </c>
      <c r="N1497" s="1476">
        <f t="shared" si="244"/>
        <v>41.4</v>
      </c>
    </row>
    <row r="1498" spans="1:14" ht="15.5" outlineLevel="1">
      <c r="A1498" s="1455">
        <f t="shared" si="250"/>
        <v>3.1</v>
      </c>
      <c r="B1498" s="1455" t="str">
        <f t="shared" si="250"/>
        <v>Reliability improvement of Atlas copco make (mode -ZR -500)</v>
      </c>
      <c r="C1498" s="1475">
        <f t="shared" si="250"/>
        <v>0</v>
      </c>
      <c r="D1498" s="1473" t="str">
        <f t="shared" si="250"/>
        <v>-</v>
      </c>
      <c r="E1498" s="1476">
        <f t="shared" si="250"/>
        <v>0</v>
      </c>
      <c r="F1498" s="1444">
        <f t="shared" si="241"/>
        <v>2.4</v>
      </c>
      <c r="G1498" s="1444">
        <f t="shared" si="242"/>
        <v>2.4</v>
      </c>
      <c r="H1498" s="1476">
        <f t="shared" si="243"/>
        <v>0</v>
      </c>
      <c r="I1498" s="1444">
        <v>0</v>
      </c>
      <c r="J1498" s="1444">
        <v>0</v>
      </c>
      <c r="K1498" s="1476"/>
      <c r="L1498" s="1476"/>
      <c r="M1498" s="1476">
        <f t="shared" si="248"/>
        <v>0</v>
      </c>
      <c r="N1498" s="1476">
        <f t="shared" si="244"/>
        <v>0</v>
      </c>
    </row>
    <row r="1499" spans="1:14" ht="15.5" outlineLevel="1">
      <c r="A1499" s="1455">
        <f t="shared" si="250"/>
        <v>3.2</v>
      </c>
      <c r="B1499" s="1455" t="str">
        <f t="shared" si="250"/>
        <v xml:space="preserve">Reliability improvement of  HPCV Valve with procurment cone assy </v>
      </c>
      <c r="C1499" s="1475">
        <f t="shared" si="250"/>
        <v>0</v>
      </c>
      <c r="D1499" s="1473" t="str">
        <f t="shared" si="250"/>
        <v>-</v>
      </c>
      <c r="E1499" s="1476">
        <f t="shared" si="250"/>
        <v>0</v>
      </c>
      <c r="F1499" s="1444">
        <f t="shared" si="241"/>
        <v>2</v>
      </c>
      <c r="G1499" s="1444">
        <f t="shared" si="242"/>
        <v>2</v>
      </c>
      <c r="H1499" s="1476">
        <f t="shared" si="243"/>
        <v>0</v>
      </c>
      <c r="I1499" s="1444">
        <v>0</v>
      </c>
      <c r="J1499" s="1444">
        <v>0</v>
      </c>
      <c r="K1499" s="1476"/>
      <c r="L1499" s="1476"/>
      <c r="M1499" s="1476">
        <f t="shared" si="248"/>
        <v>0</v>
      </c>
      <c r="N1499" s="1476">
        <f t="shared" si="244"/>
        <v>0</v>
      </c>
    </row>
    <row r="1500" spans="1:14" ht="15.5" outlineLevel="1">
      <c r="A1500" s="1455">
        <f t="shared" si="250"/>
        <v>3.3</v>
      </c>
      <c r="B1500" s="1455" t="str">
        <f t="shared" si="250"/>
        <v>Reliability improvement of Alfa Laval make Portable COP</v>
      </c>
      <c r="C1500" s="1475">
        <f t="shared" si="250"/>
        <v>0</v>
      </c>
      <c r="D1500" s="1473" t="str">
        <f t="shared" si="250"/>
        <v>-</v>
      </c>
      <c r="E1500" s="1476">
        <f t="shared" si="250"/>
        <v>0</v>
      </c>
      <c r="F1500" s="1444">
        <f t="shared" si="241"/>
        <v>3</v>
      </c>
      <c r="G1500" s="1444">
        <f t="shared" si="242"/>
        <v>3</v>
      </c>
      <c r="H1500" s="1476">
        <f t="shared" si="243"/>
        <v>0</v>
      </c>
      <c r="I1500" s="1444">
        <v>0</v>
      </c>
      <c r="J1500" s="1444">
        <v>0</v>
      </c>
      <c r="K1500" s="1476"/>
      <c r="L1500" s="1476"/>
      <c r="M1500" s="1476">
        <f t="shared" si="248"/>
        <v>0</v>
      </c>
      <c r="N1500" s="1476">
        <f t="shared" si="244"/>
        <v>0</v>
      </c>
    </row>
    <row r="1501" spans="1:14" ht="31" outlineLevel="1">
      <c r="A1501" s="1455">
        <f t="shared" si="250"/>
        <v>3.4</v>
      </c>
      <c r="B1501" s="1455" t="str">
        <f t="shared" si="250"/>
        <v>Reliability improvement of Seal Oil System with procurement of various U Seal rings</v>
      </c>
      <c r="C1501" s="1475">
        <f t="shared" si="250"/>
        <v>0</v>
      </c>
      <c r="D1501" s="1473" t="str">
        <f t="shared" si="250"/>
        <v>-</v>
      </c>
      <c r="E1501" s="1476">
        <f t="shared" si="250"/>
        <v>0</v>
      </c>
      <c r="F1501" s="1444">
        <f t="shared" si="241"/>
        <v>2</v>
      </c>
      <c r="G1501" s="1444">
        <f t="shared" si="242"/>
        <v>2</v>
      </c>
      <c r="H1501" s="1476">
        <f t="shared" si="243"/>
        <v>0</v>
      </c>
      <c r="I1501" s="1444">
        <v>0</v>
      </c>
      <c r="J1501" s="1444">
        <v>0</v>
      </c>
      <c r="K1501" s="1476"/>
      <c r="L1501" s="1476"/>
      <c r="M1501" s="1476">
        <f t="shared" si="248"/>
        <v>0</v>
      </c>
      <c r="N1501" s="1476">
        <f t="shared" si="244"/>
        <v>0</v>
      </c>
    </row>
    <row r="1502" spans="1:14" ht="31" outlineLevel="1">
      <c r="A1502" s="1455">
        <f t="shared" ref="A1502:E1517" si="251">A1272</f>
        <v>3.5</v>
      </c>
      <c r="B1502" s="1455" t="str">
        <f t="shared" si="251"/>
        <v>Reliability improvement of Unit-4 &amp; 5 NDCT with replacement of PVC fills and allied work</v>
      </c>
      <c r="C1502" s="1442">
        <f t="shared" si="251"/>
        <v>0</v>
      </c>
      <c r="D1502" s="1443" t="str">
        <f t="shared" si="251"/>
        <v>-</v>
      </c>
      <c r="E1502" s="1444">
        <f t="shared" si="251"/>
        <v>0</v>
      </c>
      <c r="F1502" s="1444">
        <f t="shared" si="241"/>
        <v>30</v>
      </c>
      <c r="G1502" s="1444">
        <f t="shared" si="242"/>
        <v>30</v>
      </c>
      <c r="H1502" s="1444">
        <f t="shared" si="243"/>
        <v>0</v>
      </c>
      <c r="I1502" s="1444">
        <v>0</v>
      </c>
      <c r="J1502" s="1444">
        <v>0</v>
      </c>
      <c r="K1502" s="1444"/>
      <c r="L1502" s="1444"/>
      <c r="M1502" s="1444">
        <f t="shared" si="248"/>
        <v>0</v>
      </c>
      <c r="N1502" s="1444">
        <f t="shared" si="244"/>
        <v>0</v>
      </c>
    </row>
    <row r="1503" spans="1:14" ht="15.5" outlineLevel="1">
      <c r="A1503" s="1455">
        <f t="shared" si="251"/>
        <v>3.6</v>
      </c>
      <c r="B1503" s="1455" t="str">
        <f t="shared" si="251"/>
        <v>Upgradation of Chiller plant, GEHO pump house &amp; OLTC PLC system.</v>
      </c>
      <c r="C1503" s="1475">
        <f t="shared" si="251"/>
        <v>0</v>
      </c>
      <c r="D1503" s="1473" t="str">
        <f t="shared" si="251"/>
        <v>-</v>
      </c>
      <c r="E1503" s="1476">
        <f t="shared" si="251"/>
        <v>0</v>
      </c>
      <c r="F1503" s="1444">
        <f t="shared" si="241"/>
        <v>2</v>
      </c>
      <c r="G1503" s="1444">
        <f t="shared" si="242"/>
        <v>2</v>
      </c>
      <c r="H1503" s="1476">
        <f t="shared" si="243"/>
        <v>0</v>
      </c>
      <c r="I1503" s="1444">
        <v>0</v>
      </c>
      <c r="J1503" s="1444">
        <v>0</v>
      </c>
      <c r="K1503" s="1476"/>
      <c r="L1503" s="1476"/>
      <c r="M1503" s="1476">
        <f t="shared" si="248"/>
        <v>0</v>
      </c>
      <c r="N1503" s="1476">
        <f t="shared" si="244"/>
        <v>0</v>
      </c>
    </row>
    <row r="1504" spans="1:14" ht="15.5" outlineLevel="1">
      <c r="A1504" s="1458">
        <f t="shared" si="251"/>
        <v>4</v>
      </c>
      <c r="B1504" s="1459" t="str">
        <f t="shared" si="251"/>
        <v>IB recommended scheme related (Civil and Electrical)</v>
      </c>
      <c r="C1504" s="1475">
        <f t="shared" si="251"/>
        <v>0</v>
      </c>
      <c r="D1504" s="1473" t="str">
        <f t="shared" si="251"/>
        <v>-</v>
      </c>
      <c r="E1504" s="1476">
        <f t="shared" si="251"/>
        <v>0</v>
      </c>
      <c r="F1504" s="1444">
        <f t="shared" si="241"/>
        <v>10.76</v>
      </c>
      <c r="G1504" s="1444">
        <f t="shared" si="242"/>
        <v>0</v>
      </c>
      <c r="H1504" s="1476">
        <f t="shared" si="243"/>
        <v>10.76</v>
      </c>
      <c r="I1504" s="1444">
        <v>0</v>
      </c>
      <c r="J1504" s="1444">
        <v>0</v>
      </c>
      <c r="K1504" s="1476"/>
      <c r="L1504" s="1476"/>
      <c r="M1504" s="1476">
        <f t="shared" si="248"/>
        <v>0</v>
      </c>
      <c r="N1504" s="1476">
        <f t="shared" si="244"/>
        <v>10.76</v>
      </c>
    </row>
    <row r="1505" spans="1:14" ht="31" outlineLevel="1">
      <c r="A1505" s="1455">
        <f t="shared" si="251"/>
        <v>4.0999999999999996</v>
      </c>
      <c r="B1505" s="1455" t="str">
        <f t="shared" si="251"/>
        <v>Work of fabricating and erecting structural steel watch tower (10 Nos.) in major store, plant area, ash pipe line and ash bund area at BTPS, Deepnagar.</v>
      </c>
      <c r="C1505" s="1475">
        <f t="shared" si="251"/>
        <v>0</v>
      </c>
      <c r="D1505" s="1473" t="str">
        <f t="shared" si="251"/>
        <v>-</v>
      </c>
      <c r="E1505" s="1476">
        <f t="shared" si="251"/>
        <v>0</v>
      </c>
      <c r="F1505" s="1444">
        <f t="shared" si="241"/>
        <v>0.86</v>
      </c>
      <c r="G1505" s="1444">
        <f t="shared" si="242"/>
        <v>0.86</v>
      </c>
      <c r="H1505" s="1476">
        <f t="shared" si="243"/>
        <v>0</v>
      </c>
      <c r="I1505" s="1444">
        <v>0</v>
      </c>
      <c r="J1505" s="1444">
        <v>0</v>
      </c>
      <c r="K1505" s="1476"/>
      <c r="L1505" s="1476"/>
      <c r="M1505" s="1476">
        <f t="shared" si="248"/>
        <v>0</v>
      </c>
      <c r="N1505" s="1476">
        <f t="shared" si="244"/>
        <v>0</v>
      </c>
    </row>
    <row r="1506" spans="1:14" ht="31" outlineLevel="1">
      <c r="A1506" s="1455">
        <f t="shared" si="251"/>
        <v>4.2</v>
      </c>
      <c r="B1506" s="1455" t="str">
        <f t="shared" si="251"/>
        <v>Work of construction of ladies frisking room for security section and visitors room near factory gate and providing at 2x500MW, BTPS, Deepnagar.</v>
      </c>
      <c r="C1506" s="1442">
        <f t="shared" si="251"/>
        <v>0</v>
      </c>
      <c r="D1506" s="1443" t="str">
        <f t="shared" si="251"/>
        <v>-</v>
      </c>
      <c r="E1506" s="1444">
        <f t="shared" si="251"/>
        <v>0</v>
      </c>
      <c r="F1506" s="1444">
        <f t="shared" si="241"/>
        <v>0.43</v>
      </c>
      <c r="G1506" s="1444">
        <f t="shared" si="242"/>
        <v>0.43</v>
      </c>
      <c r="H1506" s="1444">
        <f t="shared" si="243"/>
        <v>0</v>
      </c>
      <c r="I1506" s="1444">
        <v>0</v>
      </c>
      <c r="J1506" s="1444">
        <v>0</v>
      </c>
      <c r="K1506" s="1444"/>
      <c r="L1506" s="1444"/>
      <c r="M1506" s="1444">
        <f t="shared" si="248"/>
        <v>0</v>
      </c>
      <c r="N1506" s="1444">
        <f t="shared" si="244"/>
        <v>0</v>
      </c>
    </row>
    <row r="1507" spans="1:14" ht="31" outlineLevel="1">
      <c r="A1507" s="1455">
        <f t="shared" si="251"/>
        <v>4.3</v>
      </c>
      <c r="B1507" s="1455" t="str">
        <f t="shared" si="251"/>
        <v>Work of dismantling and construction old weathered UCR compound wall on bhogawati riverside in 2x500 MW at BTPS.</v>
      </c>
      <c r="C1507" s="1475">
        <f t="shared" si="251"/>
        <v>0</v>
      </c>
      <c r="D1507" s="1473" t="str">
        <f t="shared" si="251"/>
        <v>-</v>
      </c>
      <c r="E1507" s="1476">
        <f t="shared" si="251"/>
        <v>0</v>
      </c>
      <c r="F1507" s="1444">
        <f t="shared" si="241"/>
        <v>3.29</v>
      </c>
      <c r="G1507" s="1444">
        <f t="shared" si="242"/>
        <v>3.29</v>
      </c>
      <c r="H1507" s="1476">
        <f t="shared" si="243"/>
        <v>0</v>
      </c>
      <c r="I1507" s="1444">
        <v>0</v>
      </c>
      <c r="J1507" s="1444">
        <v>0</v>
      </c>
      <c r="K1507" s="1476"/>
      <c r="L1507" s="1476"/>
      <c r="M1507" s="1476">
        <f t="shared" si="248"/>
        <v>0</v>
      </c>
      <c r="N1507" s="1476">
        <f t="shared" si="244"/>
        <v>0</v>
      </c>
    </row>
    <row r="1508" spans="1:14" ht="31" outlineLevel="1">
      <c r="A1508" s="1455">
        <f t="shared" si="251"/>
        <v>4.4000000000000004</v>
      </c>
      <c r="B1508" s="1455" t="str">
        <f t="shared" si="251"/>
        <v>Construcion of RCC comppund wall from remote silo to pimpri sekam railway siding cabin at BTPS</v>
      </c>
      <c r="C1508" s="1475">
        <f t="shared" si="251"/>
        <v>0</v>
      </c>
      <c r="D1508" s="1473" t="str">
        <f t="shared" si="251"/>
        <v>-</v>
      </c>
      <c r="E1508" s="1476">
        <f t="shared" si="251"/>
        <v>0</v>
      </c>
      <c r="F1508" s="1444">
        <f t="shared" si="241"/>
        <v>2.02</v>
      </c>
      <c r="G1508" s="1444">
        <f t="shared" si="242"/>
        <v>2.02</v>
      </c>
      <c r="H1508" s="1476">
        <f t="shared" si="243"/>
        <v>0</v>
      </c>
      <c r="I1508" s="1444">
        <v>0</v>
      </c>
      <c r="J1508" s="1444">
        <v>0</v>
      </c>
      <c r="K1508" s="1476"/>
      <c r="L1508" s="1476"/>
      <c r="M1508" s="1476">
        <f t="shared" si="248"/>
        <v>0</v>
      </c>
      <c r="N1508" s="1476">
        <f t="shared" si="244"/>
        <v>0</v>
      </c>
    </row>
    <row r="1509" spans="1:14" ht="15.5" outlineLevel="1">
      <c r="A1509" s="1455">
        <f t="shared" si="251"/>
        <v>4.5</v>
      </c>
      <c r="B1509" s="1455" t="str">
        <f t="shared" si="251"/>
        <v>Installation of Highmast towers</v>
      </c>
      <c r="C1509" s="1475">
        <f t="shared" si="251"/>
        <v>0</v>
      </c>
      <c r="D1509" s="1473" t="str">
        <f t="shared" si="251"/>
        <v>-</v>
      </c>
      <c r="E1509" s="1476">
        <f t="shared" si="251"/>
        <v>0</v>
      </c>
      <c r="F1509" s="1444">
        <f t="shared" si="241"/>
        <v>4.16</v>
      </c>
      <c r="G1509" s="1444">
        <f t="shared" si="242"/>
        <v>4.16</v>
      </c>
      <c r="H1509" s="1476">
        <f t="shared" si="243"/>
        <v>0</v>
      </c>
      <c r="I1509" s="1444">
        <v>0</v>
      </c>
      <c r="J1509" s="1444">
        <v>0</v>
      </c>
      <c r="K1509" s="1476"/>
      <c r="L1509" s="1476"/>
      <c r="M1509" s="1476">
        <f t="shared" si="248"/>
        <v>0</v>
      </c>
      <c r="N1509" s="1476">
        <f t="shared" si="244"/>
        <v>0</v>
      </c>
    </row>
    <row r="1510" spans="1:14" ht="15.5" outlineLevel="1">
      <c r="A1510" s="1457">
        <f t="shared" si="251"/>
        <v>0</v>
      </c>
      <c r="B1510" s="1457" t="str">
        <f t="shared" si="251"/>
        <v xml:space="preserve">FY 2026-27 </v>
      </c>
      <c r="C1510" s="1475">
        <f t="shared" si="251"/>
        <v>0</v>
      </c>
      <c r="D1510" s="1473" t="str">
        <f t="shared" si="251"/>
        <v>-</v>
      </c>
      <c r="E1510" s="1476">
        <f t="shared" si="251"/>
        <v>0</v>
      </c>
      <c r="F1510" s="1444">
        <f t="shared" si="241"/>
        <v>0</v>
      </c>
      <c r="G1510" s="1444">
        <f t="shared" si="242"/>
        <v>0</v>
      </c>
      <c r="H1510" s="1476">
        <f t="shared" si="243"/>
        <v>0</v>
      </c>
      <c r="I1510" s="1444">
        <v>0</v>
      </c>
      <c r="J1510" s="1444">
        <v>0</v>
      </c>
      <c r="K1510" s="1476"/>
      <c r="L1510" s="1476"/>
      <c r="M1510" s="1476">
        <f t="shared" si="248"/>
        <v>0</v>
      </c>
      <c r="N1510" s="1476">
        <f t="shared" si="244"/>
        <v>0</v>
      </c>
    </row>
    <row r="1511" spans="1:14" ht="31" outlineLevel="1">
      <c r="A1511" s="1458">
        <f t="shared" si="251"/>
        <v>1</v>
      </c>
      <c r="B1511" s="1459" t="str">
        <f t="shared" si="251"/>
        <v>Coal Mill Performance Improvement and Life Enhancement of BHEL Make XRP-1043 Coal Mills in 2x500 MW BTPS.</v>
      </c>
      <c r="C1511" s="1475">
        <f t="shared" si="251"/>
        <v>0</v>
      </c>
      <c r="D1511" s="1473" t="str">
        <f t="shared" si="251"/>
        <v>-</v>
      </c>
      <c r="E1511" s="1476">
        <f t="shared" si="251"/>
        <v>0</v>
      </c>
      <c r="F1511" s="1444">
        <f t="shared" si="241"/>
        <v>0</v>
      </c>
      <c r="G1511" s="1444">
        <f t="shared" si="242"/>
        <v>0</v>
      </c>
      <c r="H1511" s="1476">
        <f t="shared" si="243"/>
        <v>0</v>
      </c>
      <c r="I1511" s="1444">
        <v>0</v>
      </c>
      <c r="J1511" s="1444">
        <v>0</v>
      </c>
      <c r="K1511" s="1476"/>
      <c r="L1511" s="1476"/>
      <c r="M1511" s="1476">
        <f t="shared" si="248"/>
        <v>0</v>
      </c>
      <c r="N1511" s="1476">
        <f t="shared" si="244"/>
        <v>0</v>
      </c>
    </row>
    <row r="1512" spans="1:14" ht="31" outlineLevel="1">
      <c r="A1512" s="1455">
        <f t="shared" si="251"/>
        <v>1.1000000000000001</v>
      </c>
      <c r="B1512" s="1455" t="str">
        <f t="shared" si="251"/>
        <v>Coal Mill Performance Improvement and Life Enhancement of BHEL Make XRP-1043 Coal Mills in 2x500 MW BTPS.</v>
      </c>
      <c r="C1512" s="1475">
        <f t="shared" si="251"/>
        <v>0</v>
      </c>
      <c r="D1512" s="1473" t="str">
        <f t="shared" si="251"/>
        <v>-</v>
      </c>
      <c r="E1512" s="1476">
        <f t="shared" si="251"/>
        <v>0</v>
      </c>
      <c r="F1512" s="1444">
        <f t="shared" si="241"/>
        <v>50</v>
      </c>
      <c r="G1512" s="1444">
        <f t="shared" si="242"/>
        <v>50</v>
      </c>
      <c r="H1512" s="1476">
        <f t="shared" si="243"/>
        <v>0</v>
      </c>
      <c r="I1512" s="1444">
        <v>0</v>
      </c>
      <c r="J1512" s="1444">
        <v>0</v>
      </c>
      <c r="K1512" s="1476"/>
      <c r="L1512" s="1476"/>
      <c r="M1512" s="1476">
        <f t="shared" si="248"/>
        <v>0</v>
      </c>
      <c r="N1512" s="1476">
        <f t="shared" si="244"/>
        <v>0</v>
      </c>
    </row>
    <row r="1513" spans="1:14" ht="46.5" outlineLevel="1">
      <c r="A1513" s="1455">
        <f t="shared" si="251"/>
        <v>2</v>
      </c>
      <c r="B1513" s="1455" t="str">
        <f t="shared" si="251"/>
        <v xml:space="preserve">Upgradation of Coal feeder weighing system and revamping of Boiler side pneumatic dampers system of Hot air, cold air, FD,PA and burner tilt at Bhusawal TPS 2x500W </v>
      </c>
      <c r="C1513" s="1475">
        <f t="shared" si="251"/>
        <v>0</v>
      </c>
      <c r="D1513" s="1473" t="str">
        <f t="shared" si="251"/>
        <v>-</v>
      </c>
      <c r="E1513" s="1476">
        <f t="shared" si="251"/>
        <v>0</v>
      </c>
      <c r="F1513" s="1444">
        <f t="shared" si="241"/>
        <v>0</v>
      </c>
      <c r="G1513" s="1444">
        <f t="shared" si="242"/>
        <v>0</v>
      </c>
      <c r="H1513" s="1476">
        <f t="shared" si="243"/>
        <v>0</v>
      </c>
      <c r="I1513" s="1444">
        <v>0</v>
      </c>
      <c r="J1513" s="1444">
        <v>0</v>
      </c>
      <c r="K1513" s="1476"/>
      <c r="L1513" s="1476"/>
      <c r="M1513" s="1476">
        <f t="shared" si="248"/>
        <v>0</v>
      </c>
      <c r="N1513" s="1476">
        <f t="shared" si="244"/>
        <v>0</v>
      </c>
    </row>
    <row r="1514" spans="1:14" ht="15.5" outlineLevel="1">
      <c r="A1514" s="1455">
        <f t="shared" si="251"/>
        <v>2.1</v>
      </c>
      <c r="B1514" s="1455" t="str">
        <f t="shared" si="251"/>
        <v xml:space="preserve">Upgradation of Coal feeder weighing system  at Bhusawal TPS 2x500W </v>
      </c>
      <c r="C1514" s="1475">
        <f t="shared" si="251"/>
        <v>0</v>
      </c>
      <c r="D1514" s="1473" t="str">
        <f t="shared" si="251"/>
        <v>-</v>
      </c>
      <c r="E1514" s="1476">
        <f t="shared" si="251"/>
        <v>0</v>
      </c>
      <c r="F1514" s="1444">
        <f t="shared" si="241"/>
        <v>11.42</v>
      </c>
      <c r="G1514" s="1444">
        <f t="shared" si="242"/>
        <v>11.42</v>
      </c>
      <c r="H1514" s="1476">
        <f t="shared" si="243"/>
        <v>0</v>
      </c>
      <c r="I1514" s="1444">
        <v>0</v>
      </c>
      <c r="J1514" s="1444">
        <v>0</v>
      </c>
      <c r="K1514" s="1476"/>
      <c r="L1514" s="1476"/>
      <c r="M1514" s="1476">
        <f t="shared" si="248"/>
        <v>0</v>
      </c>
      <c r="N1514" s="1476">
        <f t="shared" si="244"/>
        <v>0</v>
      </c>
    </row>
    <row r="1515" spans="1:14" ht="15.5" outlineLevel="1">
      <c r="A1515" s="1455">
        <f t="shared" si="251"/>
        <v>2.2000000000000002</v>
      </c>
      <c r="B1515" s="1455" t="str">
        <f t="shared" si="251"/>
        <v>Up-gradation of carbon monoxide analyzer in flue gas installed</v>
      </c>
      <c r="C1515" s="1475">
        <f t="shared" si="251"/>
        <v>0</v>
      </c>
      <c r="D1515" s="1473" t="str">
        <f t="shared" si="251"/>
        <v>-</v>
      </c>
      <c r="E1515" s="1476">
        <f t="shared" si="251"/>
        <v>0</v>
      </c>
      <c r="F1515" s="1444">
        <f t="shared" si="241"/>
        <v>2.16</v>
      </c>
      <c r="G1515" s="1444">
        <f t="shared" si="242"/>
        <v>2.16</v>
      </c>
      <c r="H1515" s="1476">
        <f t="shared" si="243"/>
        <v>0</v>
      </c>
      <c r="I1515" s="1444">
        <v>0</v>
      </c>
      <c r="J1515" s="1444">
        <v>0</v>
      </c>
      <c r="K1515" s="1476"/>
      <c r="L1515" s="1476"/>
      <c r="M1515" s="1476">
        <f t="shared" si="248"/>
        <v>0</v>
      </c>
      <c r="N1515" s="1476">
        <f t="shared" si="244"/>
        <v>0</v>
      </c>
    </row>
    <row r="1516" spans="1:14" ht="31" outlineLevel="1">
      <c r="A1516" s="1455">
        <f t="shared" si="251"/>
        <v>2.2999999999999998</v>
      </c>
      <c r="B1516" s="1455" t="str">
        <f t="shared" si="251"/>
        <v>Up- Gradation of condition monitoring &amp; analysis system for TSI of Main Turbine , TDBFP &amp; BOP System 2x500 MW BTPS.</v>
      </c>
      <c r="C1516" s="1475">
        <f t="shared" si="251"/>
        <v>0</v>
      </c>
      <c r="D1516" s="1473" t="str">
        <f t="shared" si="251"/>
        <v>-</v>
      </c>
      <c r="E1516" s="1476">
        <f t="shared" si="251"/>
        <v>0</v>
      </c>
      <c r="F1516" s="1444">
        <f t="shared" si="241"/>
        <v>13.2</v>
      </c>
      <c r="G1516" s="1444">
        <f t="shared" si="242"/>
        <v>13.2</v>
      </c>
      <c r="H1516" s="1476">
        <f t="shared" si="243"/>
        <v>0</v>
      </c>
      <c r="I1516" s="1444">
        <v>0</v>
      </c>
      <c r="J1516" s="1444">
        <v>0</v>
      </c>
      <c r="K1516" s="1476"/>
      <c r="L1516" s="1476"/>
      <c r="M1516" s="1476">
        <f t="shared" si="248"/>
        <v>0</v>
      </c>
      <c r="N1516" s="1476">
        <f t="shared" si="244"/>
        <v>0</v>
      </c>
    </row>
    <row r="1517" spans="1:14" ht="31" outlineLevel="1">
      <c r="A1517" s="1455">
        <f t="shared" si="251"/>
        <v>2.5</v>
      </c>
      <c r="B1517" s="1455" t="str">
        <f t="shared" si="251"/>
        <v xml:space="preserve">Revamping of Boiler side pneumatic dampers system of Hot air, cold air, FD,PA and burner tilt at BTPS 2X500MW </v>
      </c>
      <c r="C1517" s="1475">
        <f t="shared" si="251"/>
        <v>0</v>
      </c>
      <c r="D1517" s="1473" t="str">
        <f t="shared" si="251"/>
        <v>-</v>
      </c>
      <c r="E1517" s="1476">
        <f t="shared" si="251"/>
        <v>0</v>
      </c>
      <c r="F1517" s="1444">
        <f t="shared" si="241"/>
        <v>6</v>
      </c>
      <c r="G1517" s="1444">
        <f t="shared" si="242"/>
        <v>6</v>
      </c>
      <c r="H1517" s="1476">
        <f t="shared" si="243"/>
        <v>0</v>
      </c>
      <c r="I1517" s="1444">
        <v>0</v>
      </c>
      <c r="J1517" s="1444">
        <v>0</v>
      </c>
      <c r="K1517" s="1476"/>
      <c r="L1517" s="1476"/>
      <c r="M1517" s="1476">
        <f t="shared" si="248"/>
        <v>0</v>
      </c>
      <c r="N1517" s="1476">
        <f t="shared" si="244"/>
        <v>0</v>
      </c>
    </row>
    <row r="1518" spans="1:14" ht="15.5" outlineLevel="1">
      <c r="A1518" s="1455">
        <f t="shared" ref="A1518:E1533" si="252">A1288</f>
        <v>2.6</v>
      </c>
      <c r="B1518" s="1455" t="str">
        <f t="shared" si="252"/>
        <v>Procurement of various high pressure valves at 2x500 MW.</v>
      </c>
      <c r="C1518" s="1442">
        <f t="shared" si="252"/>
        <v>0</v>
      </c>
      <c r="D1518" s="1443" t="str">
        <f t="shared" si="252"/>
        <v>-</v>
      </c>
      <c r="E1518" s="1444">
        <f t="shared" si="252"/>
        <v>0</v>
      </c>
      <c r="F1518" s="1444">
        <f t="shared" ref="F1518:F1581" si="253">F1288+I1288</f>
        <v>2.2200000000000002</v>
      </c>
      <c r="G1518" s="1444">
        <f t="shared" ref="G1518:G1581" si="254">G1288+M1288</f>
        <v>2.2200000000000002</v>
      </c>
      <c r="H1518" s="1444">
        <f t="shared" ref="H1518:H1601" si="255">F1518-G1518</f>
        <v>0</v>
      </c>
      <c r="I1518" s="1444">
        <v>0</v>
      </c>
      <c r="J1518" s="1444">
        <v>0</v>
      </c>
      <c r="K1518" s="1444"/>
      <c r="L1518" s="1444"/>
      <c r="M1518" s="1444">
        <f t="shared" si="248"/>
        <v>0</v>
      </c>
      <c r="N1518" s="1444">
        <f t="shared" ref="N1518:N1601" si="256">H1518+I1518-M1518</f>
        <v>0</v>
      </c>
    </row>
    <row r="1519" spans="1:14" ht="31" outlineLevel="1">
      <c r="A1519" s="1458">
        <f t="shared" si="252"/>
        <v>3</v>
      </c>
      <c r="B1519" s="1459" t="str">
        <f t="shared" si="252"/>
        <v>Schemes for Turbine side auxiliaries systems Performance &amp; efficiency improvement schemes at 2X500MW, Bhusawal TPS</v>
      </c>
      <c r="C1519" s="1475">
        <f t="shared" si="252"/>
        <v>0</v>
      </c>
      <c r="D1519" s="1473" t="str">
        <f t="shared" si="252"/>
        <v>-</v>
      </c>
      <c r="E1519" s="1476">
        <f t="shared" si="252"/>
        <v>0</v>
      </c>
      <c r="F1519" s="1444">
        <f t="shared" si="253"/>
        <v>0</v>
      </c>
      <c r="G1519" s="1444">
        <f t="shared" si="254"/>
        <v>0</v>
      </c>
      <c r="H1519" s="1476">
        <f t="shared" si="255"/>
        <v>0</v>
      </c>
      <c r="I1519" s="1444">
        <v>0</v>
      </c>
      <c r="J1519" s="1444">
        <v>0</v>
      </c>
      <c r="K1519" s="1476"/>
      <c r="L1519" s="1476"/>
      <c r="M1519" s="1476">
        <f t="shared" si="248"/>
        <v>0</v>
      </c>
      <c r="N1519" s="1476">
        <f t="shared" si="256"/>
        <v>0</v>
      </c>
    </row>
    <row r="1520" spans="1:14" ht="31" outlineLevel="1">
      <c r="A1520" s="1455">
        <f t="shared" si="252"/>
        <v>3.1</v>
      </c>
      <c r="B1520" s="1455" t="str">
        <f t="shared" si="252"/>
        <v>Procurement of BFP Booster Pump (FA-1B-75) complete assembly (04 Nos) at 500MW BTPS, Bhusawal.</v>
      </c>
      <c r="C1520" s="1475">
        <f t="shared" si="252"/>
        <v>0</v>
      </c>
      <c r="D1520" s="1473" t="str">
        <f t="shared" si="252"/>
        <v>-</v>
      </c>
      <c r="E1520" s="1476">
        <f t="shared" si="252"/>
        <v>0</v>
      </c>
      <c r="F1520" s="1444">
        <f t="shared" si="253"/>
        <v>3.16</v>
      </c>
      <c r="G1520" s="1444">
        <f t="shared" si="254"/>
        <v>3.16</v>
      </c>
      <c r="H1520" s="1476">
        <f t="shared" si="255"/>
        <v>0</v>
      </c>
      <c r="I1520" s="1444">
        <v>0</v>
      </c>
      <c r="J1520" s="1444">
        <v>0</v>
      </c>
      <c r="K1520" s="1476"/>
      <c r="L1520" s="1476"/>
      <c r="M1520" s="1476">
        <f t="shared" si="248"/>
        <v>0</v>
      </c>
      <c r="N1520" s="1476">
        <f t="shared" si="256"/>
        <v>0</v>
      </c>
    </row>
    <row r="1521" spans="1:14" ht="31" outlineLevel="1">
      <c r="A1521" s="1455">
        <f t="shared" si="252"/>
        <v>3.2</v>
      </c>
      <c r="B1521" s="1455" t="str">
        <f t="shared" si="252"/>
        <v>Procurement of Vacuum Pump complete assembly with recirculation Pump (01 No) and Impeller assembly (2 Nos) at 500MW BTPS, Bhusawal.</v>
      </c>
      <c r="C1521" s="1475">
        <f t="shared" si="252"/>
        <v>0</v>
      </c>
      <c r="D1521" s="1473" t="str">
        <f t="shared" si="252"/>
        <v>-</v>
      </c>
      <c r="E1521" s="1476">
        <f t="shared" si="252"/>
        <v>0</v>
      </c>
      <c r="F1521" s="1444">
        <f t="shared" si="253"/>
        <v>5.2</v>
      </c>
      <c r="G1521" s="1444">
        <f t="shared" si="254"/>
        <v>5.2</v>
      </c>
      <c r="H1521" s="1476">
        <f t="shared" si="255"/>
        <v>0</v>
      </c>
      <c r="I1521" s="1444">
        <v>0</v>
      </c>
      <c r="J1521" s="1444">
        <v>0</v>
      </c>
      <c r="K1521" s="1476"/>
      <c r="L1521" s="1476"/>
      <c r="M1521" s="1476">
        <f t="shared" si="248"/>
        <v>0</v>
      </c>
      <c r="N1521" s="1476">
        <f t="shared" si="256"/>
        <v>0</v>
      </c>
    </row>
    <row r="1522" spans="1:14" ht="31" outlineLevel="1">
      <c r="A1522" s="1455">
        <f t="shared" si="252"/>
        <v>3.3</v>
      </c>
      <c r="B1522" s="1455" t="str">
        <f t="shared" si="252"/>
        <v>Revamping, modification of outdoor ducting of Air ventilation system at 2x500MW BTPS, Bhusawal.</v>
      </c>
      <c r="C1522" s="1475">
        <f t="shared" si="252"/>
        <v>0</v>
      </c>
      <c r="D1522" s="1473" t="str">
        <f t="shared" si="252"/>
        <v>-</v>
      </c>
      <c r="E1522" s="1476">
        <f t="shared" si="252"/>
        <v>0</v>
      </c>
      <c r="F1522" s="1444">
        <f t="shared" si="253"/>
        <v>8.7200000000000006</v>
      </c>
      <c r="G1522" s="1444">
        <f t="shared" si="254"/>
        <v>8.7200000000000006</v>
      </c>
      <c r="H1522" s="1476">
        <f t="shared" si="255"/>
        <v>0</v>
      </c>
      <c r="I1522" s="1444">
        <v>0</v>
      </c>
      <c r="J1522" s="1444">
        <v>0</v>
      </c>
      <c r="K1522" s="1476"/>
      <c r="L1522" s="1476"/>
      <c r="M1522" s="1476">
        <f t="shared" si="248"/>
        <v>0</v>
      </c>
      <c r="N1522" s="1476">
        <f t="shared" si="256"/>
        <v>0</v>
      </c>
    </row>
    <row r="1523" spans="1:14" ht="15.5" outlineLevel="1">
      <c r="A1523" s="1455">
        <f t="shared" si="252"/>
        <v>3.4</v>
      </c>
      <c r="B1523" s="1455" t="str">
        <f t="shared" si="252"/>
        <v>Performance improvement of compressors</v>
      </c>
      <c r="C1523" s="1475">
        <f t="shared" si="252"/>
        <v>0</v>
      </c>
      <c r="D1523" s="1473" t="str">
        <f t="shared" si="252"/>
        <v>-</v>
      </c>
      <c r="E1523" s="1476">
        <f t="shared" si="252"/>
        <v>0</v>
      </c>
      <c r="F1523" s="1444">
        <f t="shared" si="253"/>
        <v>12.99</v>
      </c>
      <c r="G1523" s="1444">
        <f t="shared" si="254"/>
        <v>12.99</v>
      </c>
      <c r="H1523" s="1476">
        <f t="shared" si="255"/>
        <v>0</v>
      </c>
      <c r="I1523" s="1444">
        <v>0</v>
      </c>
      <c r="J1523" s="1444">
        <v>0</v>
      </c>
      <c r="K1523" s="1476"/>
      <c r="L1523" s="1476"/>
      <c r="M1523" s="1476">
        <f t="shared" si="248"/>
        <v>0</v>
      </c>
      <c r="N1523" s="1476">
        <f t="shared" si="256"/>
        <v>0</v>
      </c>
    </row>
    <row r="1524" spans="1:14" ht="15.5" outlineLevel="1">
      <c r="A1524" s="1455">
        <f t="shared" si="252"/>
        <v>3.5</v>
      </c>
      <c r="B1524" s="1455" t="str">
        <f t="shared" si="252"/>
        <v>Centralized Water Management System at BTPS, Deepnagar, Bhusawal</v>
      </c>
      <c r="C1524" s="1475">
        <f t="shared" si="252"/>
        <v>0</v>
      </c>
      <c r="D1524" s="1473" t="str">
        <f t="shared" si="252"/>
        <v>-</v>
      </c>
      <c r="E1524" s="1476">
        <f t="shared" si="252"/>
        <v>0</v>
      </c>
      <c r="F1524" s="1444">
        <f t="shared" si="253"/>
        <v>2.29</v>
      </c>
      <c r="G1524" s="1444">
        <f t="shared" si="254"/>
        <v>2.29</v>
      </c>
      <c r="H1524" s="1476">
        <f t="shared" si="255"/>
        <v>0</v>
      </c>
      <c r="I1524" s="1444">
        <v>0</v>
      </c>
      <c r="J1524" s="1444">
        <v>0</v>
      </c>
      <c r="K1524" s="1476"/>
      <c r="L1524" s="1476"/>
      <c r="M1524" s="1476">
        <f t="shared" si="248"/>
        <v>0</v>
      </c>
      <c r="N1524" s="1476">
        <f t="shared" si="256"/>
        <v>0</v>
      </c>
    </row>
    <row r="1525" spans="1:14" ht="31" outlineLevel="1">
      <c r="A1525" s="1455">
        <f t="shared" si="252"/>
        <v>3.6</v>
      </c>
      <c r="B1525" s="1455" t="str">
        <f t="shared" si="252"/>
        <v>Revamping and upgradation of Forbes Marshal make Steam &amp; Water Analysis System Installed at 2x500MW BTPS.</v>
      </c>
      <c r="C1525" s="1475">
        <f t="shared" si="252"/>
        <v>0</v>
      </c>
      <c r="D1525" s="1473" t="str">
        <f t="shared" si="252"/>
        <v>-</v>
      </c>
      <c r="E1525" s="1476">
        <f t="shared" si="252"/>
        <v>0</v>
      </c>
      <c r="F1525" s="1444">
        <f t="shared" si="253"/>
        <v>10.11</v>
      </c>
      <c r="G1525" s="1444">
        <f t="shared" si="254"/>
        <v>10.11</v>
      </c>
      <c r="H1525" s="1476">
        <f t="shared" si="255"/>
        <v>0</v>
      </c>
      <c r="I1525" s="1444">
        <v>0</v>
      </c>
      <c r="J1525" s="1444">
        <v>0</v>
      </c>
      <c r="K1525" s="1476"/>
      <c r="L1525" s="1476"/>
      <c r="M1525" s="1476">
        <f t="shared" si="248"/>
        <v>0</v>
      </c>
      <c r="N1525" s="1476">
        <f t="shared" si="256"/>
        <v>0</v>
      </c>
    </row>
    <row r="1526" spans="1:14" ht="31" outlineLevel="1">
      <c r="A1526" s="1458">
        <f t="shared" si="252"/>
        <v>4</v>
      </c>
      <c r="B1526" s="1459" t="str">
        <f t="shared" si="252"/>
        <v>Implementation of flexible operation solutions for technical minimum operation of 2x500MW, BTPS.</v>
      </c>
      <c r="C1526" s="1475">
        <f t="shared" si="252"/>
        <v>0</v>
      </c>
      <c r="D1526" s="1473" t="str">
        <f t="shared" si="252"/>
        <v>-</v>
      </c>
      <c r="E1526" s="1476">
        <f t="shared" si="252"/>
        <v>0</v>
      </c>
      <c r="F1526" s="1444">
        <f t="shared" si="253"/>
        <v>0</v>
      </c>
      <c r="G1526" s="1444">
        <f t="shared" si="254"/>
        <v>0</v>
      </c>
      <c r="H1526" s="1476">
        <f t="shared" si="255"/>
        <v>0</v>
      </c>
      <c r="I1526" s="1444">
        <v>0</v>
      </c>
      <c r="J1526" s="1444">
        <v>0</v>
      </c>
      <c r="K1526" s="1476"/>
      <c r="L1526" s="1476"/>
      <c r="M1526" s="1476">
        <f t="shared" si="248"/>
        <v>0</v>
      </c>
      <c r="N1526" s="1476">
        <f t="shared" si="256"/>
        <v>0</v>
      </c>
    </row>
    <row r="1527" spans="1:14" ht="31" outlineLevel="1">
      <c r="A1527" s="1455">
        <f t="shared" si="252"/>
        <v>4.0999999999999996</v>
      </c>
      <c r="B1527" s="1455" t="str">
        <f t="shared" si="252"/>
        <v>Implementation of flexible operation solutions for technical minimum operation of 2x500MW, BTPS.</v>
      </c>
      <c r="C1527" s="1475">
        <f t="shared" si="252"/>
        <v>0</v>
      </c>
      <c r="D1527" s="1473" t="str">
        <f t="shared" si="252"/>
        <v>-</v>
      </c>
      <c r="E1527" s="1476">
        <f t="shared" si="252"/>
        <v>0</v>
      </c>
      <c r="F1527" s="1444">
        <f t="shared" si="253"/>
        <v>50</v>
      </c>
      <c r="G1527" s="1444">
        <f t="shared" si="254"/>
        <v>50</v>
      </c>
      <c r="H1527" s="1476">
        <f t="shared" si="255"/>
        <v>0</v>
      </c>
      <c r="I1527" s="1444">
        <v>0</v>
      </c>
      <c r="J1527" s="1444">
        <v>0</v>
      </c>
      <c r="K1527" s="1476"/>
      <c r="L1527" s="1476"/>
      <c r="M1527" s="1476">
        <f t="shared" si="248"/>
        <v>0</v>
      </c>
      <c r="N1527" s="1476">
        <f t="shared" si="256"/>
        <v>0</v>
      </c>
    </row>
    <row r="1528" spans="1:14" ht="15.5" outlineLevel="1">
      <c r="A1528" s="1457">
        <f t="shared" si="252"/>
        <v>0</v>
      </c>
      <c r="B1528" s="1457" t="str">
        <f t="shared" si="252"/>
        <v xml:space="preserve">FY 2027-28 </v>
      </c>
      <c r="C1528" s="1442">
        <f t="shared" si="252"/>
        <v>0</v>
      </c>
      <c r="D1528" s="1443" t="str">
        <f t="shared" si="252"/>
        <v>-</v>
      </c>
      <c r="E1528" s="1444">
        <f t="shared" si="252"/>
        <v>0</v>
      </c>
      <c r="F1528" s="1444">
        <f t="shared" si="253"/>
        <v>0</v>
      </c>
      <c r="G1528" s="1444">
        <f t="shared" si="254"/>
        <v>0</v>
      </c>
      <c r="H1528" s="1444">
        <f t="shared" si="255"/>
        <v>0</v>
      </c>
      <c r="I1528" s="1444">
        <v>0</v>
      </c>
      <c r="J1528" s="1444">
        <v>0</v>
      </c>
      <c r="K1528" s="1444"/>
      <c r="L1528" s="1444"/>
      <c r="M1528" s="1444">
        <f t="shared" si="248"/>
        <v>0</v>
      </c>
      <c r="N1528" s="1444">
        <f t="shared" si="256"/>
        <v>0</v>
      </c>
    </row>
    <row r="1529" spans="1:14" ht="31" outlineLevel="1">
      <c r="A1529" s="1458">
        <f t="shared" si="252"/>
        <v>1</v>
      </c>
      <c r="B1529" s="1459" t="str">
        <f t="shared" si="252"/>
        <v>Supply,Installation and commissioning of Boiler performance and reliability improvement schemes at BTPS 2x500MW.</v>
      </c>
      <c r="C1529" s="1475">
        <f t="shared" si="252"/>
        <v>0</v>
      </c>
      <c r="D1529" s="1473" t="str">
        <f t="shared" si="252"/>
        <v>-</v>
      </c>
      <c r="E1529" s="1476">
        <f t="shared" si="252"/>
        <v>0</v>
      </c>
      <c r="F1529" s="1444">
        <f t="shared" si="253"/>
        <v>0</v>
      </c>
      <c r="G1529" s="1444">
        <f t="shared" si="254"/>
        <v>0</v>
      </c>
      <c r="H1529" s="1476">
        <f t="shared" si="255"/>
        <v>0</v>
      </c>
      <c r="I1529" s="1444">
        <v>0</v>
      </c>
      <c r="J1529" s="1444">
        <v>0</v>
      </c>
      <c r="K1529" s="1476"/>
      <c r="L1529" s="1476"/>
      <c r="M1529" s="1476">
        <f t="shared" ref="M1529:M1592" si="257">SUM(J1529:L1529)</f>
        <v>0</v>
      </c>
      <c r="N1529" s="1476">
        <f t="shared" si="256"/>
        <v>0</v>
      </c>
    </row>
    <row r="1530" spans="1:14" ht="31" outlineLevel="1">
      <c r="A1530" s="1455">
        <f t="shared" si="252"/>
        <v>1.1000000000000001</v>
      </c>
      <c r="B1530" s="1455" t="str">
        <f t="shared" si="252"/>
        <v>Procurement of  M/s Torishima, Japan make, 350 KW, 6.6KV, Boiler Circulating Water (BCW) Pump Motors at BTPS 2x500MW.</v>
      </c>
      <c r="C1530" s="1475">
        <f t="shared" si="252"/>
        <v>0</v>
      </c>
      <c r="D1530" s="1473" t="str">
        <f t="shared" si="252"/>
        <v>-</v>
      </c>
      <c r="E1530" s="1476">
        <f t="shared" si="252"/>
        <v>0</v>
      </c>
      <c r="F1530" s="1444">
        <f t="shared" si="253"/>
        <v>5.58</v>
      </c>
      <c r="G1530" s="1444">
        <f t="shared" si="254"/>
        <v>5.58</v>
      </c>
      <c r="H1530" s="1476">
        <f t="shared" si="255"/>
        <v>0</v>
      </c>
      <c r="I1530" s="1444">
        <v>0</v>
      </c>
      <c r="J1530" s="1444">
        <v>0</v>
      </c>
      <c r="K1530" s="1476"/>
      <c r="L1530" s="1476"/>
      <c r="M1530" s="1476">
        <f t="shared" si="257"/>
        <v>0</v>
      </c>
      <c r="N1530" s="1476">
        <f t="shared" si="256"/>
        <v>0</v>
      </c>
    </row>
    <row r="1531" spans="1:14" ht="31" outlineLevel="1">
      <c r="A1531" s="1455">
        <f t="shared" si="252"/>
        <v>1.2</v>
      </c>
      <c r="B1531" s="1455" t="str">
        <f t="shared" si="252"/>
        <v>Installation commissioning of Online DC Earth fault monitoring system at 220V DCDB at 500MW U-4&amp;5.</v>
      </c>
      <c r="C1531" s="1475">
        <f t="shared" si="252"/>
        <v>0</v>
      </c>
      <c r="D1531" s="1473" t="str">
        <f t="shared" si="252"/>
        <v>-</v>
      </c>
      <c r="E1531" s="1476">
        <f t="shared" si="252"/>
        <v>0</v>
      </c>
      <c r="F1531" s="1444">
        <f t="shared" si="253"/>
        <v>2.5</v>
      </c>
      <c r="G1531" s="1444">
        <f t="shared" si="254"/>
        <v>2.5</v>
      </c>
      <c r="H1531" s="1476">
        <f t="shared" si="255"/>
        <v>0</v>
      </c>
      <c r="I1531" s="1444">
        <v>0</v>
      </c>
      <c r="J1531" s="1444">
        <v>0</v>
      </c>
      <c r="K1531" s="1476"/>
      <c r="L1531" s="1476"/>
      <c r="M1531" s="1476">
        <f t="shared" si="257"/>
        <v>0</v>
      </c>
      <c r="N1531" s="1476">
        <f t="shared" si="256"/>
        <v>0</v>
      </c>
    </row>
    <row r="1532" spans="1:14" ht="31" outlineLevel="1">
      <c r="A1532" s="1455">
        <f t="shared" si="252"/>
        <v>1.3</v>
      </c>
      <c r="B1532" s="1455" t="str">
        <f t="shared" si="252"/>
        <v>Design,  supply, erection, comms. Of ID VFD &amp; AHP transformers for 2x500MW BTPS.</v>
      </c>
      <c r="C1532" s="1475">
        <f t="shared" si="252"/>
        <v>0</v>
      </c>
      <c r="D1532" s="1473" t="str">
        <f t="shared" si="252"/>
        <v>-</v>
      </c>
      <c r="E1532" s="1476">
        <f t="shared" si="252"/>
        <v>0</v>
      </c>
      <c r="F1532" s="1444">
        <f t="shared" si="253"/>
        <v>2</v>
      </c>
      <c r="G1532" s="1444">
        <f t="shared" si="254"/>
        <v>2</v>
      </c>
      <c r="H1532" s="1476">
        <f t="shared" si="255"/>
        <v>0</v>
      </c>
      <c r="I1532" s="1444">
        <v>0</v>
      </c>
      <c r="J1532" s="1444">
        <v>0</v>
      </c>
      <c r="K1532" s="1476"/>
      <c r="L1532" s="1476"/>
      <c r="M1532" s="1476">
        <f t="shared" si="257"/>
        <v>0</v>
      </c>
      <c r="N1532" s="1476">
        <f t="shared" si="256"/>
        <v>0</v>
      </c>
    </row>
    <row r="1533" spans="1:14" ht="31" outlineLevel="1">
      <c r="A1533" s="1455">
        <f t="shared" si="252"/>
        <v>1.4</v>
      </c>
      <c r="B1533" s="1455" t="str">
        <f t="shared" si="252"/>
        <v>Design,supply,installation and commissioning of Energy efficient  System for illumination at BTPS 2x500MW.</v>
      </c>
      <c r="C1533" s="1475">
        <f t="shared" si="252"/>
        <v>0</v>
      </c>
      <c r="D1533" s="1473" t="str">
        <f t="shared" si="252"/>
        <v>-</v>
      </c>
      <c r="E1533" s="1476">
        <f t="shared" si="252"/>
        <v>0</v>
      </c>
      <c r="F1533" s="1444">
        <f t="shared" si="253"/>
        <v>4</v>
      </c>
      <c r="G1533" s="1444">
        <f t="shared" si="254"/>
        <v>4</v>
      </c>
      <c r="H1533" s="1476">
        <f t="shared" si="255"/>
        <v>0</v>
      </c>
      <c r="I1533" s="1444">
        <v>0</v>
      </c>
      <c r="J1533" s="1444">
        <v>0</v>
      </c>
      <c r="K1533" s="1476"/>
      <c r="L1533" s="1476"/>
      <c r="M1533" s="1476">
        <f t="shared" si="257"/>
        <v>0</v>
      </c>
      <c r="N1533" s="1476">
        <f t="shared" si="256"/>
        <v>0</v>
      </c>
    </row>
    <row r="1534" spans="1:14" ht="31" outlineLevel="1">
      <c r="A1534" s="1455">
        <f t="shared" ref="A1534:E1549" si="258">A1304</f>
        <v>1.5</v>
      </c>
      <c r="B1534" s="1455" t="str">
        <f t="shared" si="258"/>
        <v>Procurement of  Main Gear unit assembly of electrical Actuators in 2x500MW BTPS</v>
      </c>
      <c r="C1534" s="1442">
        <f t="shared" si="258"/>
        <v>0</v>
      </c>
      <c r="D1534" s="1443" t="str">
        <f t="shared" si="258"/>
        <v>-</v>
      </c>
      <c r="E1534" s="1444">
        <f t="shared" si="258"/>
        <v>0</v>
      </c>
      <c r="F1534" s="1444">
        <f t="shared" si="253"/>
        <v>6</v>
      </c>
      <c r="G1534" s="1444">
        <f t="shared" si="254"/>
        <v>6</v>
      </c>
      <c r="H1534" s="1444">
        <f t="shared" si="255"/>
        <v>0</v>
      </c>
      <c r="I1534" s="1444">
        <v>0</v>
      </c>
      <c r="J1534" s="1444">
        <v>0</v>
      </c>
      <c r="K1534" s="1444"/>
      <c r="L1534" s="1444"/>
      <c r="M1534" s="1444">
        <f t="shared" si="257"/>
        <v>0</v>
      </c>
      <c r="N1534" s="1444">
        <f t="shared" si="256"/>
        <v>0</v>
      </c>
    </row>
    <row r="1535" spans="1:14" ht="31" outlineLevel="1">
      <c r="A1535" s="1455">
        <f t="shared" si="258"/>
        <v>1.6</v>
      </c>
      <c r="B1535" s="1455" t="str">
        <f t="shared" si="258"/>
        <v>Supply, erection, commissioning &amp; site testing of 360V, 750 AH Station UPS Battery Sets  along with accessories for Unit No.5 at BTPS 2x500MW.</v>
      </c>
      <c r="C1535" s="1475">
        <f t="shared" si="258"/>
        <v>0</v>
      </c>
      <c r="D1535" s="1473" t="str">
        <f t="shared" si="258"/>
        <v>-</v>
      </c>
      <c r="E1535" s="1476">
        <f t="shared" si="258"/>
        <v>0</v>
      </c>
      <c r="F1535" s="1444">
        <f t="shared" si="253"/>
        <v>4</v>
      </c>
      <c r="G1535" s="1444">
        <f t="shared" si="254"/>
        <v>4</v>
      </c>
      <c r="H1535" s="1476">
        <f t="shared" si="255"/>
        <v>0</v>
      </c>
      <c r="I1535" s="1444">
        <v>0</v>
      </c>
      <c r="J1535" s="1444">
        <v>0</v>
      </c>
      <c r="K1535" s="1476"/>
      <c r="L1535" s="1476"/>
      <c r="M1535" s="1476">
        <f t="shared" si="257"/>
        <v>0</v>
      </c>
      <c r="N1535" s="1476">
        <f t="shared" si="256"/>
        <v>0</v>
      </c>
    </row>
    <row r="1536" spans="1:14" ht="15.5" outlineLevel="1">
      <c r="A1536" s="1455">
        <f t="shared" si="258"/>
        <v>1.7</v>
      </c>
      <c r="B1536" s="1455" t="str">
        <f t="shared" si="258"/>
        <v xml:space="preserve">Upgradation of EWLI system  at Bhusawal TPS 2x500W </v>
      </c>
      <c r="C1536" s="1442">
        <f t="shared" si="258"/>
        <v>0</v>
      </c>
      <c r="D1536" s="1443" t="str">
        <f t="shared" si="258"/>
        <v>-</v>
      </c>
      <c r="E1536" s="1444">
        <f t="shared" si="258"/>
        <v>0</v>
      </c>
      <c r="F1536" s="1444">
        <f t="shared" si="253"/>
        <v>1</v>
      </c>
      <c r="G1536" s="1444">
        <f t="shared" si="254"/>
        <v>1</v>
      </c>
      <c r="H1536" s="1444">
        <f t="shared" si="255"/>
        <v>0</v>
      </c>
      <c r="I1536" s="1444">
        <v>0</v>
      </c>
      <c r="J1536" s="1444">
        <v>0</v>
      </c>
      <c r="K1536" s="1444"/>
      <c r="L1536" s="1444"/>
      <c r="M1536" s="1444">
        <f t="shared" si="257"/>
        <v>0</v>
      </c>
      <c r="N1536" s="1444">
        <f t="shared" si="256"/>
        <v>0</v>
      </c>
    </row>
    <row r="1537" spans="1:14" ht="46.5" outlineLevel="1">
      <c r="A1537" s="1458">
        <f t="shared" si="258"/>
        <v>2</v>
      </c>
      <c r="B1537" s="1459" t="str">
        <f t="shared" si="258"/>
        <v>Performance improvement of Bottom ash evacualtion system to reduce auxillary power consumption, water consumption &amp; environmental pollution at 2X500MW, Bhusawal TPS</v>
      </c>
      <c r="C1537" s="1475">
        <f t="shared" si="258"/>
        <v>0</v>
      </c>
      <c r="D1537" s="1473" t="str">
        <f t="shared" si="258"/>
        <v>-</v>
      </c>
      <c r="E1537" s="1476">
        <f t="shared" si="258"/>
        <v>0</v>
      </c>
      <c r="F1537" s="1444">
        <f t="shared" si="253"/>
        <v>0</v>
      </c>
      <c r="G1537" s="1444">
        <f t="shared" si="254"/>
        <v>0</v>
      </c>
      <c r="H1537" s="1476">
        <f t="shared" si="255"/>
        <v>0</v>
      </c>
      <c r="I1537" s="1444">
        <v>0</v>
      </c>
      <c r="J1537" s="1444">
        <v>0</v>
      </c>
      <c r="K1537" s="1476"/>
      <c r="L1537" s="1476"/>
      <c r="M1537" s="1476">
        <f t="shared" si="257"/>
        <v>0</v>
      </c>
      <c r="N1537" s="1476">
        <f t="shared" si="256"/>
        <v>0</v>
      </c>
    </row>
    <row r="1538" spans="1:14" ht="31" outlineLevel="1">
      <c r="A1538" s="1455">
        <f t="shared" si="258"/>
        <v>2.1</v>
      </c>
      <c r="B1538" s="1455" t="str">
        <f t="shared" si="258"/>
        <v>Modification of latest design AR 200/550 Ash slurry pump assembly including auxillaries at AHP, 2x500MW, BTPS.</v>
      </c>
      <c r="C1538" s="1442">
        <f t="shared" si="258"/>
        <v>0</v>
      </c>
      <c r="D1538" s="1443" t="str">
        <f t="shared" si="258"/>
        <v>-</v>
      </c>
      <c r="E1538" s="1444">
        <f t="shared" si="258"/>
        <v>0</v>
      </c>
      <c r="F1538" s="1444">
        <f t="shared" si="253"/>
        <v>4.6900000000000004</v>
      </c>
      <c r="G1538" s="1444">
        <f t="shared" si="254"/>
        <v>4.6900000000000004</v>
      </c>
      <c r="H1538" s="1444">
        <f t="shared" si="255"/>
        <v>0</v>
      </c>
      <c r="I1538" s="1444">
        <v>0</v>
      </c>
      <c r="J1538" s="1444">
        <v>0</v>
      </c>
      <c r="K1538" s="1444"/>
      <c r="L1538" s="1444"/>
      <c r="M1538" s="1444">
        <f t="shared" si="257"/>
        <v>0</v>
      </c>
      <c r="N1538" s="1444">
        <f t="shared" si="256"/>
        <v>0</v>
      </c>
    </row>
    <row r="1539" spans="1:14" ht="31" outlineLevel="1">
      <c r="A1539" s="1455">
        <f t="shared" si="258"/>
        <v>2.2000000000000002</v>
      </c>
      <c r="B1539" s="1455" t="str">
        <f t="shared" si="258"/>
        <v>Modification of single roll reversible clinker grinder system at AHP, 2x500MW, BTPS</v>
      </c>
      <c r="C1539" s="1475">
        <f t="shared" si="258"/>
        <v>0</v>
      </c>
      <c r="D1539" s="1473" t="str">
        <f t="shared" si="258"/>
        <v>-</v>
      </c>
      <c r="E1539" s="1476">
        <f t="shared" si="258"/>
        <v>0</v>
      </c>
      <c r="F1539" s="1444">
        <f t="shared" si="253"/>
        <v>3.09</v>
      </c>
      <c r="G1539" s="1444">
        <f t="shared" si="254"/>
        <v>3.09</v>
      </c>
      <c r="H1539" s="1476">
        <f t="shared" si="255"/>
        <v>0</v>
      </c>
      <c r="I1539" s="1444">
        <v>0</v>
      </c>
      <c r="J1539" s="1444">
        <v>0</v>
      </c>
      <c r="K1539" s="1476"/>
      <c r="L1539" s="1476"/>
      <c r="M1539" s="1476">
        <f t="shared" si="257"/>
        <v>0</v>
      </c>
      <c r="N1539" s="1476">
        <f t="shared" si="256"/>
        <v>0</v>
      </c>
    </row>
    <row r="1540" spans="1:14" ht="31" outlineLevel="1">
      <c r="A1540" s="1455">
        <f t="shared" si="258"/>
        <v>2.2999999999999998</v>
      </c>
      <c r="B1540" s="1455" t="str">
        <f t="shared" si="258"/>
        <v>Modification of bottom ash &amp; coarse ash slurry pipe line disposal system at AHP 2X500 MW BTPS</v>
      </c>
      <c r="C1540" s="1475">
        <f t="shared" si="258"/>
        <v>0</v>
      </c>
      <c r="D1540" s="1473" t="str">
        <f t="shared" si="258"/>
        <v>-</v>
      </c>
      <c r="E1540" s="1476">
        <f t="shared" si="258"/>
        <v>0</v>
      </c>
      <c r="F1540" s="1444">
        <f t="shared" si="253"/>
        <v>34.550000000000004</v>
      </c>
      <c r="G1540" s="1444">
        <f t="shared" si="254"/>
        <v>34.550000000000004</v>
      </c>
      <c r="H1540" s="1476">
        <f t="shared" si="255"/>
        <v>0</v>
      </c>
      <c r="I1540" s="1444">
        <v>0</v>
      </c>
      <c r="J1540" s="1444">
        <v>0</v>
      </c>
      <c r="K1540" s="1476"/>
      <c r="L1540" s="1476"/>
      <c r="M1540" s="1476">
        <f t="shared" si="257"/>
        <v>0</v>
      </c>
      <c r="N1540" s="1476">
        <f t="shared" si="256"/>
        <v>0</v>
      </c>
    </row>
    <row r="1541" spans="1:14" ht="15.5" outlineLevel="1">
      <c r="A1541" s="1458">
        <f t="shared" si="258"/>
        <v>3</v>
      </c>
      <c r="B1541" s="1459" t="str">
        <f t="shared" si="258"/>
        <v>Boiler Reliability &amp; Availability improvement at 2x500MW, Bhusawal TPS.</v>
      </c>
      <c r="C1541" s="1442">
        <f t="shared" si="258"/>
        <v>0</v>
      </c>
      <c r="D1541" s="1443" t="str">
        <f t="shared" si="258"/>
        <v>-</v>
      </c>
      <c r="E1541" s="1444">
        <f t="shared" si="258"/>
        <v>0</v>
      </c>
      <c r="F1541" s="1444">
        <f t="shared" si="253"/>
        <v>0</v>
      </c>
      <c r="G1541" s="1444">
        <f t="shared" si="254"/>
        <v>0</v>
      </c>
      <c r="H1541" s="1444">
        <f t="shared" si="255"/>
        <v>0</v>
      </c>
      <c r="I1541" s="1444">
        <v>0</v>
      </c>
      <c r="J1541" s="1444">
        <v>0</v>
      </c>
      <c r="K1541" s="1444"/>
      <c r="L1541" s="1444"/>
      <c r="M1541" s="1444">
        <f t="shared" si="257"/>
        <v>0</v>
      </c>
      <c r="N1541" s="1444">
        <f t="shared" si="256"/>
        <v>0</v>
      </c>
    </row>
    <row r="1542" spans="1:14" ht="15.5" outlineLevel="1">
      <c r="A1542" s="1455">
        <f t="shared" si="258"/>
        <v>3.1</v>
      </c>
      <c r="B1542" s="1455" t="str">
        <f t="shared" si="258"/>
        <v>Procurement of Boiler Coils (CRH &amp;HRH) at 2x500MW BTPS.</v>
      </c>
      <c r="C1542" s="1475">
        <f t="shared" si="258"/>
        <v>0</v>
      </c>
      <c r="D1542" s="1473" t="str">
        <f t="shared" si="258"/>
        <v>-</v>
      </c>
      <c r="E1542" s="1476">
        <f t="shared" si="258"/>
        <v>0</v>
      </c>
      <c r="F1542" s="1444">
        <f t="shared" si="253"/>
        <v>25</v>
      </c>
      <c r="G1542" s="1444">
        <f t="shared" si="254"/>
        <v>25</v>
      </c>
      <c r="H1542" s="1476">
        <f t="shared" si="255"/>
        <v>0</v>
      </c>
      <c r="I1542" s="1444">
        <v>0</v>
      </c>
      <c r="J1542" s="1444">
        <v>0</v>
      </c>
      <c r="K1542" s="1476"/>
      <c r="L1542" s="1476"/>
      <c r="M1542" s="1476">
        <f t="shared" si="257"/>
        <v>0</v>
      </c>
      <c r="N1542" s="1476">
        <f t="shared" si="256"/>
        <v>0</v>
      </c>
    </row>
    <row r="1543" spans="1:14" ht="15.5" outlineLevel="1">
      <c r="A1543" s="1455">
        <f t="shared" si="258"/>
        <v>3.2</v>
      </c>
      <c r="B1543" s="1455" t="str">
        <f t="shared" si="258"/>
        <v>Procurement of ID fan impeller with shaft at 2x500 MW BTPS.</v>
      </c>
      <c r="C1543" s="1475">
        <f t="shared" si="258"/>
        <v>0</v>
      </c>
      <c r="D1543" s="1473" t="str">
        <f t="shared" si="258"/>
        <v>-</v>
      </c>
      <c r="E1543" s="1476">
        <f t="shared" si="258"/>
        <v>0</v>
      </c>
      <c r="F1543" s="1444">
        <f t="shared" si="253"/>
        <v>15</v>
      </c>
      <c r="G1543" s="1444">
        <f t="shared" si="254"/>
        <v>15</v>
      </c>
      <c r="H1543" s="1476">
        <f t="shared" si="255"/>
        <v>0</v>
      </c>
      <c r="I1543" s="1444">
        <v>0</v>
      </c>
      <c r="J1543" s="1444">
        <v>0</v>
      </c>
      <c r="K1543" s="1476"/>
      <c r="L1543" s="1476"/>
      <c r="M1543" s="1476">
        <f t="shared" si="257"/>
        <v>0</v>
      </c>
      <c r="N1543" s="1476">
        <f t="shared" si="256"/>
        <v>0</v>
      </c>
    </row>
    <row r="1544" spans="1:14" ht="31" outlineLevel="1">
      <c r="A1544" s="1455">
        <f t="shared" si="258"/>
        <v>3.3</v>
      </c>
      <c r="B1544" s="1455" t="str">
        <f t="shared" si="258"/>
        <v>Procurement SH,RH,MS outlet valves with actuator and motor at 2x500 MW BTPS.</v>
      </c>
      <c r="C1544" s="1442">
        <f t="shared" si="258"/>
        <v>0</v>
      </c>
      <c r="D1544" s="1443" t="str">
        <f t="shared" si="258"/>
        <v>-</v>
      </c>
      <c r="E1544" s="1444">
        <f t="shared" si="258"/>
        <v>0</v>
      </c>
      <c r="F1544" s="1444">
        <f t="shared" si="253"/>
        <v>5</v>
      </c>
      <c r="G1544" s="1444">
        <f t="shared" si="254"/>
        <v>5</v>
      </c>
      <c r="H1544" s="1444">
        <f t="shared" si="255"/>
        <v>0</v>
      </c>
      <c r="I1544" s="1444">
        <v>0</v>
      </c>
      <c r="J1544" s="1444">
        <v>0</v>
      </c>
      <c r="K1544" s="1444"/>
      <c r="L1544" s="1444"/>
      <c r="M1544" s="1444">
        <f t="shared" si="257"/>
        <v>0</v>
      </c>
      <c r="N1544" s="1444">
        <f t="shared" si="256"/>
        <v>0</v>
      </c>
    </row>
    <row r="1545" spans="1:14" ht="15.5" outlineLevel="1">
      <c r="A1545" s="1458">
        <f t="shared" si="258"/>
        <v>4</v>
      </c>
      <c r="B1545" s="1459" t="str">
        <f t="shared" si="258"/>
        <v>CHP Infrastructure Development Schemes</v>
      </c>
      <c r="C1545" s="1475">
        <f t="shared" si="258"/>
        <v>0</v>
      </c>
      <c r="D1545" s="1473" t="str">
        <f t="shared" si="258"/>
        <v>-</v>
      </c>
      <c r="E1545" s="1476">
        <f t="shared" si="258"/>
        <v>0</v>
      </c>
      <c r="F1545" s="1444">
        <f t="shared" si="253"/>
        <v>0</v>
      </c>
      <c r="G1545" s="1444">
        <f t="shared" si="254"/>
        <v>0</v>
      </c>
      <c r="H1545" s="1476">
        <f t="shared" si="255"/>
        <v>0</v>
      </c>
      <c r="I1545" s="1444">
        <v>0</v>
      </c>
      <c r="J1545" s="1444">
        <v>0</v>
      </c>
      <c r="K1545" s="1476"/>
      <c r="L1545" s="1476"/>
      <c r="M1545" s="1476">
        <f t="shared" si="257"/>
        <v>0</v>
      </c>
      <c r="N1545" s="1476">
        <f t="shared" si="256"/>
        <v>0</v>
      </c>
    </row>
    <row r="1546" spans="1:14" ht="31" outlineLevel="1">
      <c r="A1546" s="1455">
        <f t="shared" si="258"/>
        <v>4.0999999999999996</v>
      </c>
      <c r="B1546" s="1455" t="str">
        <f t="shared" si="258"/>
        <v>Supply, installation and commissioning PLC system on a single platform to match with external aspect &amp; process improvement at CHP 2x500MW BTPS.</v>
      </c>
      <c r="C1546" s="1475">
        <f t="shared" si="258"/>
        <v>0</v>
      </c>
      <c r="D1546" s="1473" t="str">
        <f t="shared" si="258"/>
        <v>-</v>
      </c>
      <c r="E1546" s="1476">
        <f t="shared" si="258"/>
        <v>0</v>
      </c>
      <c r="F1546" s="1444">
        <f t="shared" si="253"/>
        <v>18.399999999999999</v>
      </c>
      <c r="G1546" s="1444">
        <f t="shared" si="254"/>
        <v>18.399999999999999</v>
      </c>
      <c r="H1546" s="1476">
        <f t="shared" si="255"/>
        <v>0</v>
      </c>
      <c r="I1546" s="1444">
        <v>0</v>
      </c>
      <c r="J1546" s="1444">
        <v>0</v>
      </c>
      <c r="K1546" s="1476"/>
      <c r="L1546" s="1476"/>
      <c r="M1546" s="1476">
        <f t="shared" si="257"/>
        <v>0</v>
      </c>
      <c r="N1546" s="1476">
        <f t="shared" si="256"/>
        <v>0</v>
      </c>
    </row>
    <row r="1547" spans="1:14" ht="31" outlineLevel="1">
      <c r="A1547" s="1455">
        <f t="shared" si="258"/>
        <v>4.2</v>
      </c>
      <c r="B1547" s="1455" t="str">
        <f t="shared" si="258"/>
        <v>Supply, installation, retrofitting and commissioning of HT breaker at HT Switchgear in CHP 2x500MW BTPS</v>
      </c>
      <c r="C1547" s="1475">
        <f t="shared" si="258"/>
        <v>0</v>
      </c>
      <c r="D1547" s="1473" t="str">
        <f t="shared" si="258"/>
        <v>-</v>
      </c>
      <c r="E1547" s="1476">
        <f t="shared" si="258"/>
        <v>0</v>
      </c>
      <c r="F1547" s="1444">
        <f t="shared" si="253"/>
        <v>6.9</v>
      </c>
      <c r="G1547" s="1444">
        <f t="shared" si="254"/>
        <v>6.9</v>
      </c>
      <c r="H1547" s="1476">
        <f t="shared" si="255"/>
        <v>0</v>
      </c>
      <c r="I1547" s="1444">
        <v>0</v>
      </c>
      <c r="J1547" s="1444">
        <v>0</v>
      </c>
      <c r="K1547" s="1476"/>
      <c r="L1547" s="1476"/>
      <c r="M1547" s="1476">
        <f t="shared" si="257"/>
        <v>0</v>
      </c>
      <c r="N1547" s="1476">
        <f t="shared" si="256"/>
        <v>0</v>
      </c>
    </row>
    <row r="1548" spans="1:14" ht="31" outlineLevel="1">
      <c r="A1548" s="1455">
        <f t="shared" si="258"/>
        <v>4.3</v>
      </c>
      <c r="B1548" s="1455" t="str">
        <f t="shared" si="258"/>
        <v>Supply, installation, retrofitting and commissioning of LT breaker at LT Switchgear in CHP 2x500MW BTPS.</v>
      </c>
      <c r="C1548" s="1475">
        <f t="shared" si="258"/>
        <v>0</v>
      </c>
      <c r="D1548" s="1473" t="str">
        <f t="shared" si="258"/>
        <v>-</v>
      </c>
      <c r="E1548" s="1476">
        <f t="shared" si="258"/>
        <v>0</v>
      </c>
      <c r="F1548" s="1444">
        <f t="shared" si="253"/>
        <v>4.4000000000000004</v>
      </c>
      <c r="G1548" s="1444">
        <f t="shared" si="254"/>
        <v>4.4000000000000004</v>
      </c>
      <c r="H1548" s="1476">
        <f t="shared" si="255"/>
        <v>0</v>
      </c>
      <c r="I1548" s="1444">
        <v>0</v>
      </c>
      <c r="J1548" s="1444">
        <v>0</v>
      </c>
      <c r="K1548" s="1476"/>
      <c r="L1548" s="1476"/>
      <c r="M1548" s="1476">
        <f t="shared" si="257"/>
        <v>0</v>
      </c>
      <c r="N1548" s="1476">
        <f t="shared" si="256"/>
        <v>0</v>
      </c>
    </row>
    <row r="1549" spans="1:14" ht="31" outlineLevel="1">
      <c r="A1549" s="1455">
        <f t="shared" si="258"/>
        <v>4.4000000000000004</v>
      </c>
      <c r="B1549" s="1455" t="str">
        <f t="shared" si="258"/>
        <v>Supply, Installation &amp; Commissioning of  Magnetic Separators at CHP 2x 500MW BTPS Deepnagar</v>
      </c>
      <c r="C1549" s="1475">
        <f t="shared" si="258"/>
        <v>0</v>
      </c>
      <c r="D1549" s="1473" t="str">
        <f t="shared" si="258"/>
        <v>-</v>
      </c>
      <c r="E1549" s="1476">
        <f t="shared" si="258"/>
        <v>0</v>
      </c>
      <c r="F1549" s="1444">
        <f t="shared" si="253"/>
        <v>3.73</v>
      </c>
      <c r="G1549" s="1444">
        <f t="shared" si="254"/>
        <v>3.73</v>
      </c>
      <c r="H1549" s="1476">
        <f t="shared" si="255"/>
        <v>0</v>
      </c>
      <c r="I1549" s="1444">
        <v>0</v>
      </c>
      <c r="J1549" s="1444">
        <v>0</v>
      </c>
      <c r="K1549" s="1476"/>
      <c r="L1549" s="1476"/>
      <c r="M1549" s="1476">
        <f t="shared" si="257"/>
        <v>0</v>
      </c>
      <c r="N1549" s="1476">
        <f t="shared" si="256"/>
        <v>0</v>
      </c>
    </row>
    <row r="1550" spans="1:14" ht="31" outlineLevel="1">
      <c r="A1550" s="1455">
        <f t="shared" ref="A1550:E1565" si="259">A1320</f>
        <v>4.5</v>
      </c>
      <c r="B1550" s="1455" t="str">
        <f t="shared" si="259"/>
        <v>Supply, Installation &amp; Commissioning Flameproof lighting at CHP 2x 500MW BTPS Deepnagar</v>
      </c>
      <c r="C1550" s="1475">
        <f t="shared" si="259"/>
        <v>0</v>
      </c>
      <c r="D1550" s="1473" t="str">
        <f t="shared" si="259"/>
        <v>-</v>
      </c>
      <c r="E1550" s="1476">
        <f t="shared" si="259"/>
        <v>0</v>
      </c>
      <c r="F1550" s="1444">
        <f t="shared" si="253"/>
        <v>10.47</v>
      </c>
      <c r="G1550" s="1444">
        <f t="shared" si="254"/>
        <v>10.47</v>
      </c>
      <c r="H1550" s="1476">
        <f t="shared" si="255"/>
        <v>0</v>
      </c>
      <c r="I1550" s="1444">
        <v>0</v>
      </c>
      <c r="J1550" s="1444">
        <v>0</v>
      </c>
      <c r="K1550" s="1476"/>
      <c r="L1550" s="1476"/>
      <c r="M1550" s="1476">
        <f t="shared" si="257"/>
        <v>0</v>
      </c>
      <c r="N1550" s="1476">
        <f t="shared" si="256"/>
        <v>0</v>
      </c>
    </row>
    <row r="1551" spans="1:14" ht="15.5" outlineLevel="1">
      <c r="A1551" s="1455">
        <f t="shared" si="259"/>
        <v>4.5999999999999996</v>
      </c>
      <c r="B1551" s="1455" t="str">
        <f t="shared" si="259"/>
        <v>Supply, Installation &amp; upgradation of HT /LT relay at CHP BTPS.</v>
      </c>
      <c r="C1551" s="1475">
        <f t="shared" si="259"/>
        <v>0</v>
      </c>
      <c r="D1551" s="1473" t="str">
        <f t="shared" si="259"/>
        <v>-</v>
      </c>
      <c r="E1551" s="1476">
        <f t="shared" si="259"/>
        <v>0</v>
      </c>
      <c r="F1551" s="1444">
        <f t="shared" si="253"/>
        <v>3</v>
      </c>
      <c r="G1551" s="1444">
        <f t="shared" si="254"/>
        <v>3</v>
      </c>
      <c r="H1551" s="1476">
        <f t="shared" si="255"/>
        <v>0</v>
      </c>
      <c r="I1551" s="1444">
        <v>0</v>
      </c>
      <c r="J1551" s="1444">
        <v>0</v>
      </c>
      <c r="K1551" s="1476"/>
      <c r="L1551" s="1476"/>
      <c r="M1551" s="1476">
        <f t="shared" si="257"/>
        <v>0</v>
      </c>
      <c r="N1551" s="1476">
        <f t="shared" si="256"/>
        <v>0</v>
      </c>
    </row>
    <row r="1552" spans="1:14" ht="15.5" outlineLevel="1">
      <c r="A1552" s="1458">
        <f t="shared" si="259"/>
        <v>5</v>
      </c>
      <c r="B1552" s="1459" t="str">
        <f t="shared" si="259"/>
        <v>Detail  Project report of improvement of Unloading in Coal handling Plant BTPS.</v>
      </c>
      <c r="C1552" s="1475">
        <f t="shared" si="259"/>
        <v>0</v>
      </c>
      <c r="D1552" s="1473" t="str">
        <f t="shared" si="259"/>
        <v>-</v>
      </c>
      <c r="E1552" s="1476">
        <f t="shared" si="259"/>
        <v>0</v>
      </c>
      <c r="F1552" s="1444">
        <f t="shared" si="253"/>
        <v>0</v>
      </c>
      <c r="G1552" s="1444">
        <f t="shared" si="254"/>
        <v>0</v>
      </c>
      <c r="H1552" s="1476">
        <f t="shared" si="255"/>
        <v>0</v>
      </c>
      <c r="I1552" s="1444">
        <v>0</v>
      </c>
      <c r="J1552" s="1444">
        <v>0</v>
      </c>
      <c r="K1552" s="1476"/>
      <c r="L1552" s="1476"/>
      <c r="M1552" s="1476">
        <f t="shared" si="257"/>
        <v>0</v>
      </c>
      <c r="N1552" s="1476">
        <f t="shared" si="256"/>
        <v>0</v>
      </c>
    </row>
    <row r="1553" spans="1:14" ht="15.5" outlineLevel="1">
      <c r="A1553" s="1455">
        <f t="shared" si="259"/>
        <v>5.0999999999999996</v>
      </c>
      <c r="B1553" s="1455" t="str">
        <f t="shared" si="259"/>
        <v>Procurement of 04 no of locomotives for Coal handling Plant BTPS.</v>
      </c>
      <c r="C1553" s="1475">
        <f t="shared" si="259"/>
        <v>0</v>
      </c>
      <c r="D1553" s="1473" t="str">
        <f t="shared" si="259"/>
        <v>-</v>
      </c>
      <c r="E1553" s="1476">
        <f t="shared" si="259"/>
        <v>0</v>
      </c>
      <c r="F1553" s="1444">
        <f t="shared" si="253"/>
        <v>13.68</v>
      </c>
      <c r="G1553" s="1444">
        <f t="shared" si="254"/>
        <v>13.68</v>
      </c>
      <c r="H1553" s="1476">
        <f t="shared" si="255"/>
        <v>0</v>
      </c>
      <c r="I1553" s="1444">
        <v>0</v>
      </c>
      <c r="J1553" s="1444">
        <v>0</v>
      </c>
      <c r="K1553" s="1476"/>
      <c r="L1553" s="1476"/>
      <c r="M1553" s="1476">
        <f t="shared" si="257"/>
        <v>0</v>
      </c>
      <c r="N1553" s="1476">
        <f t="shared" si="256"/>
        <v>0</v>
      </c>
    </row>
    <row r="1554" spans="1:14" ht="31" outlineLevel="1">
      <c r="A1554" s="1455">
        <f t="shared" si="259"/>
        <v>5.2</v>
      </c>
      <c r="B1554" s="1455" t="str">
        <f t="shared" si="259"/>
        <v>Design Supply Erection and Comission of Hour glass shape Coal diverting chutes with extra life wear resistant plates in CHP, BTPS.</v>
      </c>
      <c r="C1554" s="1475">
        <f t="shared" si="259"/>
        <v>0</v>
      </c>
      <c r="D1554" s="1473" t="str">
        <f t="shared" si="259"/>
        <v>-</v>
      </c>
      <c r="E1554" s="1476">
        <f t="shared" si="259"/>
        <v>0</v>
      </c>
      <c r="F1554" s="1444">
        <f t="shared" si="253"/>
        <v>5.67</v>
      </c>
      <c r="G1554" s="1444">
        <f t="shared" si="254"/>
        <v>5.67</v>
      </c>
      <c r="H1554" s="1476">
        <f t="shared" si="255"/>
        <v>0</v>
      </c>
      <c r="I1554" s="1444">
        <v>0</v>
      </c>
      <c r="J1554" s="1444">
        <v>0</v>
      </c>
      <c r="K1554" s="1476"/>
      <c r="L1554" s="1476"/>
      <c r="M1554" s="1476">
        <f t="shared" si="257"/>
        <v>0</v>
      </c>
      <c r="N1554" s="1476">
        <f t="shared" si="256"/>
        <v>0</v>
      </c>
    </row>
    <row r="1555" spans="1:14" ht="31" outlineLevel="1">
      <c r="A1555" s="1455">
        <f t="shared" si="259"/>
        <v>5.3</v>
      </c>
      <c r="B1555" s="1455" t="str">
        <f t="shared" si="259"/>
        <v>Design Supply Erection and Comission of Inverted Y Shape  Coal diverting chutes with extra life wear resistant plates in CHP, BTPS.</v>
      </c>
      <c r="C1555" s="1475">
        <f t="shared" si="259"/>
        <v>0</v>
      </c>
      <c r="D1555" s="1473" t="str">
        <f t="shared" si="259"/>
        <v>-</v>
      </c>
      <c r="E1555" s="1476">
        <f t="shared" si="259"/>
        <v>0</v>
      </c>
      <c r="F1555" s="1444">
        <f t="shared" si="253"/>
        <v>4.72</v>
      </c>
      <c r="G1555" s="1444">
        <f t="shared" si="254"/>
        <v>4.72</v>
      </c>
      <c r="H1555" s="1476">
        <f t="shared" si="255"/>
        <v>0</v>
      </c>
      <c r="I1555" s="1444">
        <v>0</v>
      </c>
      <c r="J1555" s="1444">
        <v>0</v>
      </c>
      <c r="K1555" s="1476"/>
      <c r="L1555" s="1476"/>
      <c r="M1555" s="1476">
        <f t="shared" si="257"/>
        <v>0</v>
      </c>
      <c r="N1555" s="1476">
        <f t="shared" si="256"/>
        <v>0</v>
      </c>
    </row>
    <row r="1556" spans="1:14" ht="31" outlineLevel="1">
      <c r="A1556" s="1455">
        <f t="shared" si="259"/>
        <v>5.4</v>
      </c>
      <c r="B1556" s="1455" t="str">
        <f t="shared" si="259"/>
        <v>Design Supply Erection and Comission of coal diverting chutes with extra life wear resistant plates in CHP BTPS.</v>
      </c>
      <c r="C1556" s="1475">
        <f t="shared" si="259"/>
        <v>0</v>
      </c>
      <c r="D1556" s="1473" t="str">
        <f t="shared" si="259"/>
        <v>-</v>
      </c>
      <c r="E1556" s="1476">
        <f t="shared" si="259"/>
        <v>0</v>
      </c>
      <c r="F1556" s="1444">
        <f t="shared" si="253"/>
        <v>4.72</v>
      </c>
      <c r="G1556" s="1444">
        <f t="shared" si="254"/>
        <v>4.72</v>
      </c>
      <c r="H1556" s="1476">
        <f t="shared" si="255"/>
        <v>0</v>
      </c>
      <c r="I1556" s="1444">
        <v>0</v>
      </c>
      <c r="J1556" s="1444">
        <v>0</v>
      </c>
      <c r="K1556" s="1476"/>
      <c r="L1556" s="1476"/>
      <c r="M1556" s="1476">
        <f t="shared" si="257"/>
        <v>0</v>
      </c>
      <c r="N1556" s="1476">
        <f t="shared" si="256"/>
        <v>0</v>
      </c>
    </row>
    <row r="1557" spans="1:14" ht="31" outlineLevel="1">
      <c r="A1557" s="1455">
        <f t="shared" si="259"/>
        <v>5.5</v>
      </c>
      <c r="B1557" s="1455" t="str">
        <f t="shared" si="259"/>
        <v>Work of Revamping and structural up-gradation of conveyor 104A&amp;B in Coal Handling Plant-BTPS.</v>
      </c>
      <c r="C1557" s="1475">
        <f t="shared" si="259"/>
        <v>0</v>
      </c>
      <c r="D1557" s="1473" t="str">
        <f t="shared" si="259"/>
        <v>-</v>
      </c>
      <c r="E1557" s="1476">
        <f t="shared" si="259"/>
        <v>0</v>
      </c>
      <c r="F1557" s="1444">
        <f t="shared" si="253"/>
        <v>7.1</v>
      </c>
      <c r="G1557" s="1444">
        <f t="shared" si="254"/>
        <v>7.1</v>
      </c>
      <c r="H1557" s="1476">
        <f t="shared" si="255"/>
        <v>0</v>
      </c>
      <c r="I1557" s="1444">
        <v>0</v>
      </c>
      <c r="J1557" s="1444">
        <v>0</v>
      </c>
      <c r="K1557" s="1476"/>
      <c r="L1557" s="1476"/>
      <c r="M1557" s="1476">
        <f t="shared" si="257"/>
        <v>0</v>
      </c>
      <c r="N1557" s="1476">
        <f t="shared" si="256"/>
        <v>0</v>
      </c>
    </row>
    <row r="1558" spans="1:14" ht="31" outlineLevel="1">
      <c r="A1558" s="1458">
        <f t="shared" si="259"/>
        <v>6</v>
      </c>
      <c r="B1558" s="1459" t="str">
        <f t="shared" si="259"/>
        <v>Supply and Installation of  reliability improvement schemes for HT/LT switchgears and auxilliaries at BTPS 2x500MW.</v>
      </c>
      <c r="C1558" s="1475">
        <f t="shared" si="259"/>
        <v>0</v>
      </c>
      <c r="D1558" s="1473" t="str">
        <f t="shared" si="259"/>
        <v>-</v>
      </c>
      <c r="E1558" s="1476">
        <f t="shared" si="259"/>
        <v>0</v>
      </c>
      <c r="F1558" s="1444">
        <f t="shared" si="253"/>
        <v>0</v>
      </c>
      <c r="G1558" s="1444">
        <f t="shared" si="254"/>
        <v>0</v>
      </c>
      <c r="H1558" s="1476">
        <f t="shared" si="255"/>
        <v>0</v>
      </c>
      <c r="I1558" s="1444">
        <v>0</v>
      </c>
      <c r="J1558" s="1444">
        <v>0</v>
      </c>
      <c r="K1558" s="1476"/>
      <c r="L1558" s="1476"/>
      <c r="M1558" s="1476">
        <f t="shared" si="257"/>
        <v>0</v>
      </c>
      <c r="N1558" s="1476">
        <f t="shared" si="256"/>
        <v>0</v>
      </c>
    </row>
    <row r="1559" spans="1:14" ht="15.5" outlineLevel="1">
      <c r="A1559" s="1455">
        <f t="shared" si="259"/>
        <v>6.1</v>
      </c>
      <c r="B1559" s="1455" t="str">
        <f t="shared" si="259"/>
        <v>Procurement of HT Motors of various ratings at 2x500MW.</v>
      </c>
      <c r="C1559" s="1475">
        <f t="shared" si="259"/>
        <v>0</v>
      </c>
      <c r="D1559" s="1473" t="str">
        <f t="shared" si="259"/>
        <v>-</v>
      </c>
      <c r="E1559" s="1476">
        <f t="shared" si="259"/>
        <v>0</v>
      </c>
      <c r="F1559" s="1444">
        <f t="shared" si="253"/>
        <v>4</v>
      </c>
      <c r="G1559" s="1444">
        <f t="shared" si="254"/>
        <v>4</v>
      </c>
      <c r="H1559" s="1476">
        <f t="shared" si="255"/>
        <v>0</v>
      </c>
      <c r="I1559" s="1444">
        <v>0</v>
      </c>
      <c r="J1559" s="1444">
        <v>0</v>
      </c>
      <c r="K1559" s="1476"/>
      <c r="L1559" s="1476"/>
      <c r="M1559" s="1476">
        <f t="shared" si="257"/>
        <v>0</v>
      </c>
      <c r="N1559" s="1476">
        <f t="shared" si="256"/>
        <v>0</v>
      </c>
    </row>
    <row r="1560" spans="1:14" ht="15.5" outlineLevel="1">
      <c r="A1560" s="1455">
        <f t="shared" si="259"/>
        <v>6.2</v>
      </c>
      <c r="B1560" s="1455" t="str">
        <f t="shared" si="259"/>
        <v>Procurement of Dry type transformers of varoius ratings at 2x500MW.</v>
      </c>
      <c r="C1560" s="1475">
        <f t="shared" si="259"/>
        <v>0</v>
      </c>
      <c r="D1560" s="1473" t="str">
        <f t="shared" si="259"/>
        <v>-</v>
      </c>
      <c r="E1560" s="1476">
        <f t="shared" si="259"/>
        <v>0</v>
      </c>
      <c r="F1560" s="1444">
        <f t="shared" si="253"/>
        <v>4</v>
      </c>
      <c r="G1560" s="1444">
        <f t="shared" si="254"/>
        <v>4</v>
      </c>
      <c r="H1560" s="1476">
        <f t="shared" si="255"/>
        <v>0</v>
      </c>
      <c r="I1560" s="1444">
        <v>0</v>
      </c>
      <c r="J1560" s="1444">
        <v>0</v>
      </c>
      <c r="K1560" s="1476"/>
      <c r="L1560" s="1476"/>
      <c r="M1560" s="1476">
        <f t="shared" si="257"/>
        <v>0</v>
      </c>
      <c r="N1560" s="1476">
        <f t="shared" si="256"/>
        <v>0</v>
      </c>
    </row>
    <row r="1561" spans="1:14" ht="15.5" outlineLevel="1">
      <c r="A1561" s="1455">
        <f t="shared" si="259"/>
        <v>6.3</v>
      </c>
      <c r="B1561" s="1455" t="str">
        <f t="shared" si="259"/>
        <v>Procurement of Inverter and converter trolleys of GEHO Pump at 2x500MW.</v>
      </c>
      <c r="C1561" s="1475">
        <f t="shared" si="259"/>
        <v>0</v>
      </c>
      <c r="D1561" s="1473" t="str">
        <f t="shared" si="259"/>
        <v>-</v>
      </c>
      <c r="E1561" s="1476">
        <f t="shared" si="259"/>
        <v>0</v>
      </c>
      <c r="F1561" s="1444">
        <f t="shared" si="253"/>
        <v>2</v>
      </c>
      <c r="G1561" s="1444">
        <f t="shared" si="254"/>
        <v>2</v>
      </c>
      <c r="H1561" s="1476">
        <f t="shared" si="255"/>
        <v>0</v>
      </c>
      <c r="I1561" s="1444">
        <v>0</v>
      </c>
      <c r="J1561" s="1444">
        <v>0</v>
      </c>
      <c r="K1561" s="1476"/>
      <c r="L1561" s="1476"/>
      <c r="M1561" s="1476">
        <f t="shared" si="257"/>
        <v>0</v>
      </c>
      <c r="N1561" s="1476">
        <f t="shared" si="256"/>
        <v>0</v>
      </c>
    </row>
    <row r="1562" spans="1:14" ht="31" outlineLevel="1">
      <c r="A1562" s="1455">
        <f t="shared" si="259"/>
        <v>6.4</v>
      </c>
      <c r="B1562" s="1455" t="str">
        <f t="shared" si="259"/>
        <v>Procurement of Vacuum Contactors of various ratings for  HT Switchgears  at BTPS 2x500MW.</v>
      </c>
      <c r="C1562" s="1475">
        <f t="shared" si="259"/>
        <v>0</v>
      </c>
      <c r="D1562" s="1473" t="str">
        <f t="shared" si="259"/>
        <v>-</v>
      </c>
      <c r="E1562" s="1476">
        <f t="shared" si="259"/>
        <v>0</v>
      </c>
      <c r="F1562" s="1444">
        <f t="shared" si="253"/>
        <v>2.5</v>
      </c>
      <c r="G1562" s="1444">
        <f t="shared" si="254"/>
        <v>2.5</v>
      </c>
      <c r="H1562" s="1476">
        <f t="shared" si="255"/>
        <v>0</v>
      </c>
      <c r="I1562" s="1444">
        <v>0</v>
      </c>
      <c r="J1562" s="1444">
        <v>0</v>
      </c>
      <c r="K1562" s="1476"/>
      <c r="L1562" s="1476"/>
      <c r="M1562" s="1476">
        <f t="shared" si="257"/>
        <v>0</v>
      </c>
      <c r="N1562" s="1476">
        <f t="shared" si="256"/>
        <v>0</v>
      </c>
    </row>
    <row r="1563" spans="1:14" ht="31" outlineLevel="1">
      <c r="A1563" s="1455">
        <f t="shared" si="259"/>
        <v>6.5</v>
      </c>
      <c r="B1563" s="1455" t="str">
        <f t="shared" si="259"/>
        <v>Supply, erection, commissioning &amp; site testing of 360V, 750 AH Station UPS Battery Sets  along with accessories for Unit No.4 at BTPS 2x500MW’.</v>
      </c>
      <c r="C1563" s="1475">
        <f t="shared" si="259"/>
        <v>0</v>
      </c>
      <c r="D1563" s="1473" t="str">
        <f t="shared" si="259"/>
        <v>-</v>
      </c>
      <c r="E1563" s="1476">
        <f t="shared" si="259"/>
        <v>0</v>
      </c>
      <c r="F1563" s="1444">
        <f t="shared" si="253"/>
        <v>4</v>
      </c>
      <c r="G1563" s="1444">
        <f t="shared" si="254"/>
        <v>4</v>
      </c>
      <c r="H1563" s="1476">
        <f t="shared" si="255"/>
        <v>0</v>
      </c>
      <c r="I1563" s="1444">
        <v>0</v>
      </c>
      <c r="J1563" s="1444">
        <v>0</v>
      </c>
      <c r="K1563" s="1476"/>
      <c r="L1563" s="1476"/>
      <c r="M1563" s="1476">
        <f t="shared" si="257"/>
        <v>0</v>
      </c>
      <c r="N1563" s="1476">
        <f t="shared" si="256"/>
        <v>0</v>
      </c>
    </row>
    <row r="1564" spans="1:14" ht="15.5" outlineLevel="1">
      <c r="A1564" s="1455">
        <f t="shared" si="259"/>
        <v>6.6</v>
      </c>
      <c r="B1564" s="1455" t="str">
        <f t="shared" si="259"/>
        <v>Updragation of Sox-Nox analyzer,PM analyzer, ETP analyzer at BTPS 2X500MW.</v>
      </c>
      <c r="C1564" s="1475">
        <f t="shared" si="259"/>
        <v>0</v>
      </c>
      <c r="D1564" s="1473" t="str">
        <f t="shared" si="259"/>
        <v>-</v>
      </c>
      <c r="E1564" s="1476">
        <f t="shared" si="259"/>
        <v>0</v>
      </c>
      <c r="F1564" s="1444">
        <f t="shared" si="253"/>
        <v>1.05</v>
      </c>
      <c r="G1564" s="1444">
        <f t="shared" si="254"/>
        <v>1.05</v>
      </c>
      <c r="H1564" s="1476">
        <f t="shared" si="255"/>
        <v>0</v>
      </c>
      <c r="I1564" s="1444">
        <v>0</v>
      </c>
      <c r="J1564" s="1444">
        <v>0</v>
      </c>
      <c r="K1564" s="1476"/>
      <c r="L1564" s="1476"/>
      <c r="M1564" s="1476">
        <f t="shared" si="257"/>
        <v>0</v>
      </c>
      <c r="N1564" s="1476">
        <f t="shared" si="256"/>
        <v>0</v>
      </c>
    </row>
    <row r="1565" spans="1:14" ht="15.5" outlineLevel="1">
      <c r="A1565" s="1455">
        <f t="shared" si="259"/>
        <v>6.7</v>
      </c>
      <c r="B1565" s="1455" t="str">
        <f t="shared" si="259"/>
        <v>Upgradation of O2 analyzer at BTPS 2X500MW</v>
      </c>
      <c r="C1565" s="1475">
        <f t="shared" si="259"/>
        <v>0</v>
      </c>
      <c r="D1565" s="1473" t="str">
        <f t="shared" si="259"/>
        <v>-</v>
      </c>
      <c r="E1565" s="1476">
        <f t="shared" si="259"/>
        <v>0</v>
      </c>
      <c r="F1565" s="1444">
        <f t="shared" si="253"/>
        <v>3.4</v>
      </c>
      <c r="G1565" s="1444">
        <f t="shared" si="254"/>
        <v>3.4</v>
      </c>
      <c r="H1565" s="1476">
        <f t="shared" si="255"/>
        <v>0</v>
      </c>
      <c r="I1565" s="1444">
        <v>0</v>
      </c>
      <c r="J1565" s="1444">
        <v>0</v>
      </c>
      <c r="K1565" s="1476"/>
      <c r="L1565" s="1476"/>
      <c r="M1565" s="1476">
        <f t="shared" si="257"/>
        <v>0</v>
      </c>
      <c r="N1565" s="1476">
        <f t="shared" si="256"/>
        <v>0</v>
      </c>
    </row>
    <row r="1566" spans="1:14" ht="31" outlineLevel="1">
      <c r="A1566" s="1455">
        <f t="shared" ref="A1566:E1581" si="260">A1336</f>
        <v>6.8</v>
      </c>
      <c r="B1566" s="1455" t="str">
        <f t="shared" si="260"/>
        <v>Revamping &amp; Upgradation Of Vibration Monitoring Rack From VM7 TO VM7B at BTPS 2X500MW</v>
      </c>
      <c r="C1566" s="1475">
        <f t="shared" si="260"/>
        <v>0</v>
      </c>
      <c r="D1566" s="1473" t="str">
        <f t="shared" si="260"/>
        <v>-</v>
      </c>
      <c r="E1566" s="1476">
        <f t="shared" si="260"/>
        <v>0</v>
      </c>
      <c r="F1566" s="1444">
        <f t="shared" si="253"/>
        <v>5</v>
      </c>
      <c r="G1566" s="1444">
        <f t="shared" si="254"/>
        <v>5</v>
      </c>
      <c r="H1566" s="1476">
        <f t="shared" si="255"/>
        <v>0</v>
      </c>
      <c r="I1566" s="1444">
        <v>0</v>
      </c>
      <c r="J1566" s="1444">
        <v>0</v>
      </c>
      <c r="K1566" s="1476"/>
      <c r="L1566" s="1476"/>
      <c r="M1566" s="1476">
        <f t="shared" si="257"/>
        <v>0</v>
      </c>
      <c r="N1566" s="1476">
        <f t="shared" si="256"/>
        <v>0</v>
      </c>
    </row>
    <row r="1567" spans="1:14" ht="15.5" outlineLevel="1">
      <c r="A1567" s="1455">
        <f t="shared" si="260"/>
        <v>6.9</v>
      </c>
      <c r="B1567" s="1455" t="str">
        <f t="shared" si="260"/>
        <v>Procurement &amp; Installation of High Mast towers in various location in BTPS</v>
      </c>
      <c r="C1567" s="1475">
        <f t="shared" si="260"/>
        <v>0</v>
      </c>
      <c r="D1567" s="1473" t="str">
        <f t="shared" si="260"/>
        <v>-</v>
      </c>
      <c r="E1567" s="1476">
        <f t="shared" si="260"/>
        <v>0</v>
      </c>
      <c r="F1567" s="1444">
        <f t="shared" si="253"/>
        <v>2</v>
      </c>
      <c r="G1567" s="1444">
        <f t="shared" si="254"/>
        <v>2</v>
      </c>
      <c r="H1567" s="1476">
        <f t="shared" si="255"/>
        <v>0</v>
      </c>
      <c r="I1567" s="1444">
        <v>0</v>
      </c>
      <c r="J1567" s="1444">
        <v>0</v>
      </c>
      <c r="K1567" s="1476"/>
      <c r="L1567" s="1476"/>
      <c r="M1567" s="1476">
        <f t="shared" si="257"/>
        <v>0</v>
      </c>
      <c r="N1567" s="1476">
        <f t="shared" si="256"/>
        <v>0</v>
      </c>
    </row>
    <row r="1568" spans="1:14" ht="31" outlineLevel="1">
      <c r="A1568" s="1455">
        <f t="shared" si="260"/>
        <v>6.1</v>
      </c>
      <c r="B1568" s="1455" t="str">
        <f t="shared" si="260"/>
        <v>Renovation and Modification of Colony Electric Supply System to improve availability and reliability of supply system at BTPS Colony, Deepnagar</v>
      </c>
      <c r="C1568" s="1475">
        <f t="shared" si="260"/>
        <v>0</v>
      </c>
      <c r="D1568" s="1473" t="str">
        <f t="shared" si="260"/>
        <v>-</v>
      </c>
      <c r="E1568" s="1476">
        <f t="shared" si="260"/>
        <v>0</v>
      </c>
      <c r="F1568" s="1444">
        <f t="shared" si="253"/>
        <v>15.85</v>
      </c>
      <c r="G1568" s="1444">
        <f t="shared" si="254"/>
        <v>15.85</v>
      </c>
      <c r="H1568" s="1476">
        <f t="shared" si="255"/>
        <v>0</v>
      </c>
      <c r="I1568" s="1444">
        <v>0</v>
      </c>
      <c r="J1568" s="1444">
        <v>0</v>
      </c>
      <c r="K1568" s="1476"/>
      <c r="L1568" s="1476"/>
      <c r="M1568" s="1476">
        <f t="shared" si="257"/>
        <v>0</v>
      </c>
      <c r="N1568" s="1476">
        <f t="shared" si="256"/>
        <v>0</v>
      </c>
    </row>
    <row r="1569" spans="1:14" ht="31" outlineLevel="1">
      <c r="A1569" s="1455">
        <f t="shared" si="260"/>
        <v>6.11</v>
      </c>
      <c r="B1569" s="1455" t="str">
        <f t="shared" si="260"/>
        <v>Work of  Overhauling repairs of U-5 350KW BCWP motor of M/s Torishima make at BTPS 2x500MW.</v>
      </c>
      <c r="C1569" s="1475">
        <f t="shared" si="260"/>
        <v>0</v>
      </c>
      <c r="D1569" s="1473" t="str">
        <f t="shared" si="260"/>
        <v>-</v>
      </c>
      <c r="E1569" s="1476">
        <f t="shared" si="260"/>
        <v>0</v>
      </c>
      <c r="F1569" s="1444">
        <f t="shared" si="253"/>
        <v>4</v>
      </c>
      <c r="G1569" s="1444">
        <f t="shared" si="254"/>
        <v>4</v>
      </c>
      <c r="H1569" s="1476">
        <f t="shared" si="255"/>
        <v>0</v>
      </c>
      <c r="I1569" s="1444">
        <v>0</v>
      </c>
      <c r="J1569" s="1444">
        <v>0</v>
      </c>
      <c r="K1569" s="1476"/>
      <c r="L1569" s="1476"/>
      <c r="M1569" s="1476">
        <f t="shared" si="257"/>
        <v>0</v>
      </c>
      <c r="N1569" s="1476">
        <f t="shared" si="256"/>
        <v>0</v>
      </c>
    </row>
    <row r="1570" spans="1:14" ht="15.5" outlineLevel="1">
      <c r="A1570" s="1457">
        <f t="shared" si="260"/>
        <v>0</v>
      </c>
      <c r="B1570" s="1457" t="str">
        <f t="shared" si="260"/>
        <v xml:space="preserve">FY 2028-29 </v>
      </c>
      <c r="C1570" s="1475">
        <f t="shared" si="260"/>
        <v>0</v>
      </c>
      <c r="D1570" s="1473" t="str">
        <f t="shared" si="260"/>
        <v>-</v>
      </c>
      <c r="E1570" s="1476">
        <f t="shared" si="260"/>
        <v>0</v>
      </c>
      <c r="F1570" s="1444">
        <f t="shared" si="253"/>
        <v>0</v>
      </c>
      <c r="G1570" s="1444">
        <f t="shared" si="254"/>
        <v>0</v>
      </c>
      <c r="H1570" s="1476">
        <f t="shared" si="255"/>
        <v>0</v>
      </c>
      <c r="I1570" s="1444">
        <v>0</v>
      </c>
      <c r="J1570" s="1444">
        <v>0</v>
      </c>
      <c r="K1570" s="1476"/>
      <c r="L1570" s="1476"/>
      <c r="M1570" s="1476">
        <f t="shared" si="257"/>
        <v>0</v>
      </c>
      <c r="N1570" s="1476">
        <f t="shared" si="256"/>
        <v>0</v>
      </c>
    </row>
    <row r="1571" spans="1:14" ht="31" outlineLevel="1">
      <c r="A1571" s="1458">
        <f t="shared" si="260"/>
        <v>1</v>
      </c>
      <c r="B1571" s="1459" t="str">
        <f t="shared" si="260"/>
        <v>APH baskets with main drive Gear box and lub oil skids with motor at 2x500MW BTPS</v>
      </c>
      <c r="C1571" s="1475">
        <f t="shared" si="260"/>
        <v>0</v>
      </c>
      <c r="D1571" s="1473" t="str">
        <f t="shared" si="260"/>
        <v>-</v>
      </c>
      <c r="E1571" s="1476">
        <f t="shared" si="260"/>
        <v>0</v>
      </c>
      <c r="F1571" s="1444">
        <f t="shared" si="253"/>
        <v>0</v>
      </c>
      <c r="G1571" s="1444">
        <f t="shared" si="254"/>
        <v>0</v>
      </c>
      <c r="H1571" s="1476">
        <f t="shared" si="255"/>
        <v>0</v>
      </c>
      <c r="I1571" s="1444">
        <v>0</v>
      </c>
      <c r="J1571" s="1444">
        <v>0</v>
      </c>
      <c r="K1571" s="1476"/>
      <c r="L1571" s="1476"/>
      <c r="M1571" s="1476">
        <f t="shared" si="257"/>
        <v>0</v>
      </c>
      <c r="N1571" s="1476">
        <f t="shared" si="256"/>
        <v>0</v>
      </c>
    </row>
    <row r="1572" spans="1:14" ht="31" outlineLevel="1">
      <c r="A1572" s="1455">
        <f t="shared" si="260"/>
        <v>1.1000000000000001</v>
      </c>
      <c r="B1572" s="1455" t="str">
        <f t="shared" si="260"/>
        <v>APH baskets with main drive Gear box and lub oil skids with motor at 2x500MW BTPS</v>
      </c>
      <c r="C1572" s="1475">
        <f t="shared" si="260"/>
        <v>0</v>
      </c>
      <c r="D1572" s="1473" t="str">
        <f t="shared" si="260"/>
        <v>-</v>
      </c>
      <c r="E1572" s="1476">
        <f t="shared" si="260"/>
        <v>0</v>
      </c>
      <c r="F1572" s="1444">
        <f t="shared" si="253"/>
        <v>0</v>
      </c>
      <c r="G1572" s="1444">
        <f t="shared" si="254"/>
        <v>0</v>
      </c>
      <c r="H1572" s="1476">
        <f t="shared" si="255"/>
        <v>0</v>
      </c>
      <c r="I1572" s="1444">
        <v>50</v>
      </c>
      <c r="J1572" s="1444">
        <v>50</v>
      </c>
      <c r="K1572" s="1476"/>
      <c r="L1572" s="1476"/>
      <c r="M1572" s="1476">
        <f t="shared" si="257"/>
        <v>50</v>
      </c>
      <c r="N1572" s="1476">
        <f t="shared" si="256"/>
        <v>0</v>
      </c>
    </row>
    <row r="1573" spans="1:14" ht="31" outlineLevel="1">
      <c r="A1573" s="1458">
        <f t="shared" si="260"/>
        <v>2</v>
      </c>
      <c r="B1573" s="1459" t="str">
        <f t="shared" si="260"/>
        <v>Detail Project Report for  Design, Engineering, Supply, Installation and commissioning of 1500TPH Stacker cum re-claimer in Coal Handling Plant-BTPS.</v>
      </c>
      <c r="C1573" s="1475">
        <f t="shared" si="260"/>
        <v>0</v>
      </c>
      <c r="D1573" s="1473" t="str">
        <f t="shared" si="260"/>
        <v>-</v>
      </c>
      <c r="E1573" s="1476">
        <f t="shared" si="260"/>
        <v>0</v>
      </c>
      <c r="F1573" s="1444">
        <f t="shared" si="253"/>
        <v>0</v>
      </c>
      <c r="G1573" s="1444">
        <f t="shared" si="254"/>
        <v>0</v>
      </c>
      <c r="H1573" s="1476">
        <f t="shared" si="255"/>
        <v>0</v>
      </c>
      <c r="I1573" s="1444">
        <v>0</v>
      </c>
      <c r="J1573" s="1444">
        <v>0</v>
      </c>
      <c r="K1573" s="1476"/>
      <c r="L1573" s="1476"/>
      <c r="M1573" s="1476">
        <f t="shared" si="257"/>
        <v>0</v>
      </c>
      <c r="N1573" s="1476">
        <f t="shared" si="256"/>
        <v>0</v>
      </c>
    </row>
    <row r="1574" spans="1:14" ht="31" outlineLevel="1">
      <c r="A1574" s="1455">
        <f t="shared" si="260"/>
        <v>2.1</v>
      </c>
      <c r="B1574" s="1455" t="str">
        <f t="shared" si="260"/>
        <v>Design, Engineering, Supply, Installation and commissioning of 1500TPH Stacker cum re-claimer in Coal Handling Plant-BTPS.</v>
      </c>
      <c r="C1574" s="1475">
        <f t="shared" si="260"/>
        <v>0</v>
      </c>
      <c r="D1574" s="1473" t="str">
        <f t="shared" si="260"/>
        <v>-</v>
      </c>
      <c r="E1574" s="1476">
        <f t="shared" si="260"/>
        <v>0</v>
      </c>
      <c r="F1574" s="1444">
        <f t="shared" si="253"/>
        <v>0</v>
      </c>
      <c r="G1574" s="1444">
        <f t="shared" si="254"/>
        <v>0</v>
      </c>
      <c r="H1574" s="1476">
        <f t="shared" si="255"/>
        <v>0</v>
      </c>
      <c r="I1574" s="1444">
        <v>118</v>
      </c>
      <c r="J1574" s="1444">
        <v>118</v>
      </c>
      <c r="K1574" s="1476"/>
      <c r="L1574" s="1476"/>
      <c r="M1574" s="1476">
        <f t="shared" si="257"/>
        <v>118</v>
      </c>
      <c r="N1574" s="1476">
        <f t="shared" si="256"/>
        <v>0</v>
      </c>
    </row>
    <row r="1575" spans="1:14" ht="15.5" outlineLevel="1">
      <c r="A1575" s="1458">
        <f t="shared" si="260"/>
        <v>3</v>
      </c>
      <c r="B1575" s="1459" t="str">
        <f t="shared" si="260"/>
        <v>Enhancement of Unloading &amp; Stacking Capacity of CHP.</v>
      </c>
      <c r="C1575" s="1475">
        <f t="shared" si="260"/>
        <v>0</v>
      </c>
      <c r="D1575" s="1473" t="str">
        <f t="shared" si="260"/>
        <v>-</v>
      </c>
      <c r="E1575" s="1476">
        <f t="shared" si="260"/>
        <v>0</v>
      </c>
      <c r="F1575" s="1444">
        <f t="shared" si="253"/>
        <v>0</v>
      </c>
      <c r="G1575" s="1444">
        <f t="shared" si="254"/>
        <v>0</v>
      </c>
      <c r="H1575" s="1476">
        <f t="shared" si="255"/>
        <v>0</v>
      </c>
      <c r="I1575" s="1444">
        <v>0</v>
      </c>
      <c r="J1575" s="1444">
        <v>0</v>
      </c>
      <c r="K1575" s="1476"/>
      <c r="L1575" s="1476"/>
      <c r="M1575" s="1476">
        <f t="shared" si="257"/>
        <v>0</v>
      </c>
      <c r="N1575" s="1476">
        <f t="shared" si="256"/>
        <v>0</v>
      </c>
    </row>
    <row r="1576" spans="1:14" ht="31" outlineLevel="1">
      <c r="A1576" s="1455">
        <f t="shared" si="260"/>
        <v>3.1</v>
      </c>
      <c r="B1576" s="1455" t="str">
        <f t="shared" si="260"/>
        <v>Design Supply errection &amp; Comissioning of Open Wagon Tippler along with stacking and reclaiming yard conveyors at CHP stack yard.</v>
      </c>
      <c r="C1576" s="1475">
        <f t="shared" si="260"/>
        <v>0</v>
      </c>
      <c r="D1576" s="1473" t="str">
        <f t="shared" si="260"/>
        <v>-</v>
      </c>
      <c r="E1576" s="1476">
        <f t="shared" si="260"/>
        <v>0</v>
      </c>
      <c r="F1576" s="1444">
        <f t="shared" si="253"/>
        <v>0</v>
      </c>
      <c r="G1576" s="1444">
        <f t="shared" si="254"/>
        <v>0</v>
      </c>
      <c r="H1576" s="1476">
        <f t="shared" si="255"/>
        <v>0</v>
      </c>
      <c r="I1576" s="1444">
        <v>89</v>
      </c>
      <c r="J1576" s="1444">
        <v>89</v>
      </c>
      <c r="K1576" s="1476"/>
      <c r="L1576" s="1476"/>
      <c r="M1576" s="1476">
        <f t="shared" si="257"/>
        <v>89</v>
      </c>
      <c r="N1576" s="1476">
        <f t="shared" si="256"/>
        <v>0</v>
      </c>
    </row>
    <row r="1577" spans="1:14" ht="15.5" outlineLevel="1">
      <c r="A1577" s="1457">
        <f t="shared" si="260"/>
        <v>0</v>
      </c>
      <c r="B1577" s="1457" t="str">
        <f t="shared" si="260"/>
        <v>FY 2029-30</v>
      </c>
      <c r="C1577" s="1475">
        <f t="shared" si="260"/>
        <v>0</v>
      </c>
      <c r="D1577" s="1473" t="str">
        <f t="shared" si="260"/>
        <v>-</v>
      </c>
      <c r="E1577" s="1476">
        <f t="shared" si="260"/>
        <v>0</v>
      </c>
      <c r="F1577" s="1444">
        <f t="shared" si="253"/>
        <v>0</v>
      </c>
      <c r="G1577" s="1444">
        <f t="shared" si="254"/>
        <v>0</v>
      </c>
      <c r="H1577" s="1476">
        <f t="shared" si="255"/>
        <v>0</v>
      </c>
      <c r="I1577" s="1444">
        <v>0</v>
      </c>
      <c r="J1577" s="1444">
        <v>0</v>
      </c>
      <c r="K1577" s="1476"/>
      <c r="L1577" s="1476"/>
      <c r="M1577" s="1476">
        <f t="shared" si="257"/>
        <v>0</v>
      </c>
      <c r="N1577" s="1476">
        <f t="shared" si="256"/>
        <v>0</v>
      </c>
    </row>
    <row r="1578" spans="1:14" ht="31" outlineLevel="1">
      <c r="A1578" s="1458">
        <f t="shared" si="260"/>
        <v>1</v>
      </c>
      <c r="B1578" s="1459" t="str">
        <f t="shared" si="260"/>
        <v>Coal Mill Performance Improvement and Life Enhancement of BHEL Make XRP-1043 Coal Mills in 2x500 MW BTPS.</v>
      </c>
      <c r="C1578" s="1475">
        <f t="shared" si="260"/>
        <v>0</v>
      </c>
      <c r="D1578" s="1473" t="str">
        <f t="shared" si="260"/>
        <v>-</v>
      </c>
      <c r="E1578" s="1476">
        <f t="shared" si="260"/>
        <v>0</v>
      </c>
      <c r="F1578" s="1444">
        <f t="shared" si="253"/>
        <v>0</v>
      </c>
      <c r="G1578" s="1444">
        <f t="shared" si="254"/>
        <v>0</v>
      </c>
      <c r="H1578" s="1476">
        <f t="shared" si="255"/>
        <v>0</v>
      </c>
      <c r="I1578" s="1444">
        <v>0</v>
      </c>
      <c r="J1578" s="1444">
        <v>0</v>
      </c>
      <c r="K1578" s="1476"/>
      <c r="L1578" s="1476"/>
      <c r="M1578" s="1476">
        <f t="shared" si="257"/>
        <v>0</v>
      </c>
      <c r="N1578" s="1476">
        <f t="shared" si="256"/>
        <v>0</v>
      </c>
    </row>
    <row r="1579" spans="1:14" ht="31" outlineLevel="1">
      <c r="A1579" s="1455">
        <f t="shared" si="260"/>
        <v>1.1000000000000001</v>
      </c>
      <c r="B1579" s="1455" t="str">
        <f t="shared" si="260"/>
        <v>Coal Mill Performance Improvement and Life Enhancement of BHEL Make XRP-1043 Coal Mills in 2x500 MW BTPS.</v>
      </c>
      <c r="C1579" s="1475">
        <f t="shared" si="260"/>
        <v>0</v>
      </c>
      <c r="D1579" s="1473" t="str">
        <f t="shared" si="260"/>
        <v>-</v>
      </c>
      <c r="E1579" s="1476">
        <f t="shared" si="260"/>
        <v>0</v>
      </c>
      <c r="F1579" s="1444">
        <f t="shared" si="253"/>
        <v>0</v>
      </c>
      <c r="G1579" s="1444">
        <f t="shared" si="254"/>
        <v>0</v>
      </c>
      <c r="H1579" s="1476">
        <f t="shared" si="255"/>
        <v>0</v>
      </c>
      <c r="I1579" s="1444">
        <v>0</v>
      </c>
      <c r="J1579" s="1444">
        <v>0</v>
      </c>
      <c r="K1579" s="1476"/>
      <c r="L1579" s="1476"/>
      <c r="M1579" s="1476">
        <f t="shared" si="257"/>
        <v>0</v>
      </c>
      <c r="N1579" s="1476">
        <f t="shared" si="256"/>
        <v>0</v>
      </c>
    </row>
    <row r="1580" spans="1:14" ht="15.5" outlineLevel="1">
      <c r="A1580" s="1458">
        <f t="shared" si="260"/>
        <v>2</v>
      </c>
      <c r="B1580" s="1459" t="str">
        <f t="shared" si="260"/>
        <v>Upgradation rail  track in CHP -BTPS</v>
      </c>
      <c r="C1580" s="1475">
        <f t="shared" si="260"/>
        <v>0</v>
      </c>
      <c r="D1580" s="1473" t="str">
        <f t="shared" si="260"/>
        <v>-</v>
      </c>
      <c r="E1580" s="1476">
        <f t="shared" si="260"/>
        <v>0</v>
      </c>
      <c r="F1580" s="1444">
        <f t="shared" si="253"/>
        <v>0</v>
      </c>
      <c r="G1580" s="1444">
        <f t="shared" si="254"/>
        <v>0</v>
      </c>
      <c r="H1580" s="1476">
        <f t="shared" si="255"/>
        <v>0</v>
      </c>
      <c r="I1580" s="1444">
        <v>0</v>
      </c>
      <c r="J1580" s="1444">
        <v>0</v>
      </c>
      <c r="K1580" s="1476"/>
      <c r="L1580" s="1476"/>
      <c r="M1580" s="1476">
        <f t="shared" si="257"/>
        <v>0</v>
      </c>
      <c r="N1580" s="1476">
        <f t="shared" si="256"/>
        <v>0</v>
      </c>
    </row>
    <row r="1581" spans="1:14" ht="15.5" outlineLevel="1">
      <c r="A1581" s="1455">
        <f t="shared" si="260"/>
        <v>2.1</v>
      </c>
      <c r="B1581" s="1455" t="str">
        <f t="shared" si="260"/>
        <v>Revamping and Upgradation of rail track from 52KG to 60KG in CHP-BTPS.</v>
      </c>
      <c r="C1581" s="1475">
        <f t="shared" si="260"/>
        <v>0</v>
      </c>
      <c r="D1581" s="1473" t="str">
        <f t="shared" si="260"/>
        <v>-</v>
      </c>
      <c r="E1581" s="1476">
        <f t="shared" si="260"/>
        <v>0</v>
      </c>
      <c r="F1581" s="1444">
        <f t="shared" si="253"/>
        <v>0</v>
      </c>
      <c r="G1581" s="1444">
        <f t="shared" si="254"/>
        <v>0</v>
      </c>
      <c r="H1581" s="1476">
        <f t="shared" si="255"/>
        <v>0</v>
      </c>
      <c r="I1581" s="1444">
        <v>0</v>
      </c>
      <c r="J1581" s="1444">
        <v>0</v>
      </c>
      <c r="K1581" s="1476"/>
      <c r="L1581" s="1476"/>
      <c r="M1581" s="1476">
        <f t="shared" si="257"/>
        <v>0</v>
      </c>
      <c r="N1581" s="1476">
        <f t="shared" si="256"/>
        <v>0</v>
      </c>
    </row>
    <row r="1582" spans="1:14" ht="15.5" outlineLevel="1">
      <c r="A1582" s="1455">
        <f t="shared" ref="A1582:E1597" si="261">A1352</f>
        <v>0</v>
      </c>
      <c r="B1582" s="1455">
        <f t="shared" si="261"/>
        <v>0</v>
      </c>
      <c r="C1582" s="1475">
        <f t="shared" si="261"/>
        <v>0</v>
      </c>
      <c r="D1582" s="1473" t="str">
        <f t="shared" si="261"/>
        <v>-</v>
      </c>
      <c r="E1582" s="1476">
        <f t="shared" si="261"/>
        <v>0</v>
      </c>
      <c r="F1582" s="1444">
        <f t="shared" ref="F1582:F1614" si="262">F1352+I1352</f>
        <v>0</v>
      </c>
      <c r="G1582" s="1444">
        <f t="shared" ref="G1582:G1614" si="263">G1352+M1352</f>
        <v>0</v>
      </c>
      <c r="H1582" s="1476">
        <f t="shared" si="255"/>
        <v>0</v>
      </c>
      <c r="I1582" s="1444">
        <v>0</v>
      </c>
      <c r="J1582" s="1444">
        <v>0</v>
      </c>
      <c r="K1582" s="1476"/>
      <c r="L1582" s="1476"/>
      <c r="M1582" s="1476">
        <f t="shared" si="257"/>
        <v>0</v>
      </c>
      <c r="N1582" s="1476">
        <f t="shared" si="256"/>
        <v>0</v>
      </c>
    </row>
    <row r="1583" spans="1:14" ht="15.5" outlineLevel="1">
      <c r="A1583" s="1456">
        <f t="shared" si="261"/>
        <v>0</v>
      </c>
      <c r="B1583" s="1456" t="str">
        <f t="shared" si="261"/>
        <v>B) Non-DPR Schemes</v>
      </c>
      <c r="C1583" s="1475">
        <f t="shared" si="261"/>
        <v>0</v>
      </c>
      <c r="D1583" s="1473" t="str">
        <f t="shared" si="261"/>
        <v>-</v>
      </c>
      <c r="E1583" s="1476">
        <f t="shared" si="261"/>
        <v>0</v>
      </c>
      <c r="F1583" s="1444">
        <f t="shared" si="262"/>
        <v>0</v>
      </c>
      <c r="G1583" s="1444">
        <f t="shared" si="263"/>
        <v>0</v>
      </c>
      <c r="H1583" s="1476">
        <f t="shared" si="255"/>
        <v>0</v>
      </c>
      <c r="I1583" s="1444">
        <v>0</v>
      </c>
      <c r="J1583" s="1444">
        <v>0</v>
      </c>
      <c r="K1583" s="1476"/>
      <c r="L1583" s="1476"/>
      <c r="M1583" s="1476">
        <f t="shared" si="257"/>
        <v>0</v>
      </c>
      <c r="N1583" s="1476">
        <f t="shared" si="256"/>
        <v>0</v>
      </c>
    </row>
    <row r="1584" spans="1:14" ht="15.5" outlineLevel="1">
      <c r="A1584" s="1454">
        <f t="shared" si="261"/>
        <v>1</v>
      </c>
      <c r="B1584" s="1454" t="str">
        <f t="shared" si="261"/>
        <v>Contract for modification of Wobbler feeder in CHP-2X500MW</v>
      </c>
      <c r="C1584" s="1475">
        <f t="shared" si="261"/>
        <v>0</v>
      </c>
      <c r="D1584" s="1473" t="str">
        <f t="shared" si="261"/>
        <v>-</v>
      </c>
      <c r="E1584" s="1476">
        <f t="shared" si="261"/>
        <v>0</v>
      </c>
      <c r="F1584" s="1444">
        <f t="shared" si="262"/>
        <v>1.473342572</v>
      </c>
      <c r="G1584" s="1444">
        <f t="shared" si="263"/>
        <v>1.473342572</v>
      </c>
      <c r="H1584" s="1476">
        <f t="shared" si="255"/>
        <v>0</v>
      </c>
      <c r="I1584" s="1444">
        <v>0</v>
      </c>
      <c r="J1584" s="1444">
        <v>0</v>
      </c>
      <c r="K1584" s="1476"/>
      <c r="L1584" s="1476"/>
      <c r="M1584" s="1476">
        <f t="shared" si="257"/>
        <v>0</v>
      </c>
      <c r="N1584" s="1476">
        <f t="shared" si="256"/>
        <v>0</v>
      </c>
    </row>
    <row r="1585" spans="1:14" ht="15.5" outlineLevel="1">
      <c r="A1585" s="1454">
        <f t="shared" si="261"/>
        <v>2</v>
      </c>
      <c r="B1585" s="1454" t="str">
        <f t="shared" si="261"/>
        <v>Contract for Revamping of Apron Feeder in CHP-2X500MW</v>
      </c>
      <c r="C1585" s="1475">
        <f t="shared" si="261"/>
        <v>0</v>
      </c>
      <c r="D1585" s="1473" t="str">
        <f t="shared" si="261"/>
        <v>-</v>
      </c>
      <c r="E1585" s="1476">
        <f t="shared" si="261"/>
        <v>0</v>
      </c>
      <c r="F1585" s="1444">
        <f t="shared" si="262"/>
        <v>2.3246000000000002</v>
      </c>
      <c r="G1585" s="1444">
        <f t="shared" si="263"/>
        <v>2.3246000000000002</v>
      </c>
      <c r="H1585" s="1476">
        <f t="shared" si="255"/>
        <v>0</v>
      </c>
      <c r="I1585" s="1444">
        <v>0</v>
      </c>
      <c r="J1585" s="1444">
        <v>0</v>
      </c>
      <c r="K1585" s="1476"/>
      <c r="L1585" s="1476"/>
      <c r="M1585" s="1476">
        <f t="shared" si="257"/>
        <v>0</v>
      </c>
      <c r="N1585" s="1476">
        <f t="shared" si="256"/>
        <v>0</v>
      </c>
    </row>
    <row r="1586" spans="1:14" ht="31" outlineLevel="1">
      <c r="A1586" s="1454">
        <f t="shared" si="261"/>
        <v>3</v>
      </c>
      <c r="B1586" s="1454" t="str">
        <f t="shared" si="261"/>
        <v> Procurement of double lip skirt sealing &amp; tracking idler in CHP at 2x500MW, BTPS</v>
      </c>
      <c r="C1586" s="1475">
        <f t="shared" si="261"/>
        <v>0</v>
      </c>
      <c r="D1586" s="1473" t="str">
        <f t="shared" si="261"/>
        <v>-</v>
      </c>
      <c r="E1586" s="1476">
        <f t="shared" si="261"/>
        <v>0</v>
      </c>
      <c r="F1586" s="1444">
        <f t="shared" si="262"/>
        <v>0.57024680000000005</v>
      </c>
      <c r="G1586" s="1444">
        <f t="shared" si="263"/>
        <v>0.57024680000000005</v>
      </c>
      <c r="H1586" s="1476">
        <f t="shared" si="255"/>
        <v>0</v>
      </c>
      <c r="I1586" s="1444">
        <v>0</v>
      </c>
      <c r="J1586" s="1444">
        <v>0</v>
      </c>
      <c r="K1586" s="1476"/>
      <c r="L1586" s="1476"/>
      <c r="M1586" s="1476">
        <f t="shared" si="257"/>
        <v>0</v>
      </c>
      <c r="N1586" s="1476">
        <f t="shared" si="256"/>
        <v>0</v>
      </c>
    </row>
    <row r="1587" spans="1:14" ht="15.5" outlineLevel="1">
      <c r="A1587" s="1454">
        <f t="shared" si="261"/>
        <v>4</v>
      </c>
      <c r="B1587" s="1454" t="str">
        <f t="shared" si="261"/>
        <v>Supply, erection &amp; commissioning of vibrating feeder in CHP at 2x500MW, BTPS</v>
      </c>
      <c r="C1587" s="1475">
        <f t="shared" si="261"/>
        <v>0</v>
      </c>
      <c r="D1587" s="1473" t="str">
        <f t="shared" si="261"/>
        <v>-</v>
      </c>
      <c r="E1587" s="1476">
        <f t="shared" si="261"/>
        <v>0</v>
      </c>
      <c r="F1587" s="1444">
        <f t="shared" si="262"/>
        <v>0.57796400000000003</v>
      </c>
      <c r="G1587" s="1444">
        <f t="shared" si="263"/>
        <v>0.57796400000000003</v>
      </c>
      <c r="H1587" s="1476">
        <f t="shared" si="255"/>
        <v>0</v>
      </c>
      <c r="I1587" s="1444">
        <v>0</v>
      </c>
      <c r="J1587" s="1444">
        <v>0</v>
      </c>
      <c r="K1587" s="1476"/>
      <c r="L1587" s="1476"/>
      <c r="M1587" s="1476">
        <f t="shared" si="257"/>
        <v>0</v>
      </c>
      <c r="N1587" s="1476">
        <f t="shared" si="256"/>
        <v>0</v>
      </c>
    </row>
    <row r="1588" spans="1:14" ht="15.5" outlineLevel="1">
      <c r="A1588" s="1454">
        <f t="shared" si="261"/>
        <v>5</v>
      </c>
      <c r="B1588" s="1454" t="str">
        <f t="shared" si="261"/>
        <v xml:space="preserve"> Coal chutes with extra life wear resistance plates in CHP at 2X500MW</v>
      </c>
      <c r="C1588" s="1475">
        <f t="shared" si="261"/>
        <v>0</v>
      </c>
      <c r="D1588" s="1473" t="str">
        <f t="shared" si="261"/>
        <v>-</v>
      </c>
      <c r="E1588" s="1476">
        <f t="shared" si="261"/>
        <v>0</v>
      </c>
      <c r="F1588" s="1444">
        <f t="shared" si="262"/>
        <v>2.0319305000000001</v>
      </c>
      <c r="G1588" s="1444">
        <f t="shared" si="263"/>
        <v>2.0319305000000001</v>
      </c>
      <c r="H1588" s="1476">
        <f t="shared" si="255"/>
        <v>0</v>
      </c>
      <c r="I1588" s="1444">
        <v>0</v>
      </c>
      <c r="J1588" s="1444">
        <v>0</v>
      </c>
      <c r="K1588" s="1476"/>
      <c r="L1588" s="1476"/>
      <c r="M1588" s="1476">
        <f t="shared" si="257"/>
        <v>0</v>
      </c>
      <c r="N1588" s="1476">
        <f t="shared" si="256"/>
        <v>0</v>
      </c>
    </row>
    <row r="1589" spans="1:14" ht="31" outlineLevel="1">
      <c r="A1589" s="1454">
        <f t="shared" si="261"/>
        <v>6</v>
      </c>
      <c r="B1589" s="1454" t="str">
        <f t="shared" si="261"/>
        <v xml:space="preserve">Epoxy Painting upto all height to structural steel work in main plant boiler side area and CHP area </v>
      </c>
      <c r="C1589" s="1475">
        <f t="shared" si="261"/>
        <v>0</v>
      </c>
      <c r="D1589" s="1473" t="str">
        <f t="shared" si="261"/>
        <v>-</v>
      </c>
      <c r="E1589" s="1476">
        <f t="shared" si="261"/>
        <v>0</v>
      </c>
      <c r="F1589" s="1444">
        <f t="shared" si="262"/>
        <v>5.8625346629999999</v>
      </c>
      <c r="G1589" s="1444">
        <f t="shared" si="263"/>
        <v>5.8625346629999999</v>
      </c>
      <c r="H1589" s="1476">
        <f t="shared" si="255"/>
        <v>0</v>
      </c>
      <c r="I1589" s="1444">
        <v>0</v>
      </c>
      <c r="J1589" s="1444">
        <v>0</v>
      </c>
      <c r="K1589" s="1476"/>
      <c r="L1589" s="1476"/>
      <c r="M1589" s="1476">
        <f t="shared" si="257"/>
        <v>0</v>
      </c>
      <c r="N1589" s="1476">
        <f t="shared" si="256"/>
        <v>0</v>
      </c>
    </row>
    <row r="1590" spans="1:14" ht="15.5" outlineLevel="1">
      <c r="A1590" s="1454">
        <f t="shared" si="261"/>
        <v>7</v>
      </c>
      <c r="B1590" s="1454" t="str">
        <f t="shared" si="261"/>
        <v xml:space="preserve"> Rectification of Belt feeder &amp; Gravity Take-up  in CHP-2X500MW.</v>
      </c>
      <c r="C1590" s="1475">
        <f t="shared" si="261"/>
        <v>0</v>
      </c>
      <c r="D1590" s="1473" t="str">
        <f t="shared" si="261"/>
        <v>-</v>
      </c>
      <c r="E1590" s="1476">
        <f t="shared" si="261"/>
        <v>0</v>
      </c>
      <c r="F1590" s="1444">
        <f t="shared" si="262"/>
        <v>1.6478699999999999</v>
      </c>
      <c r="G1590" s="1444">
        <f t="shared" si="263"/>
        <v>1.6478699999999999</v>
      </c>
      <c r="H1590" s="1476">
        <f t="shared" si="255"/>
        <v>0</v>
      </c>
      <c r="I1590" s="1444">
        <v>0</v>
      </c>
      <c r="J1590" s="1444">
        <v>0</v>
      </c>
      <c r="K1590" s="1476"/>
      <c r="L1590" s="1476"/>
      <c r="M1590" s="1476">
        <f t="shared" si="257"/>
        <v>0</v>
      </c>
      <c r="N1590" s="1476">
        <f t="shared" si="256"/>
        <v>0</v>
      </c>
    </row>
    <row r="1591" spans="1:14" ht="15.5" outlineLevel="1">
      <c r="A1591" s="1454">
        <f t="shared" si="261"/>
        <v>8</v>
      </c>
      <c r="B1591" s="1454" t="str">
        <f t="shared" si="261"/>
        <v>Coal diverting chutes in CHP at 2X500MW.</v>
      </c>
      <c r="C1591" s="1475">
        <f t="shared" si="261"/>
        <v>0</v>
      </c>
      <c r="D1591" s="1473" t="str">
        <f t="shared" si="261"/>
        <v>-</v>
      </c>
      <c r="E1591" s="1476">
        <f t="shared" si="261"/>
        <v>0</v>
      </c>
      <c r="F1591" s="1444">
        <f t="shared" si="262"/>
        <v>2.218399056</v>
      </c>
      <c r="G1591" s="1444">
        <f t="shared" si="263"/>
        <v>2.218399056</v>
      </c>
      <c r="H1591" s="1476">
        <f t="shared" si="255"/>
        <v>0</v>
      </c>
      <c r="I1591" s="1444">
        <v>0</v>
      </c>
      <c r="J1591" s="1444">
        <v>0</v>
      </c>
      <c r="K1591" s="1476"/>
      <c r="L1591" s="1476"/>
      <c r="M1591" s="1476">
        <f t="shared" si="257"/>
        <v>0</v>
      </c>
      <c r="N1591" s="1476">
        <f t="shared" si="256"/>
        <v>0</v>
      </c>
    </row>
    <row r="1592" spans="1:14" ht="31" outlineLevel="1">
      <c r="A1592" s="1454">
        <f t="shared" si="261"/>
        <v>9</v>
      </c>
      <c r="B1592" s="1454" t="str">
        <f t="shared" si="261"/>
        <v>Supply of Conveyor Pulleys with Ceramic lagging at CHP-2X500MW, BTPS, Bhusawal</v>
      </c>
      <c r="C1592" s="1475">
        <f t="shared" si="261"/>
        <v>0</v>
      </c>
      <c r="D1592" s="1473" t="str">
        <f t="shared" si="261"/>
        <v>-</v>
      </c>
      <c r="E1592" s="1476">
        <f t="shared" si="261"/>
        <v>0</v>
      </c>
      <c r="F1592" s="1444">
        <f t="shared" si="262"/>
        <v>0.58051280000000005</v>
      </c>
      <c r="G1592" s="1444">
        <f t="shared" si="263"/>
        <v>0.58051280000000005</v>
      </c>
      <c r="H1592" s="1476">
        <f t="shared" si="255"/>
        <v>0</v>
      </c>
      <c r="I1592" s="1444">
        <v>0</v>
      </c>
      <c r="J1592" s="1444">
        <v>0</v>
      </c>
      <c r="K1592" s="1476"/>
      <c r="L1592" s="1476"/>
      <c r="M1592" s="1476">
        <f t="shared" si="257"/>
        <v>0</v>
      </c>
      <c r="N1592" s="1476">
        <f t="shared" si="256"/>
        <v>0</v>
      </c>
    </row>
    <row r="1593" spans="1:14" ht="31" outlineLevel="1">
      <c r="A1593" s="1454">
        <f t="shared" si="261"/>
        <v>10</v>
      </c>
      <c r="B1593" s="1454" t="str">
        <f t="shared" si="261"/>
        <v xml:space="preserve">Non-DPR Project Report for  Design, Supply,Erection &amp; Commissioning of High Performance Energy Chain System for Side Arm Charger at 2x500 at CHP </v>
      </c>
      <c r="C1593" s="1475">
        <f t="shared" si="261"/>
        <v>0</v>
      </c>
      <c r="D1593" s="1473" t="str">
        <f t="shared" si="261"/>
        <v>-</v>
      </c>
      <c r="E1593" s="1476">
        <f t="shared" si="261"/>
        <v>0</v>
      </c>
      <c r="F1593" s="1444">
        <f t="shared" si="262"/>
        <v>1.50150162</v>
      </c>
      <c r="G1593" s="1444">
        <f t="shared" si="263"/>
        <v>1.50150162</v>
      </c>
      <c r="H1593" s="1476">
        <f t="shared" si="255"/>
        <v>0</v>
      </c>
      <c r="I1593" s="1444">
        <v>0</v>
      </c>
      <c r="J1593" s="1444">
        <v>0</v>
      </c>
      <c r="K1593" s="1476"/>
      <c r="L1593" s="1476"/>
      <c r="M1593" s="1476">
        <f t="shared" ref="M1593:M1614" si="264">SUM(J1593:L1593)</f>
        <v>0</v>
      </c>
      <c r="N1593" s="1476">
        <f t="shared" si="256"/>
        <v>0</v>
      </c>
    </row>
    <row r="1594" spans="1:14" ht="31" outlineLevel="1">
      <c r="A1594" s="1454">
        <f t="shared" si="261"/>
        <v>11</v>
      </c>
      <c r="B1594" s="1454" t="str">
        <f t="shared" si="261"/>
        <v>Implementation of Energy Conservation Demonstration Project in buildings of BTPS 2x500MW</v>
      </c>
      <c r="C1594" s="1475">
        <f t="shared" si="261"/>
        <v>0</v>
      </c>
      <c r="D1594" s="1473" t="str">
        <f t="shared" si="261"/>
        <v>-</v>
      </c>
      <c r="E1594" s="1476">
        <f t="shared" si="261"/>
        <v>0</v>
      </c>
      <c r="F1594" s="1444">
        <f t="shared" si="262"/>
        <v>0</v>
      </c>
      <c r="G1594" s="1444">
        <f t="shared" si="263"/>
        <v>0</v>
      </c>
      <c r="H1594" s="1476">
        <f t="shared" si="255"/>
        <v>0</v>
      </c>
      <c r="I1594" s="1444">
        <v>0</v>
      </c>
      <c r="J1594" s="1444">
        <v>0</v>
      </c>
      <c r="K1594" s="1476"/>
      <c r="L1594" s="1476"/>
      <c r="M1594" s="1476">
        <f t="shared" si="264"/>
        <v>0</v>
      </c>
      <c r="N1594" s="1476">
        <f t="shared" si="256"/>
        <v>0</v>
      </c>
    </row>
    <row r="1595" spans="1:14" ht="15.5" outlineLevel="1">
      <c r="A1595" s="1454">
        <f t="shared" si="261"/>
        <v>12</v>
      </c>
      <c r="B1595" s="1454" t="str">
        <f t="shared" si="261"/>
        <v>Installation of Fire &amp; Explosion Prevention system at Bhusawal 500MW Unit-4.</v>
      </c>
      <c r="C1595" s="1475">
        <f t="shared" si="261"/>
        <v>0</v>
      </c>
      <c r="D1595" s="1473" t="str">
        <f t="shared" si="261"/>
        <v>-</v>
      </c>
      <c r="E1595" s="1476">
        <f t="shared" si="261"/>
        <v>0</v>
      </c>
      <c r="F1595" s="1444">
        <f t="shared" si="262"/>
        <v>2.4539</v>
      </c>
      <c r="G1595" s="1444">
        <f t="shared" si="263"/>
        <v>2.4539</v>
      </c>
      <c r="H1595" s="1476">
        <f t="shared" si="255"/>
        <v>0</v>
      </c>
      <c r="I1595" s="1444">
        <v>0</v>
      </c>
      <c r="J1595" s="1444">
        <v>0</v>
      </c>
      <c r="K1595" s="1476"/>
      <c r="L1595" s="1476"/>
      <c r="M1595" s="1476">
        <f t="shared" si="264"/>
        <v>0</v>
      </c>
      <c r="N1595" s="1476">
        <f t="shared" si="256"/>
        <v>0</v>
      </c>
    </row>
    <row r="1596" spans="1:14" ht="15.5" outlineLevel="1">
      <c r="A1596" s="1454">
        <f t="shared" si="261"/>
        <v>13</v>
      </c>
      <c r="B1596" s="1454" t="str">
        <f t="shared" si="261"/>
        <v>Fixtures &amp; Fitting (10801)</v>
      </c>
      <c r="C1596" s="1475">
        <f t="shared" si="261"/>
        <v>0</v>
      </c>
      <c r="D1596" s="1473" t="str">
        <f t="shared" si="261"/>
        <v>-</v>
      </c>
      <c r="E1596" s="1476">
        <f t="shared" si="261"/>
        <v>0</v>
      </c>
      <c r="F1596" s="1444">
        <f t="shared" si="262"/>
        <v>0.21333523199999999</v>
      </c>
      <c r="G1596" s="1444">
        <f t="shared" si="263"/>
        <v>0.21333523199999999</v>
      </c>
      <c r="H1596" s="1476">
        <f t="shared" si="255"/>
        <v>0</v>
      </c>
      <c r="I1596" s="1444">
        <v>0</v>
      </c>
      <c r="J1596" s="1444">
        <v>0</v>
      </c>
      <c r="K1596" s="1476"/>
      <c r="L1596" s="1476"/>
      <c r="M1596" s="1476">
        <f t="shared" si="264"/>
        <v>0</v>
      </c>
      <c r="N1596" s="1476">
        <f t="shared" si="256"/>
        <v>0</v>
      </c>
    </row>
    <row r="1597" spans="1:14" ht="15.5" outlineLevel="1">
      <c r="A1597" s="1454">
        <f t="shared" si="261"/>
        <v>14</v>
      </c>
      <c r="B1597" s="1454" t="str">
        <f t="shared" si="261"/>
        <v>Office equpment (10901)</v>
      </c>
      <c r="C1597" s="1475">
        <f t="shared" si="261"/>
        <v>0</v>
      </c>
      <c r="D1597" s="1473" t="str">
        <f t="shared" si="261"/>
        <v>-</v>
      </c>
      <c r="E1597" s="1476">
        <f t="shared" si="261"/>
        <v>0</v>
      </c>
      <c r="F1597" s="1444">
        <f t="shared" si="262"/>
        <v>0.22996406</v>
      </c>
      <c r="G1597" s="1444">
        <f t="shared" si="263"/>
        <v>0.22996406</v>
      </c>
      <c r="H1597" s="1476">
        <f t="shared" si="255"/>
        <v>0</v>
      </c>
      <c r="I1597" s="1444">
        <v>0</v>
      </c>
      <c r="J1597" s="1444">
        <v>0</v>
      </c>
      <c r="K1597" s="1476"/>
      <c r="L1597" s="1476"/>
      <c r="M1597" s="1476">
        <f t="shared" si="264"/>
        <v>0</v>
      </c>
      <c r="N1597" s="1476">
        <f t="shared" si="256"/>
        <v>0</v>
      </c>
    </row>
    <row r="1598" spans="1:14" ht="15.5" outlineLevel="1">
      <c r="A1598" s="1454">
        <f t="shared" ref="A1598:E1613" si="265">A1368</f>
        <v>15</v>
      </c>
      <c r="B1598" s="1454" t="str">
        <f t="shared" si="265"/>
        <v>150 W &amp; 40 W LED FIXTURES AT TG HOUSE BUILDING 2X500MW</v>
      </c>
      <c r="C1598" s="1475">
        <f t="shared" si="265"/>
        <v>0</v>
      </c>
      <c r="D1598" s="1473" t="str">
        <f t="shared" si="265"/>
        <v>-</v>
      </c>
      <c r="E1598" s="1476">
        <f t="shared" si="265"/>
        <v>0</v>
      </c>
      <c r="F1598" s="1444">
        <f t="shared" si="262"/>
        <v>0.5280705</v>
      </c>
      <c r="G1598" s="1444">
        <f t="shared" si="263"/>
        <v>0.2780705</v>
      </c>
      <c r="H1598" s="1476">
        <f t="shared" si="255"/>
        <v>0.25</v>
      </c>
      <c r="I1598" s="1444">
        <v>0</v>
      </c>
      <c r="J1598" s="1444">
        <v>0</v>
      </c>
      <c r="K1598" s="1476"/>
      <c r="L1598" s="1476"/>
      <c r="M1598" s="1476">
        <f t="shared" si="264"/>
        <v>0</v>
      </c>
      <c r="N1598" s="1476">
        <f t="shared" si="256"/>
        <v>0.25</v>
      </c>
    </row>
    <row r="1599" spans="1:14" ht="15.5" outlineLevel="1">
      <c r="A1599" s="1454">
        <f t="shared" si="265"/>
        <v>16</v>
      </c>
      <c r="B1599" s="1454" t="str">
        <f t="shared" si="265"/>
        <v>JUMBO DEESERT AIR COOLERS FOR POWER TRANSFORERS</v>
      </c>
      <c r="C1599" s="1475">
        <f t="shared" si="265"/>
        <v>0</v>
      </c>
      <c r="D1599" s="1473" t="str">
        <f t="shared" si="265"/>
        <v>-</v>
      </c>
      <c r="E1599" s="1476">
        <f t="shared" si="265"/>
        <v>0</v>
      </c>
      <c r="F1599" s="1444">
        <f t="shared" si="262"/>
        <v>0.1014328</v>
      </c>
      <c r="G1599" s="1444">
        <f t="shared" si="263"/>
        <v>0.1014328</v>
      </c>
      <c r="H1599" s="1476">
        <f t="shared" si="255"/>
        <v>0</v>
      </c>
      <c r="I1599" s="1444">
        <v>0</v>
      </c>
      <c r="J1599" s="1444">
        <v>0</v>
      </c>
      <c r="K1599" s="1476"/>
      <c r="L1599" s="1476"/>
      <c r="M1599" s="1476">
        <f t="shared" si="264"/>
        <v>0</v>
      </c>
      <c r="N1599" s="1476">
        <f t="shared" si="256"/>
        <v>0</v>
      </c>
    </row>
    <row r="1600" spans="1:14" ht="15.5" outlineLevel="1">
      <c r="A1600" s="1454">
        <f t="shared" si="265"/>
        <v>17</v>
      </c>
      <c r="B1600" s="1454" t="str">
        <f t="shared" si="265"/>
        <v>GEN ASSET (ALMIRAH,TABLE &amp; CHAIR) (10801)</v>
      </c>
      <c r="C1600" s="1475">
        <f t="shared" si="265"/>
        <v>0</v>
      </c>
      <c r="D1600" s="1473" t="str">
        <f t="shared" si="265"/>
        <v>-</v>
      </c>
      <c r="E1600" s="1476">
        <f t="shared" si="265"/>
        <v>0</v>
      </c>
      <c r="F1600" s="1444">
        <f t="shared" si="262"/>
        <v>0.23453750000000001</v>
      </c>
      <c r="G1600" s="1444">
        <f t="shared" si="263"/>
        <v>0.23453750000000001</v>
      </c>
      <c r="H1600" s="1476">
        <f t="shared" si="255"/>
        <v>0</v>
      </c>
      <c r="I1600" s="1444">
        <v>0</v>
      </c>
      <c r="J1600" s="1444">
        <v>0</v>
      </c>
      <c r="K1600" s="1476"/>
      <c r="L1600" s="1476"/>
      <c r="M1600" s="1476">
        <f t="shared" si="264"/>
        <v>0</v>
      </c>
      <c r="N1600" s="1476">
        <f t="shared" si="256"/>
        <v>0</v>
      </c>
    </row>
    <row r="1601" spans="1:14" ht="15.5" outlineLevel="1">
      <c r="A1601" s="1454">
        <f t="shared" si="265"/>
        <v>18</v>
      </c>
      <c r="B1601" s="1454" t="str">
        <f t="shared" si="265"/>
        <v>LAPTOP, 50 INCH TV,PRINTER,PROJECTOR,DESKTOP,UPS &amp; ETS. (10901)</v>
      </c>
      <c r="C1601" s="1475">
        <f t="shared" si="265"/>
        <v>0</v>
      </c>
      <c r="D1601" s="1473" t="str">
        <f t="shared" si="265"/>
        <v>-</v>
      </c>
      <c r="E1601" s="1476">
        <f t="shared" si="265"/>
        <v>0</v>
      </c>
      <c r="F1601" s="1444">
        <f t="shared" si="262"/>
        <v>0.55035469999999997</v>
      </c>
      <c r="G1601" s="1444">
        <f t="shared" si="263"/>
        <v>0.55035469999999997</v>
      </c>
      <c r="H1601" s="1476">
        <f t="shared" si="255"/>
        <v>0</v>
      </c>
      <c r="I1601" s="1444">
        <v>0</v>
      </c>
      <c r="J1601" s="1444">
        <v>0</v>
      </c>
      <c r="K1601" s="1476"/>
      <c r="L1601" s="1476"/>
      <c r="M1601" s="1476">
        <f t="shared" si="264"/>
        <v>0</v>
      </c>
      <c r="N1601" s="1476">
        <f t="shared" si="256"/>
        <v>0</v>
      </c>
    </row>
    <row r="1602" spans="1:14" ht="15.5" outlineLevel="1">
      <c r="A1602" s="1454">
        <f t="shared" si="265"/>
        <v>19</v>
      </c>
      <c r="B1602" s="1454" t="str">
        <f t="shared" si="265"/>
        <v>RESTAURANT EQUIP COMPOSTING MACHINE</v>
      </c>
      <c r="C1602" s="1475">
        <f t="shared" si="265"/>
        <v>0</v>
      </c>
      <c r="D1602" s="1473" t="str">
        <f t="shared" si="265"/>
        <v>-</v>
      </c>
      <c r="E1602" s="1476">
        <f t="shared" si="265"/>
        <v>0</v>
      </c>
      <c r="F1602" s="1444">
        <f t="shared" si="262"/>
        <v>5.0490047999999996E-2</v>
      </c>
      <c r="G1602" s="1444">
        <f t="shared" si="263"/>
        <v>5.0490047999999996E-2</v>
      </c>
      <c r="H1602" s="1476">
        <f t="shared" ref="H1602:H1614" si="266">F1602-G1602</f>
        <v>0</v>
      </c>
      <c r="I1602" s="1444">
        <v>0</v>
      </c>
      <c r="J1602" s="1444">
        <v>0</v>
      </c>
      <c r="K1602" s="1476"/>
      <c r="L1602" s="1476"/>
      <c r="M1602" s="1476">
        <f t="shared" si="264"/>
        <v>0</v>
      </c>
      <c r="N1602" s="1476"/>
    </row>
    <row r="1603" spans="1:14" ht="15.5" outlineLevel="1">
      <c r="A1603" s="1454">
        <f t="shared" si="265"/>
        <v>20</v>
      </c>
      <c r="B1603" s="1454" t="str">
        <f t="shared" si="265"/>
        <v>OFFICE TABLE,STORGE RACK,FAN</v>
      </c>
      <c r="C1603" s="1475">
        <f t="shared" si="265"/>
        <v>0</v>
      </c>
      <c r="D1603" s="1473" t="str">
        <f t="shared" si="265"/>
        <v>-</v>
      </c>
      <c r="E1603" s="1476">
        <f t="shared" si="265"/>
        <v>0</v>
      </c>
      <c r="F1603" s="1444">
        <f t="shared" si="262"/>
        <v>0.57868969999999997</v>
      </c>
      <c r="G1603" s="1444">
        <f t="shared" si="263"/>
        <v>0.57868969999999997</v>
      </c>
      <c r="H1603" s="1476">
        <f t="shared" si="266"/>
        <v>0</v>
      </c>
      <c r="I1603" s="1444">
        <v>0</v>
      </c>
      <c r="J1603" s="1444">
        <v>0</v>
      </c>
      <c r="K1603" s="1476"/>
      <c r="L1603" s="1476"/>
      <c r="M1603" s="1476">
        <f t="shared" si="264"/>
        <v>0</v>
      </c>
      <c r="N1603" s="1476"/>
    </row>
    <row r="1604" spans="1:14" ht="15.5" outlineLevel="1">
      <c r="A1604" s="1454">
        <f t="shared" si="265"/>
        <v>21</v>
      </c>
      <c r="B1604" s="1454" t="str">
        <f t="shared" si="265"/>
        <v>CAMERAS</v>
      </c>
      <c r="C1604" s="1475">
        <f t="shared" si="265"/>
        <v>0</v>
      </c>
      <c r="D1604" s="1473" t="str">
        <f t="shared" si="265"/>
        <v>-</v>
      </c>
      <c r="E1604" s="1476">
        <f t="shared" si="265"/>
        <v>0</v>
      </c>
      <c r="F1604" s="1444">
        <f t="shared" si="262"/>
        <v>3.8467899999999999E-2</v>
      </c>
      <c r="G1604" s="1444">
        <f t="shared" si="263"/>
        <v>3.8467899999999999E-2</v>
      </c>
      <c r="H1604" s="1476">
        <f t="shared" si="266"/>
        <v>0</v>
      </c>
      <c r="I1604" s="1444">
        <v>0</v>
      </c>
      <c r="J1604" s="1444">
        <v>0</v>
      </c>
      <c r="K1604" s="1476"/>
      <c r="L1604" s="1476"/>
      <c r="M1604" s="1476">
        <f t="shared" si="264"/>
        <v>0</v>
      </c>
      <c r="N1604" s="1476"/>
    </row>
    <row r="1605" spans="1:14" ht="15.5" outlineLevel="1">
      <c r="A1605" s="1454">
        <f t="shared" si="265"/>
        <v>22</v>
      </c>
      <c r="B1605" s="1454" t="str">
        <f t="shared" si="265"/>
        <v>VELHALA ASH BUND RD WORK</v>
      </c>
      <c r="C1605" s="1475">
        <f t="shared" si="265"/>
        <v>0</v>
      </c>
      <c r="D1605" s="1473" t="str">
        <f t="shared" si="265"/>
        <v>-</v>
      </c>
      <c r="E1605" s="1476">
        <f t="shared" si="265"/>
        <v>0</v>
      </c>
      <c r="F1605" s="1444">
        <f t="shared" si="262"/>
        <v>2.4644665859999999</v>
      </c>
      <c r="G1605" s="1444">
        <f t="shared" si="263"/>
        <v>2.4644665859999999</v>
      </c>
      <c r="H1605" s="1476">
        <f t="shared" si="266"/>
        <v>0</v>
      </c>
      <c r="I1605" s="1444">
        <v>0</v>
      </c>
      <c r="J1605" s="1444">
        <v>0</v>
      </c>
      <c r="K1605" s="1476"/>
      <c r="L1605" s="1476"/>
      <c r="M1605" s="1476">
        <f t="shared" si="264"/>
        <v>0</v>
      </c>
      <c r="N1605" s="1476"/>
    </row>
    <row r="1606" spans="1:14" ht="15.5" outlineLevel="1">
      <c r="A1606" s="1454">
        <f t="shared" si="265"/>
        <v>23</v>
      </c>
      <c r="B1606" s="1454" t="str">
        <f t="shared" si="265"/>
        <v>CONCERETE ROAD FROM DIESEL PUMP TO 500MW FACTORY G</v>
      </c>
      <c r="C1606" s="1475">
        <f t="shared" si="265"/>
        <v>0</v>
      </c>
      <c r="D1606" s="1473" t="str">
        <f t="shared" si="265"/>
        <v>-</v>
      </c>
      <c r="E1606" s="1476">
        <f t="shared" si="265"/>
        <v>0</v>
      </c>
      <c r="F1606" s="1444">
        <f t="shared" si="262"/>
        <v>0.98448907899999993</v>
      </c>
      <c r="G1606" s="1444">
        <f t="shared" si="263"/>
        <v>0.98448907899999993</v>
      </c>
      <c r="H1606" s="1476">
        <f t="shared" si="266"/>
        <v>0</v>
      </c>
      <c r="I1606" s="1444">
        <v>0</v>
      </c>
      <c r="J1606" s="1444">
        <v>0</v>
      </c>
      <c r="K1606" s="1476"/>
      <c r="L1606" s="1476"/>
      <c r="M1606" s="1476">
        <f t="shared" si="264"/>
        <v>0</v>
      </c>
      <c r="N1606" s="1476"/>
    </row>
    <row r="1607" spans="1:14" ht="15.5" outlineLevel="1">
      <c r="A1607" s="1454">
        <f t="shared" si="265"/>
        <v>24</v>
      </c>
      <c r="B1607" s="1454" t="str">
        <f t="shared" si="265"/>
        <v>Admin Building</v>
      </c>
      <c r="C1607" s="1475">
        <f t="shared" si="265"/>
        <v>0</v>
      </c>
      <c r="D1607" s="1473" t="str">
        <f t="shared" si="265"/>
        <v>-</v>
      </c>
      <c r="E1607" s="1476">
        <f t="shared" si="265"/>
        <v>0</v>
      </c>
      <c r="F1607" s="1444">
        <f t="shared" si="262"/>
        <v>5.1749999999999997E-2</v>
      </c>
      <c r="G1607" s="1444">
        <f t="shared" si="263"/>
        <v>0</v>
      </c>
      <c r="H1607" s="1476">
        <f t="shared" si="266"/>
        <v>5.1749999999999997E-2</v>
      </c>
      <c r="I1607" s="1444">
        <v>0</v>
      </c>
      <c r="J1607" s="1444">
        <v>0</v>
      </c>
      <c r="K1607" s="1476"/>
      <c r="L1607" s="1476"/>
      <c r="M1607" s="1476">
        <f t="shared" si="264"/>
        <v>0</v>
      </c>
      <c r="N1607" s="1476"/>
    </row>
    <row r="1608" spans="1:14" ht="15.5" outlineLevel="1">
      <c r="A1608" s="1455">
        <f t="shared" si="265"/>
        <v>25</v>
      </c>
      <c r="B1608" s="1455" t="str">
        <f t="shared" si="265"/>
        <v>Furniture &amp; Fixture</v>
      </c>
      <c r="C1608" s="1475">
        <f t="shared" si="265"/>
        <v>0</v>
      </c>
      <c r="D1608" s="1473" t="str">
        <f t="shared" si="265"/>
        <v>-</v>
      </c>
      <c r="E1608" s="1476">
        <f t="shared" si="265"/>
        <v>0</v>
      </c>
      <c r="F1608" s="1444">
        <f t="shared" si="262"/>
        <v>0.13712089999999999</v>
      </c>
      <c r="G1608" s="1444">
        <f t="shared" si="263"/>
        <v>0.13712089999999999</v>
      </c>
      <c r="H1608" s="1476">
        <f t="shared" si="266"/>
        <v>0</v>
      </c>
      <c r="I1608" s="1444">
        <v>0</v>
      </c>
      <c r="J1608" s="1444">
        <v>0</v>
      </c>
      <c r="K1608" s="1476"/>
      <c r="L1608" s="1476"/>
      <c r="M1608" s="1476">
        <f t="shared" si="264"/>
        <v>0</v>
      </c>
      <c r="N1608" s="1476"/>
    </row>
    <row r="1609" spans="1:14" ht="15.5" outlineLevel="1">
      <c r="A1609" s="1455">
        <f t="shared" si="265"/>
        <v>26</v>
      </c>
      <c r="B1609" s="1455" t="str">
        <f t="shared" si="265"/>
        <v>Office Equipment</v>
      </c>
      <c r="C1609" s="1475">
        <f t="shared" si="265"/>
        <v>0</v>
      </c>
      <c r="D1609" s="1473" t="str">
        <f t="shared" si="265"/>
        <v>-</v>
      </c>
      <c r="E1609" s="1476">
        <f t="shared" si="265"/>
        <v>0</v>
      </c>
      <c r="F1609" s="1444">
        <f t="shared" si="262"/>
        <v>0.14423554</v>
      </c>
      <c r="G1609" s="1444">
        <f t="shared" si="263"/>
        <v>0.14423554</v>
      </c>
      <c r="H1609" s="1476">
        <f t="shared" si="266"/>
        <v>0</v>
      </c>
      <c r="I1609" s="1444">
        <v>0</v>
      </c>
      <c r="J1609" s="1444">
        <v>0</v>
      </c>
      <c r="K1609" s="1476"/>
      <c r="L1609" s="1476"/>
      <c r="M1609" s="1476">
        <f t="shared" si="264"/>
        <v>0</v>
      </c>
      <c r="N1609" s="1476"/>
    </row>
    <row r="1610" spans="1:14" ht="15.5" outlineLevel="1">
      <c r="A1610" s="1455">
        <f t="shared" si="265"/>
        <v>27</v>
      </c>
      <c r="B1610" s="1455" t="str">
        <f t="shared" si="265"/>
        <v>Furniture &amp; Fixture</v>
      </c>
      <c r="C1610" s="1475">
        <f t="shared" si="265"/>
        <v>0</v>
      </c>
      <c r="D1610" s="1473" t="str">
        <f t="shared" si="265"/>
        <v>-</v>
      </c>
      <c r="E1610" s="1476">
        <f t="shared" si="265"/>
        <v>0</v>
      </c>
      <c r="F1610" s="1444">
        <f t="shared" si="262"/>
        <v>7.3968300000000001E-2</v>
      </c>
      <c r="G1610" s="1444">
        <f t="shared" si="263"/>
        <v>7.3968300000000001E-2</v>
      </c>
      <c r="H1610" s="1476">
        <f t="shared" si="266"/>
        <v>0</v>
      </c>
      <c r="I1610" s="1444">
        <v>0</v>
      </c>
      <c r="J1610" s="1444">
        <v>0</v>
      </c>
      <c r="K1610" s="1476"/>
      <c r="L1610" s="1476"/>
      <c r="M1610" s="1476">
        <f t="shared" si="264"/>
        <v>0</v>
      </c>
      <c r="N1610" s="1476"/>
    </row>
    <row r="1611" spans="1:14" ht="15.5" outlineLevel="1">
      <c r="A1611" s="1455">
        <f t="shared" si="265"/>
        <v>28</v>
      </c>
      <c r="B1611" s="1455" t="str">
        <f t="shared" si="265"/>
        <v>Office Equipment</v>
      </c>
      <c r="C1611" s="1475">
        <f t="shared" si="265"/>
        <v>0</v>
      </c>
      <c r="D1611" s="1473" t="str">
        <f t="shared" si="265"/>
        <v>-</v>
      </c>
      <c r="E1611" s="1476">
        <f t="shared" si="265"/>
        <v>0</v>
      </c>
      <c r="F1611" s="1444">
        <f t="shared" si="262"/>
        <v>0.15890559299999998</v>
      </c>
      <c r="G1611" s="1444">
        <f t="shared" si="263"/>
        <v>0.15890559299999998</v>
      </c>
      <c r="H1611" s="1476">
        <f t="shared" si="266"/>
        <v>0</v>
      </c>
      <c r="I1611" s="1444">
        <v>0</v>
      </c>
      <c r="J1611" s="1444">
        <v>0</v>
      </c>
      <c r="K1611" s="1476"/>
      <c r="L1611" s="1476"/>
      <c r="M1611" s="1476">
        <f t="shared" si="264"/>
        <v>0</v>
      </c>
      <c r="N1611" s="1476"/>
    </row>
    <row r="1612" spans="1:14" ht="31" outlineLevel="1">
      <c r="A1612" s="1455">
        <f t="shared" si="265"/>
        <v>29</v>
      </c>
      <c r="B1612" s="1455" t="str">
        <f t="shared" si="265"/>
        <v>Work of repairs of 350 KW BCWP-4B &amp; BCWP-5B motor of M/s. Torishima make at BTPS 2x500 MW</v>
      </c>
      <c r="C1612" s="1475">
        <f t="shared" si="265"/>
        <v>0</v>
      </c>
      <c r="D1612" s="1473" t="str">
        <f t="shared" si="265"/>
        <v>-</v>
      </c>
      <c r="E1612" s="1476">
        <f t="shared" si="265"/>
        <v>0</v>
      </c>
      <c r="F1612" s="1444">
        <f t="shared" si="262"/>
        <v>4.8465386759999998</v>
      </c>
      <c r="G1612" s="1444">
        <f t="shared" si="263"/>
        <v>4.8465386759999998</v>
      </c>
      <c r="H1612" s="1476">
        <f t="shared" si="266"/>
        <v>0</v>
      </c>
      <c r="I1612" s="1444">
        <v>0</v>
      </c>
      <c r="J1612" s="1444">
        <v>0</v>
      </c>
      <c r="K1612" s="1476"/>
      <c r="L1612" s="1476"/>
      <c r="M1612" s="1476">
        <f t="shared" si="264"/>
        <v>0</v>
      </c>
      <c r="N1612" s="1476"/>
    </row>
    <row r="1613" spans="1:14" ht="15.5" outlineLevel="1">
      <c r="A1613" s="1455">
        <f t="shared" si="265"/>
        <v>30</v>
      </c>
      <c r="B1613" s="1455" t="str">
        <f t="shared" si="265"/>
        <v>ABC Powder Type and Foam Type Composite Fire Extinguisher</v>
      </c>
      <c r="C1613" s="1475">
        <f t="shared" si="265"/>
        <v>0</v>
      </c>
      <c r="D1613" s="1473" t="str">
        <f t="shared" si="265"/>
        <v>-</v>
      </c>
      <c r="E1613" s="1476">
        <f t="shared" si="265"/>
        <v>0</v>
      </c>
      <c r="F1613" s="1444">
        <f t="shared" si="262"/>
        <v>0.58547995599999991</v>
      </c>
      <c r="G1613" s="1444">
        <f t="shared" si="263"/>
        <v>0.58547995599999991</v>
      </c>
      <c r="H1613" s="1476">
        <f t="shared" si="266"/>
        <v>0</v>
      </c>
      <c r="I1613" s="1444">
        <v>0</v>
      </c>
      <c r="J1613" s="1444">
        <v>0</v>
      </c>
      <c r="K1613" s="1476"/>
      <c r="L1613" s="1476"/>
      <c r="M1613" s="1476">
        <f t="shared" si="264"/>
        <v>0</v>
      </c>
      <c r="N1613" s="1476"/>
    </row>
    <row r="1614" spans="1:14" ht="16" outlineLevel="1" thickBot="1">
      <c r="A1614" s="1455">
        <f t="shared" ref="A1614:E1614" si="267">A1384</f>
        <v>31</v>
      </c>
      <c r="B1614" s="1455" t="str">
        <f t="shared" si="267"/>
        <v>Withdrawal of capex from Project (LD - Passenger Lifts)</v>
      </c>
      <c r="C1614" s="1475">
        <f t="shared" si="267"/>
        <v>0</v>
      </c>
      <c r="D1614" s="1473" t="str">
        <f t="shared" si="267"/>
        <v>-</v>
      </c>
      <c r="E1614" s="1476">
        <f t="shared" si="267"/>
        <v>0</v>
      </c>
      <c r="F1614" s="1444">
        <f t="shared" si="262"/>
        <v>0</v>
      </c>
      <c r="G1614" s="1444">
        <f t="shared" si="263"/>
        <v>-0.138988</v>
      </c>
      <c r="H1614" s="1476">
        <f t="shared" si="266"/>
        <v>0.138988</v>
      </c>
      <c r="I1614" s="1444">
        <v>0</v>
      </c>
      <c r="J1614" s="1444">
        <v>0</v>
      </c>
      <c r="K1614" s="1476"/>
      <c r="L1614" s="1476"/>
      <c r="M1614" s="1476">
        <f t="shared" si="264"/>
        <v>0</v>
      </c>
      <c r="N1614" s="1476"/>
    </row>
    <row r="1615" spans="1:14" ht="15.5" thickBot="1">
      <c r="A1615" s="1379"/>
      <c r="B1615" s="1484" t="str">
        <f>B1385</f>
        <v>Total</v>
      </c>
      <c r="C1615" s="1380"/>
      <c r="D1615" s="1381"/>
      <c r="E1615" s="1485"/>
      <c r="F1615" s="1485">
        <f>SUM(F1390:F1614)</f>
        <v>1961.4104532496599</v>
      </c>
      <c r="G1615" s="1485">
        <f t="shared" ref="G1615:N1615" si="268">SUM(G1390:G1614)</f>
        <v>2210.3196935786586</v>
      </c>
      <c r="H1615" s="1485">
        <f t="shared" si="268"/>
        <v>-248.90924032899994</v>
      </c>
      <c r="I1615" s="1485">
        <f t="shared" si="268"/>
        <v>257</v>
      </c>
      <c r="J1615" s="1485">
        <f t="shared" si="268"/>
        <v>257</v>
      </c>
      <c r="K1615" s="1485">
        <f t="shared" si="268"/>
        <v>0</v>
      </c>
      <c r="L1615" s="1485">
        <f t="shared" si="268"/>
        <v>0</v>
      </c>
      <c r="M1615" s="1485">
        <f t="shared" si="268"/>
        <v>257</v>
      </c>
      <c r="N1615" s="1485">
        <f t="shared" si="268"/>
        <v>-249.09997832899995</v>
      </c>
    </row>
    <row r="1617" spans="1:16">
      <c r="A1617" s="1434"/>
      <c r="B1617" s="574" t="s">
        <v>951</v>
      </c>
      <c r="C1617" s="1435"/>
      <c r="D1617" s="1436"/>
      <c r="E1617" s="318"/>
      <c r="F1617" s="318"/>
      <c r="G1617" s="318"/>
      <c r="H1617" s="318"/>
      <c r="I1617" s="318"/>
      <c r="J1617" s="318"/>
      <c r="K1617" s="318"/>
      <c r="L1617" s="318"/>
      <c r="M1617" s="318"/>
      <c r="N1617" s="318"/>
    </row>
    <row r="1618" spans="1:16" outlineLevel="1">
      <c r="A1618" s="131"/>
      <c r="B1618" s="1288" t="str">
        <f t="shared" ref="B1618:E1633" si="269">B1388</f>
        <v>a) DPR Schemes</v>
      </c>
      <c r="C1618" s="1435"/>
      <c r="D1618" s="1436"/>
      <c r="E1618" s="318"/>
      <c r="F1618" s="318"/>
      <c r="G1618" s="318"/>
      <c r="H1618" s="318"/>
      <c r="I1618" s="318"/>
      <c r="J1618" s="318"/>
      <c r="K1618" s="318"/>
      <c r="L1618" s="318"/>
      <c r="M1618" s="318"/>
      <c r="N1618" s="318"/>
    </row>
    <row r="1619" spans="1:16" outlineLevel="1">
      <c r="A1619" s="131"/>
      <c r="B1619" s="1437" t="str">
        <f t="shared" si="269"/>
        <v>(i) Submitted to MERC</v>
      </c>
      <c r="C1619" s="1438"/>
      <c r="D1619" s="1439"/>
      <c r="E1619" s="318"/>
      <c r="F1619" s="318"/>
      <c r="G1619" s="318"/>
      <c r="H1619" s="318"/>
      <c r="I1619" s="318"/>
      <c r="J1619" s="318"/>
      <c r="K1619" s="318"/>
      <c r="L1619" s="318"/>
      <c r="M1619" s="318"/>
      <c r="N1619" s="318"/>
    </row>
    <row r="1620" spans="1:16" ht="31" outlineLevel="1">
      <c r="A1620" s="1440">
        <f t="shared" ref="A1620:E1635" si="270">A1390</f>
        <v>7</v>
      </c>
      <c r="B1620" s="1441" t="str">
        <f t="shared" si="269"/>
        <v>Interconnection of 210 MW CHP to 500 MW CHP through Conveyors BC-02 &amp; BC-03 having capacity of 500 TPH</v>
      </c>
      <c r="C1620" s="1442" t="str">
        <f t="shared" si="269"/>
        <v>MERC/CAPEX/20162017/00227</v>
      </c>
      <c r="D1620" s="1443">
        <f t="shared" si="269"/>
        <v>42514</v>
      </c>
      <c r="E1620" s="1444">
        <f t="shared" si="269"/>
        <v>24</v>
      </c>
      <c r="F1620" s="1444">
        <f t="shared" ref="F1620:F1683" si="271">F1390+I1390</f>
        <v>0</v>
      </c>
      <c r="G1620" s="1444">
        <f t="shared" ref="G1620:G1683" si="272">G1390+M1390</f>
        <v>0</v>
      </c>
      <c r="H1620" s="1444">
        <f t="shared" ref="H1620:H1683" si="273">F1620-G1620</f>
        <v>0</v>
      </c>
      <c r="I1620" s="1444">
        <v>0</v>
      </c>
      <c r="J1620" s="1444">
        <v>0</v>
      </c>
      <c r="K1620" s="1444"/>
      <c r="L1620" s="1444"/>
      <c r="M1620" s="1444">
        <f t="shared" ref="M1620" si="274">SUM(J1620:L1620)</f>
        <v>0</v>
      </c>
      <c r="N1620" s="1444">
        <f t="shared" ref="N1620:N1683" si="275">H1620+I1620-M1620</f>
        <v>0</v>
      </c>
      <c r="O1620" s="1445">
        <f t="shared" ref="O1620:O1683" si="276">MAX(0,IF(M1620=0,0,IF(G1620+M1620&lt;E1620,M1620,E1620-G1620)))</f>
        <v>0</v>
      </c>
      <c r="P1620" s="1377">
        <f t="shared" ref="P1620:P1683" si="277">M1620-O1620</f>
        <v>0</v>
      </c>
    </row>
    <row r="1621" spans="1:16" ht="31" outlineLevel="1">
      <c r="A1621" s="1446">
        <f t="shared" si="270"/>
        <v>7.1</v>
      </c>
      <c r="B1621" s="1447" t="str">
        <f t="shared" si="269"/>
        <v>Interconnection of 210 MW CHP to 500 MW CHP through Conveyors BC-02 &amp; BC-03 having capacity of 500 TPH</v>
      </c>
      <c r="C1621" s="1472" t="str">
        <f t="shared" si="269"/>
        <v>MERC/CAPEX/20162017/00227</v>
      </c>
      <c r="D1621" s="1473">
        <f t="shared" si="269"/>
        <v>42514</v>
      </c>
      <c r="E1621" s="1474">
        <f t="shared" si="269"/>
        <v>22.73</v>
      </c>
      <c r="F1621" s="1444">
        <f t="shared" si="271"/>
        <v>19.106691754</v>
      </c>
      <c r="G1621" s="1444">
        <f t="shared" si="272"/>
        <v>19.106691754</v>
      </c>
      <c r="H1621" s="1474">
        <f t="shared" si="273"/>
        <v>0</v>
      </c>
      <c r="I1621" s="1444">
        <v>0</v>
      </c>
      <c r="J1621" s="1444">
        <v>0</v>
      </c>
      <c r="K1621" s="1474"/>
      <c r="L1621" s="1474"/>
      <c r="M1621" s="1474">
        <f t="shared" ref="M1621:M1684" si="278">SUM(J1621:L1621)</f>
        <v>0</v>
      </c>
      <c r="N1621" s="1474">
        <f t="shared" si="275"/>
        <v>0</v>
      </c>
      <c r="O1621" s="1445">
        <f t="shared" si="276"/>
        <v>0</v>
      </c>
      <c r="P1621" s="1377">
        <f t="shared" si="277"/>
        <v>0</v>
      </c>
    </row>
    <row r="1622" spans="1:16" ht="15.5" outlineLevel="1">
      <c r="A1622" s="1446">
        <f t="shared" si="270"/>
        <v>0</v>
      </c>
      <c r="B1622" s="1447" t="str">
        <f t="shared" si="269"/>
        <v>IDC</v>
      </c>
      <c r="C1622" s="1472" t="str">
        <f t="shared" si="269"/>
        <v>MERC/CAPEX/20162017/00227</v>
      </c>
      <c r="D1622" s="1473">
        <f t="shared" si="269"/>
        <v>42514</v>
      </c>
      <c r="E1622" s="1474">
        <f t="shared" si="269"/>
        <v>1.27</v>
      </c>
      <c r="F1622" s="1444">
        <f t="shared" si="271"/>
        <v>0</v>
      </c>
      <c r="G1622" s="1444">
        <f t="shared" si="272"/>
        <v>0</v>
      </c>
      <c r="H1622" s="1474">
        <f t="shared" si="273"/>
        <v>0</v>
      </c>
      <c r="I1622" s="1444">
        <v>0</v>
      </c>
      <c r="J1622" s="1444">
        <v>0</v>
      </c>
      <c r="K1622" s="1474"/>
      <c r="L1622" s="1474"/>
      <c r="M1622" s="1474">
        <f t="shared" si="278"/>
        <v>0</v>
      </c>
      <c r="N1622" s="1474">
        <f t="shared" si="275"/>
        <v>0</v>
      </c>
      <c r="O1622" s="1445">
        <f t="shared" si="276"/>
        <v>0</v>
      </c>
      <c r="P1622" s="1377">
        <f t="shared" si="277"/>
        <v>0</v>
      </c>
    </row>
    <row r="1623" spans="1:16" ht="31" outlineLevel="1">
      <c r="A1623" s="1440">
        <f t="shared" si="270"/>
        <v>8</v>
      </c>
      <c r="B1623" s="1441" t="str">
        <f t="shared" si="269"/>
        <v>Stack management by procurement of Bulldozer &amp; LOCO and CHP area schemes for performance &amp; unloading improvement</v>
      </c>
      <c r="C1623" s="1442" t="str">
        <f t="shared" si="269"/>
        <v>MERC/CAPEX/20162017/01426</v>
      </c>
      <c r="D1623" s="1443">
        <f t="shared" si="269"/>
        <v>42768</v>
      </c>
      <c r="E1623" s="1444">
        <f t="shared" si="269"/>
        <v>9.9669421487603316</v>
      </c>
      <c r="F1623" s="1444">
        <f t="shared" si="271"/>
        <v>0</v>
      </c>
      <c r="G1623" s="1444">
        <f t="shared" si="272"/>
        <v>0</v>
      </c>
      <c r="H1623" s="1444">
        <f t="shared" si="273"/>
        <v>0</v>
      </c>
      <c r="I1623" s="1444">
        <v>0</v>
      </c>
      <c r="J1623" s="1444">
        <v>0</v>
      </c>
      <c r="K1623" s="1444"/>
      <c r="L1623" s="1444"/>
      <c r="M1623" s="1444">
        <f t="shared" si="278"/>
        <v>0</v>
      </c>
      <c r="N1623" s="1444">
        <f t="shared" si="275"/>
        <v>0</v>
      </c>
      <c r="O1623" s="1445">
        <f t="shared" si="276"/>
        <v>0</v>
      </c>
      <c r="P1623" s="1377">
        <f t="shared" si="277"/>
        <v>0</v>
      </c>
    </row>
    <row r="1624" spans="1:16" ht="15.5" outlineLevel="1">
      <c r="A1624" s="1446">
        <f t="shared" si="270"/>
        <v>8.1</v>
      </c>
      <c r="B1624" s="1447" t="str">
        <f t="shared" si="269"/>
        <v>Procurement of Locomotive 800 HP (2 No.’s)</v>
      </c>
      <c r="C1624" s="1472" t="str">
        <f t="shared" si="269"/>
        <v>MERC/CAPEX/20162017/01426</v>
      </c>
      <c r="D1624" s="1473">
        <f t="shared" si="269"/>
        <v>42768</v>
      </c>
      <c r="E1624" s="1474">
        <f t="shared" si="269"/>
        <v>4.9504132231404956</v>
      </c>
      <c r="F1624" s="1444">
        <f t="shared" si="271"/>
        <v>4.8260800000000001</v>
      </c>
      <c r="G1624" s="1444">
        <f t="shared" si="272"/>
        <v>4.8260800000000001</v>
      </c>
      <c r="H1624" s="1474">
        <f t="shared" si="273"/>
        <v>0</v>
      </c>
      <c r="I1624" s="1444">
        <v>0</v>
      </c>
      <c r="J1624" s="1444">
        <v>0</v>
      </c>
      <c r="K1624" s="1474"/>
      <c r="L1624" s="1474"/>
      <c r="M1624" s="1474">
        <f t="shared" si="278"/>
        <v>0</v>
      </c>
      <c r="N1624" s="1474">
        <f t="shared" si="275"/>
        <v>0</v>
      </c>
      <c r="O1624" s="1445">
        <f t="shared" si="276"/>
        <v>0</v>
      </c>
      <c r="P1624" s="1377">
        <f t="shared" si="277"/>
        <v>0</v>
      </c>
    </row>
    <row r="1625" spans="1:16" ht="15.5" outlineLevel="1">
      <c r="A1625" s="1446">
        <f t="shared" si="270"/>
        <v>8.1999999999999993</v>
      </c>
      <c r="B1625" s="1447" t="str">
        <f t="shared" si="269"/>
        <v>Procurement of 2 No’s of Bulldozer Model D-155(2 No.’s)</v>
      </c>
      <c r="C1625" s="1472" t="str">
        <f t="shared" si="269"/>
        <v>MERC/CAPEX/20162017/01426</v>
      </c>
      <c r="D1625" s="1473">
        <f t="shared" si="269"/>
        <v>42768</v>
      </c>
      <c r="E1625" s="1474">
        <f t="shared" si="269"/>
        <v>2.5619834710743801</v>
      </c>
      <c r="F1625" s="1444">
        <f t="shared" si="271"/>
        <v>3.4747105785123966</v>
      </c>
      <c r="G1625" s="1444">
        <f t="shared" si="272"/>
        <v>3.4747105785123966</v>
      </c>
      <c r="H1625" s="1474">
        <f t="shared" si="273"/>
        <v>0</v>
      </c>
      <c r="I1625" s="1444">
        <v>0</v>
      </c>
      <c r="J1625" s="1444">
        <v>0</v>
      </c>
      <c r="K1625" s="1474"/>
      <c r="L1625" s="1474"/>
      <c r="M1625" s="1474">
        <f t="shared" si="278"/>
        <v>0</v>
      </c>
      <c r="N1625" s="1474">
        <f t="shared" si="275"/>
        <v>0</v>
      </c>
      <c r="O1625" s="1445">
        <f t="shared" si="276"/>
        <v>0</v>
      </c>
      <c r="P1625" s="1377">
        <f t="shared" si="277"/>
        <v>0</v>
      </c>
    </row>
    <row r="1626" spans="1:16" ht="15.5" outlineLevel="1">
      <c r="A1626" s="1446">
        <f t="shared" si="270"/>
        <v>8.3000000000000007</v>
      </c>
      <c r="B1626" s="1447" t="str">
        <f t="shared" si="269"/>
        <v>Modification below primary crusher chutes 15A/B &amp; Conv.02</v>
      </c>
      <c r="C1626" s="1472" t="str">
        <f t="shared" si="269"/>
        <v>MERC/CAPEX/20162017/01426</v>
      </c>
      <c r="D1626" s="1473">
        <f t="shared" si="269"/>
        <v>42768</v>
      </c>
      <c r="E1626" s="1474">
        <f t="shared" si="269"/>
        <v>0.42975206611570249</v>
      </c>
      <c r="F1626" s="1444">
        <f t="shared" si="271"/>
        <v>0.38033057851239671</v>
      </c>
      <c r="G1626" s="1444">
        <f t="shared" si="272"/>
        <v>0.38033057851239671</v>
      </c>
      <c r="H1626" s="1474">
        <f t="shared" si="273"/>
        <v>0</v>
      </c>
      <c r="I1626" s="1444">
        <v>0</v>
      </c>
      <c r="J1626" s="1444">
        <v>0</v>
      </c>
      <c r="K1626" s="1474"/>
      <c r="L1626" s="1474"/>
      <c r="M1626" s="1474">
        <f t="shared" si="278"/>
        <v>0</v>
      </c>
      <c r="N1626" s="1474">
        <f t="shared" si="275"/>
        <v>0</v>
      </c>
      <c r="O1626" s="1445">
        <f t="shared" si="276"/>
        <v>0</v>
      </c>
      <c r="P1626" s="1377">
        <f t="shared" si="277"/>
        <v>0</v>
      </c>
    </row>
    <row r="1627" spans="1:16" ht="15.5" outlineLevel="1">
      <c r="A1627" s="1446">
        <f t="shared" si="270"/>
        <v>8.4</v>
      </c>
      <c r="B1627" s="1447" t="str">
        <f t="shared" si="269"/>
        <v>New helical gear box for various conveyors</v>
      </c>
      <c r="C1627" s="1472" t="str">
        <f t="shared" si="269"/>
        <v>MERC/CAPEX/20162017/01426</v>
      </c>
      <c r="D1627" s="1473">
        <f t="shared" si="269"/>
        <v>42768</v>
      </c>
      <c r="E1627" s="1474">
        <f t="shared" si="269"/>
        <v>0.79338842975206614</v>
      </c>
      <c r="F1627" s="1444">
        <f t="shared" si="271"/>
        <v>0</v>
      </c>
      <c r="G1627" s="1444">
        <f t="shared" si="272"/>
        <v>0</v>
      </c>
      <c r="H1627" s="1474">
        <f t="shared" si="273"/>
        <v>0</v>
      </c>
      <c r="I1627" s="1444">
        <v>0</v>
      </c>
      <c r="J1627" s="1444">
        <v>0</v>
      </c>
      <c r="K1627" s="1474"/>
      <c r="L1627" s="1474"/>
      <c r="M1627" s="1474">
        <f t="shared" si="278"/>
        <v>0</v>
      </c>
      <c r="N1627" s="1474">
        <f t="shared" si="275"/>
        <v>0</v>
      </c>
      <c r="O1627" s="1445">
        <f t="shared" si="276"/>
        <v>0</v>
      </c>
      <c r="P1627" s="1377">
        <f t="shared" si="277"/>
        <v>0</v>
      </c>
    </row>
    <row r="1628" spans="1:16" ht="15.5" outlineLevel="1">
      <c r="A1628" s="1446">
        <f t="shared" si="270"/>
        <v>8.5</v>
      </c>
      <c r="B1628" s="1447" t="str">
        <f t="shared" si="269"/>
        <v xml:space="preserve">Procurement of Elecon Make Ring Granulator Type TK-09-38B </v>
      </c>
      <c r="C1628" s="1472" t="str">
        <f t="shared" si="269"/>
        <v>MERC/CAPEX/20162017/01426</v>
      </c>
      <c r="D1628" s="1473">
        <f t="shared" si="269"/>
        <v>42768</v>
      </c>
      <c r="E1628" s="1474">
        <f t="shared" si="269"/>
        <v>0.53719008264462809</v>
      </c>
      <c r="F1628" s="1444">
        <f t="shared" si="271"/>
        <v>0</v>
      </c>
      <c r="G1628" s="1444">
        <f t="shared" si="272"/>
        <v>0</v>
      </c>
      <c r="H1628" s="1474">
        <f t="shared" si="273"/>
        <v>0</v>
      </c>
      <c r="I1628" s="1444">
        <v>0</v>
      </c>
      <c r="J1628" s="1444">
        <v>0</v>
      </c>
      <c r="K1628" s="1474"/>
      <c r="L1628" s="1474"/>
      <c r="M1628" s="1474">
        <f t="shared" si="278"/>
        <v>0</v>
      </c>
      <c r="N1628" s="1474">
        <f t="shared" si="275"/>
        <v>0</v>
      </c>
      <c r="O1628" s="1445">
        <f t="shared" si="276"/>
        <v>0</v>
      </c>
      <c r="P1628" s="1377">
        <f t="shared" si="277"/>
        <v>0</v>
      </c>
    </row>
    <row r="1629" spans="1:16" ht="15.5" outlineLevel="1">
      <c r="A1629" s="1446">
        <f t="shared" si="270"/>
        <v>8.6</v>
      </c>
      <c r="B1629" s="1447" t="str">
        <f t="shared" si="269"/>
        <v>Procurement of Elecon Make Ring Granulator Type TK6 32B Ring Granulator</v>
      </c>
      <c r="C1629" s="1472" t="str">
        <f t="shared" si="269"/>
        <v>MERC/CAPEX/20162017/01426</v>
      </c>
      <c r="D1629" s="1473">
        <f t="shared" si="269"/>
        <v>42768</v>
      </c>
      <c r="E1629" s="1474">
        <f t="shared" si="269"/>
        <v>0.33884297520661155</v>
      </c>
      <c r="F1629" s="1444">
        <f t="shared" si="271"/>
        <v>0</v>
      </c>
      <c r="G1629" s="1444">
        <f t="shared" si="272"/>
        <v>0</v>
      </c>
      <c r="H1629" s="1474">
        <f t="shared" si="273"/>
        <v>0</v>
      </c>
      <c r="I1629" s="1444">
        <v>0</v>
      </c>
      <c r="J1629" s="1444">
        <v>0</v>
      </c>
      <c r="K1629" s="1474"/>
      <c r="L1629" s="1474"/>
      <c r="M1629" s="1474">
        <f t="shared" si="278"/>
        <v>0</v>
      </c>
      <c r="N1629" s="1474">
        <f t="shared" si="275"/>
        <v>0</v>
      </c>
      <c r="O1629" s="1445">
        <f t="shared" si="276"/>
        <v>0</v>
      </c>
      <c r="P1629" s="1377">
        <f t="shared" si="277"/>
        <v>0</v>
      </c>
    </row>
    <row r="1630" spans="1:16" ht="15.5" outlineLevel="1">
      <c r="A1630" s="1446">
        <f t="shared" si="270"/>
        <v>0</v>
      </c>
      <c r="B1630" s="1447" t="str">
        <f t="shared" si="269"/>
        <v>IDC</v>
      </c>
      <c r="C1630" s="1472" t="str">
        <f t="shared" si="269"/>
        <v>MERC/CAPEX/20162017/01426</v>
      </c>
      <c r="D1630" s="1473">
        <f t="shared" si="269"/>
        <v>42768</v>
      </c>
      <c r="E1630" s="1474">
        <f t="shared" si="269"/>
        <v>0.35537190082644626</v>
      </c>
      <c r="F1630" s="1444">
        <f t="shared" si="271"/>
        <v>0</v>
      </c>
      <c r="G1630" s="1444">
        <f t="shared" si="272"/>
        <v>0</v>
      </c>
      <c r="H1630" s="1474">
        <f t="shared" si="273"/>
        <v>0</v>
      </c>
      <c r="I1630" s="1444">
        <v>0</v>
      </c>
      <c r="J1630" s="1444">
        <v>0</v>
      </c>
      <c r="K1630" s="1474"/>
      <c r="L1630" s="1474"/>
      <c r="M1630" s="1474">
        <f t="shared" si="278"/>
        <v>0</v>
      </c>
      <c r="N1630" s="1474">
        <f t="shared" si="275"/>
        <v>0</v>
      </c>
      <c r="O1630" s="1445">
        <f t="shared" si="276"/>
        <v>0</v>
      </c>
      <c r="P1630" s="1377">
        <f t="shared" si="277"/>
        <v>0</v>
      </c>
    </row>
    <row r="1631" spans="1:16" ht="15.5" outlineLevel="1">
      <c r="A1631" s="1440">
        <f t="shared" si="270"/>
        <v>9</v>
      </c>
      <c r="B1631" s="1441" t="str">
        <f t="shared" si="269"/>
        <v>Construction of 1st raising of Ash bund from T.B.L. 258M to 264M at Bhusawal TPS</v>
      </c>
      <c r="C1631" s="1442" t="str">
        <f t="shared" si="269"/>
        <v>MERC/CAPEX/20172018/4267</v>
      </c>
      <c r="D1631" s="1443">
        <f t="shared" si="269"/>
        <v>43006</v>
      </c>
      <c r="E1631" s="1444">
        <f t="shared" si="269"/>
        <v>64.22</v>
      </c>
      <c r="F1631" s="1444">
        <f t="shared" si="271"/>
        <v>0</v>
      </c>
      <c r="G1631" s="1444">
        <f t="shared" si="272"/>
        <v>0</v>
      </c>
      <c r="H1631" s="1444">
        <f t="shared" si="273"/>
        <v>0</v>
      </c>
      <c r="I1631" s="1444">
        <v>0</v>
      </c>
      <c r="J1631" s="1444">
        <v>0</v>
      </c>
      <c r="K1631" s="1444"/>
      <c r="L1631" s="1444"/>
      <c r="M1631" s="1444">
        <f t="shared" si="278"/>
        <v>0</v>
      </c>
      <c r="N1631" s="1444">
        <f t="shared" si="275"/>
        <v>0</v>
      </c>
      <c r="O1631" s="1445">
        <f t="shared" si="276"/>
        <v>0</v>
      </c>
      <c r="P1631" s="1377">
        <f t="shared" si="277"/>
        <v>0</v>
      </c>
    </row>
    <row r="1632" spans="1:16" ht="31" outlineLevel="1">
      <c r="A1632" s="1446">
        <f t="shared" si="270"/>
        <v>9.1</v>
      </c>
      <c r="B1632" s="1447" t="str">
        <f t="shared" si="269"/>
        <v>Construction of 1st raising of Ash bund from T.B.L. 258M to 264M at Bhusawal TPS</v>
      </c>
      <c r="C1632" s="1472" t="str">
        <f t="shared" si="269"/>
        <v>MERC/CAPEX/20172018/4267</v>
      </c>
      <c r="D1632" s="1473">
        <f t="shared" si="269"/>
        <v>43006</v>
      </c>
      <c r="E1632" s="1474">
        <f t="shared" si="269"/>
        <v>64.22</v>
      </c>
      <c r="F1632" s="1444">
        <f t="shared" si="271"/>
        <v>64.498238246301369</v>
      </c>
      <c r="G1632" s="1444">
        <f t="shared" si="272"/>
        <v>64.498238246301369</v>
      </c>
      <c r="H1632" s="1474">
        <f t="shared" si="273"/>
        <v>0</v>
      </c>
      <c r="I1632" s="1444">
        <v>0</v>
      </c>
      <c r="J1632" s="1444">
        <v>0</v>
      </c>
      <c r="K1632" s="1474"/>
      <c r="L1632" s="1474"/>
      <c r="M1632" s="1474">
        <f t="shared" si="278"/>
        <v>0</v>
      </c>
      <c r="N1632" s="1474">
        <f t="shared" si="275"/>
        <v>0</v>
      </c>
      <c r="O1632" s="1445">
        <f t="shared" si="276"/>
        <v>0</v>
      </c>
      <c r="P1632" s="1377">
        <f t="shared" si="277"/>
        <v>0</v>
      </c>
    </row>
    <row r="1633" spans="1:16" ht="31" outlineLevel="1">
      <c r="A1633" s="1440">
        <f t="shared" si="270"/>
        <v>10</v>
      </c>
      <c r="B1633" s="1441" t="str">
        <f t="shared" si="269"/>
        <v>Augmentation of Ash Evacuation System &amp; Procurement of BCW Pump Motors at Bhusawal &amp; Khaperkheda TPS 500 MW Units</v>
      </c>
      <c r="C1633" s="1442" t="str">
        <f t="shared" si="269"/>
        <v>MERC/CAPEX/20172018/4782</v>
      </c>
      <c r="D1633" s="1443">
        <f t="shared" si="269"/>
        <v>43067</v>
      </c>
      <c r="E1633" s="1444">
        <f t="shared" si="269"/>
        <v>17.439999999999998</v>
      </c>
      <c r="F1633" s="1444">
        <f t="shared" si="271"/>
        <v>0</v>
      </c>
      <c r="G1633" s="1444">
        <f t="shared" si="272"/>
        <v>0</v>
      </c>
      <c r="H1633" s="1444">
        <f t="shared" si="273"/>
        <v>0</v>
      </c>
      <c r="I1633" s="1444">
        <v>0</v>
      </c>
      <c r="J1633" s="1444">
        <v>0</v>
      </c>
      <c r="K1633" s="1444"/>
      <c r="L1633" s="1444"/>
      <c r="M1633" s="1444">
        <f t="shared" si="278"/>
        <v>0</v>
      </c>
      <c r="N1633" s="1444">
        <f t="shared" si="275"/>
        <v>0</v>
      </c>
      <c r="O1633" s="1445">
        <f t="shared" si="276"/>
        <v>0</v>
      </c>
      <c r="P1633" s="1377">
        <f t="shared" si="277"/>
        <v>0</v>
      </c>
    </row>
    <row r="1634" spans="1:16" ht="15.5" outlineLevel="1">
      <c r="A1634" s="1446">
        <f t="shared" si="270"/>
        <v>10.1</v>
      </c>
      <c r="B1634" s="1447" t="str">
        <f t="shared" si="270"/>
        <v>Installation of standby Buffer Hopper parallel to existing pair of buffer hoppers</v>
      </c>
      <c r="C1634" s="1472" t="str">
        <f t="shared" si="270"/>
        <v>MERC/CAPEX/20172018/4782</v>
      </c>
      <c r="D1634" s="1473">
        <f t="shared" si="270"/>
        <v>43067</v>
      </c>
      <c r="E1634" s="1474">
        <f t="shared" si="270"/>
        <v>11.5</v>
      </c>
      <c r="F1634" s="1444">
        <f t="shared" si="271"/>
        <v>0</v>
      </c>
      <c r="G1634" s="1444">
        <f t="shared" si="272"/>
        <v>0</v>
      </c>
      <c r="H1634" s="1474">
        <f t="shared" si="273"/>
        <v>0</v>
      </c>
      <c r="I1634" s="1444">
        <v>0</v>
      </c>
      <c r="J1634" s="1444">
        <v>0</v>
      </c>
      <c r="K1634" s="1474"/>
      <c r="L1634" s="1474"/>
      <c r="M1634" s="1474">
        <f t="shared" si="278"/>
        <v>0</v>
      </c>
      <c r="N1634" s="1474">
        <f t="shared" si="275"/>
        <v>0</v>
      </c>
      <c r="O1634" s="1445">
        <f t="shared" si="276"/>
        <v>0</v>
      </c>
      <c r="P1634" s="1377">
        <f t="shared" si="277"/>
        <v>0</v>
      </c>
    </row>
    <row r="1635" spans="1:16" ht="31" outlineLevel="1">
      <c r="A1635" s="1446">
        <f t="shared" si="270"/>
        <v>10.199999999999999</v>
      </c>
      <c r="B1635" s="1447" t="str">
        <f t="shared" si="270"/>
        <v>Installation of additional vacuum pump for every two passes, near to intermediate hopper.</v>
      </c>
      <c r="C1635" s="1472" t="str">
        <f t="shared" si="270"/>
        <v>MERC/CAPEX/20172018/4782</v>
      </c>
      <c r="D1635" s="1473">
        <f t="shared" si="270"/>
        <v>43067</v>
      </c>
      <c r="E1635" s="1474">
        <f t="shared" si="270"/>
        <v>0.6</v>
      </c>
      <c r="F1635" s="1444">
        <f t="shared" si="271"/>
        <v>0</v>
      </c>
      <c r="G1635" s="1444">
        <f t="shared" si="272"/>
        <v>0</v>
      </c>
      <c r="H1635" s="1474">
        <f t="shared" si="273"/>
        <v>0</v>
      </c>
      <c r="I1635" s="1444">
        <v>0</v>
      </c>
      <c r="J1635" s="1444">
        <v>0</v>
      </c>
      <c r="K1635" s="1474"/>
      <c r="L1635" s="1474"/>
      <c r="M1635" s="1474">
        <f t="shared" si="278"/>
        <v>0</v>
      </c>
      <c r="N1635" s="1474">
        <f t="shared" si="275"/>
        <v>0</v>
      </c>
      <c r="O1635" s="1445">
        <f t="shared" si="276"/>
        <v>0</v>
      </c>
      <c r="P1635" s="1377">
        <f t="shared" si="277"/>
        <v>0</v>
      </c>
    </row>
    <row r="1636" spans="1:16" ht="62" outlineLevel="1">
      <c r="A1636" s="1446">
        <f t="shared" ref="A1636:E1651" si="279">A1406</f>
        <v>10.3</v>
      </c>
      <c r="B1636" s="1447" t="str">
        <f t="shared" si="279"/>
        <v>Procurement of 02 Nos of M/s Torishima, Japan make, 350 KW, 6.6KV, Boiler Circulating Water (BCW) Pump Motors (without pump casing) with 02 lots of recommended Electrical &amp; C&amp;I spares for Bhusawal and Khaparkheda TPS 500MW.</v>
      </c>
      <c r="C1636" s="1472" t="str">
        <f t="shared" si="279"/>
        <v>MERC/CAPEX/20172018/4782</v>
      </c>
      <c r="D1636" s="1473">
        <f t="shared" si="279"/>
        <v>43067</v>
      </c>
      <c r="E1636" s="1474">
        <f t="shared" si="279"/>
        <v>4.24</v>
      </c>
      <c r="F1636" s="1444">
        <f t="shared" si="271"/>
        <v>4.6696428000000001</v>
      </c>
      <c r="G1636" s="1444">
        <f t="shared" si="272"/>
        <v>4.6696428000000001</v>
      </c>
      <c r="H1636" s="1474">
        <f t="shared" si="273"/>
        <v>0</v>
      </c>
      <c r="I1636" s="1444">
        <v>0</v>
      </c>
      <c r="J1636" s="1444">
        <v>0</v>
      </c>
      <c r="K1636" s="1474"/>
      <c r="L1636" s="1474"/>
      <c r="M1636" s="1474">
        <f t="shared" si="278"/>
        <v>0</v>
      </c>
      <c r="N1636" s="1474">
        <f t="shared" si="275"/>
        <v>0</v>
      </c>
      <c r="O1636" s="1445">
        <f t="shared" si="276"/>
        <v>0</v>
      </c>
      <c r="P1636" s="1377">
        <f t="shared" si="277"/>
        <v>0</v>
      </c>
    </row>
    <row r="1637" spans="1:16" ht="31" outlineLevel="1">
      <c r="A1637" s="1446">
        <f t="shared" si="279"/>
        <v>10.4</v>
      </c>
      <c r="B1637" s="1447" t="str">
        <f t="shared" si="279"/>
        <v>Procurement of complete ACVF drive module comprising of 2 Nos. of Supply and 3 Nos. of  Inverter modules for GEHO pumps</v>
      </c>
      <c r="C1637" s="1472" t="str">
        <f t="shared" si="279"/>
        <v>MERC/CAPEX/20172018/4782</v>
      </c>
      <c r="D1637" s="1473">
        <f t="shared" si="279"/>
        <v>43067</v>
      </c>
      <c r="E1637" s="1474">
        <f t="shared" si="279"/>
        <v>0.95</v>
      </c>
      <c r="F1637" s="1444">
        <f t="shared" si="271"/>
        <v>0.92864275500000004</v>
      </c>
      <c r="G1637" s="1444">
        <f t="shared" si="272"/>
        <v>0.92864275500000004</v>
      </c>
      <c r="H1637" s="1474">
        <f t="shared" si="273"/>
        <v>0</v>
      </c>
      <c r="I1637" s="1444">
        <v>0</v>
      </c>
      <c r="J1637" s="1444">
        <v>0</v>
      </c>
      <c r="K1637" s="1474"/>
      <c r="L1637" s="1474"/>
      <c r="M1637" s="1474">
        <f t="shared" si="278"/>
        <v>0</v>
      </c>
      <c r="N1637" s="1474">
        <f t="shared" si="275"/>
        <v>0</v>
      </c>
      <c r="O1637" s="1445">
        <f t="shared" si="276"/>
        <v>0</v>
      </c>
      <c r="P1637" s="1377">
        <f t="shared" si="277"/>
        <v>0</v>
      </c>
    </row>
    <row r="1638" spans="1:16" ht="31" outlineLevel="1">
      <c r="A1638" s="1446">
        <f t="shared" si="279"/>
        <v>10.5</v>
      </c>
      <c r="B1638" s="1447" t="str">
        <f t="shared" si="279"/>
        <v>Supply, erection and commissioning of 24VDC, 100A Float &amp; Float cum Boost Battery Charger with 325Ah Battery Bank for CWPH at BTPS 2x500 MW.</v>
      </c>
      <c r="C1638" s="1472" t="str">
        <f t="shared" si="279"/>
        <v>MERC/CAPEX/20172018/4782</v>
      </c>
      <c r="D1638" s="1473">
        <f t="shared" si="279"/>
        <v>43067</v>
      </c>
      <c r="E1638" s="1474">
        <f t="shared" si="279"/>
        <v>0.15</v>
      </c>
      <c r="F1638" s="1444">
        <f t="shared" si="271"/>
        <v>0.157884</v>
      </c>
      <c r="G1638" s="1444">
        <f t="shared" si="272"/>
        <v>0.157884</v>
      </c>
      <c r="H1638" s="1474">
        <f t="shared" si="273"/>
        <v>0</v>
      </c>
      <c r="I1638" s="1444">
        <v>0</v>
      </c>
      <c r="J1638" s="1444">
        <v>0</v>
      </c>
      <c r="K1638" s="1474"/>
      <c r="L1638" s="1474"/>
      <c r="M1638" s="1474">
        <f t="shared" si="278"/>
        <v>0</v>
      </c>
      <c r="N1638" s="1474">
        <f t="shared" si="275"/>
        <v>0</v>
      </c>
      <c r="O1638" s="1445">
        <f t="shared" si="276"/>
        <v>0</v>
      </c>
      <c r="P1638" s="1377">
        <f t="shared" si="277"/>
        <v>0</v>
      </c>
    </row>
    <row r="1639" spans="1:16" ht="15.5" outlineLevel="1">
      <c r="A1639" s="1446">
        <f t="shared" si="279"/>
        <v>0</v>
      </c>
      <c r="B1639" s="1447" t="str">
        <f t="shared" si="279"/>
        <v xml:space="preserve">IDC </v>
      </c>
      <c r="C1639" s="1472" t="str">
        <f t="shared" si="279"/>
        <v>MERC/CAPEX/20172018/4782</v>
      </c>
      <c r="D1639" s="1473">
        <f t="shared" si="279"/>
        <v>43067</v>
      </c>
      <c r="E1639" s="1474">
        <f t="shared" si="279"/>
        <v>0</v>
      </c>
      <c r="F1639" s="1444">
        <f t="shared" si="271"/>
        <v>0</v>
      </c>
      <c r="G1639" s="1444">
        <f t="shared" si="272"/>
        <v>0</v>
      </c>
      <c r="H1639" s="1474">
        <f t="shared" si="273"/>
        <v>0</v>
      </c>
      <c r="I1639" s="1444">
        <v>0</v>
      </c>
      <c r="J1639" s="1444">
        <v>0</v>
      </c>
      <c r="K1639" s="1474"/>
      <c r="L1639" s="1474"/>
      <c r="M1639" s="1474">
        <f t="shared" si="278"/>
        <v>0</v>
      </c>
      <c r="N1639" s="1474">
        <f t="shared" si="275"/>
        <v>0</v>
      </c>
      <c r="O1639" s="1445">
        <f t="shared" si="276"/>
        <v>0</v>
      </c>
      <c r="P1639" s="1377">
        <f t="shared" si="277"/>
        <v>0</v>
      </c>
    </row>
    <row r="1640" spans="1:16" ht="15.5" outlineLevel="1">
      <c r="A1640" s="1440">
        <f t="shared" si="279"/>
        <v>11</v>
      </c>
      <c r="B1640" s="1441" t="str">
        <f t="shared" si="279"/>
        <v>Various schemes for renovation of colony at Bhusawal TPS</v>
      </c>
      <c r="C1640" s="1442" t="str">
        <f t="shared" si="279"/>
        <v>MERC/CAPEX/20172018/0221</v>
      </c>
      <c r="D1640" s="1443">
        <f t="shared" si="279"/>
        <v>43143</v>
      </c>
      <c r="E1640" s="1444">
        <f t="shared" si="279"/>
        <v>19.334125999999998</v>
      </c>
      <c r="F1640" s="1444">
        <f t="shared" si="271"/>
        <v>0</v>
      </c>
      <c r="G1640" s="1444">
        <f t="shared" si="272"/>
        <v>0</v>
      </c>
      <c r="H1640" s="1444">
        <f t="shared" si="273"/>
        <v>0</v>
      </c>
      <c r="I1640" s="1444">
        <v>0</v>
      </c>
      <c r="J1640" s="1444">
        <v>0</v>
      </c>
      <c r="K1640" s="1444"/>
      <c r="L1640" s="1444"/>
      <c r="M1640" s="1444">
        <f t="shared" si="278"/>
        <v>0</v>
      </c>
      <c r="N1640" s="1444">
        <f t="shared" si="275"/>
        <v>0</v>
      </c>
      <c r="O1640" s="1445">
        <f t="shared" si="276"/>
        <v>0</v>
      </c>
      <c r="P1640" s="1377">
        <f t="shared" si="277"/>
        <v>0</v>
      </c>
    </row>
    <row r="1641" spans="1:16" ht="15.5" outlineLevel="1">
      <c r="A1641" s="1446">
        <f t="shared" si="279"/>
        <v>11.1</v>
      </c>
      <c r="B1641" s="1447" t="str">
        <f t="shared" si="279"/>
        <v>Renovation of staff quarters &amp; related work at BTPS Deepnagar</v>
      </c>
      <c r="C1641" s="1472" t="str">
        <f t="shared" si="279"/>
        <v>MERC/CAPEX/20172018/0221</v>
      </c>
      <c r="D1641" s="1473">
        <f t="shared" si="279"/>
        <v>43143</v>
      </c>
      <c r="E1641" s="1474">
        <f t="shared" si="279"/>
        <v>7.0209999999999999</v>
      </c>
      <c r="F1641" s="1444">
        <f t="shared" si="271"/>
        <v>5.45837182</v>
      </c>
      <c r="G1641" s="1444">
        <f t="shared" si="272"/>
        <v>5.45837182</v>
      </c>
      <c r="H1641" s="1474">
        <f t="shared" si="273"/>
        <v>0</v>
      </c>
      <c r="I1641" s="1444">
        <v>0</v>
      </c>
      <c r="J1641" s="1444">
        <v>0</v>
      </c>
      <c r="K1641" s="1474"/>
      <c r="L1641" s="1474"/>
      <c r="M1641" s="1474">
        <f t="shared" si="278"/>
        <v>0</v>
      </c>
      <c r="N1641" s="1474">
        <f t="shared" si="275"/>
        <v>0</v>
      </c>
      <c r="O1641" s="1445">
        <f t="shared" si="276"/>
        <v>0</v>
      </c>
      <c r="P1641" s="1377">
        <f t="shared" si="277"/>
        <v>0</v>
      </c>
    </row>
    <row r="1642" spans="1:16" ht="15.5" outlineLevel="1">
      <c r="A1642" s="1446">
        <f t="shared" si="279"/>
        <v>11.2</v>
      </c>
      <c r="B1642" s="1447" t="str">
        <f t="shared" si="279"/>
        <v>Colony Internal Roads at BTPS, Deepnagar</v>
      </c>
      <c r="C1642" s="1472" t="str">
        <f t="shared" si="279"/>
        <v>MERC/CAPEX/20172018/0221</v>
      </c>
      <c r="D1642" s="1473">
        <f t="shared" si="279"/>
        <v>43143</v>
      </c>
      <c r="E1642" s="1474">
        <f t="shared" si="279"/>
        <v>3.85</v>
      </c>
      <c r="F1642" s="1444">
        <f t="shared" si="271"/>
        <v>3.2500731940000001</v>
      </c>
      <c r="G1642" s="1444">
        <f t="shared" si="272"/>
        <v>3.2514022229999999</v>
      </c>
      <c r="H1642" s="1474">
        <f t="shared" si="273"/>
        <v>-1.3290289999998706E-3</v>
      </c>
      <c r="I1642" s="1444">
        <v>0</v>
      </c>
      <c r="J1642" s="1444">
        <v>0</v>
      </c>
      <c r="K1642" s="1474"/>
      <c r="L1642" s="1474"/>
      <c r="M1642" s="1474">
        <f t="shared" si="278"/>
        <v>0</v>
      </c>
      <c r="N1642" s="1474">
        <f t="shared" si="275"/>
        <v>-1.3290289999998706E-3</v>
      </c>
      <c r="O1642" s="1445">
        <f t="shared" si="276"/>
        <v>0</v>
      </c>
      <c r="P1642" s="1377">
        <f t="shared" si="277"/>
        <v>0</v>
      </c>
    </row>
    <row r="1643" spans="1:16" ht="15.5" outlineLevel="1">
      <c r="A1643" s="1446">
        <f t="shared" si="279"/>
        <v>11.3</v>
      </c>
      <c r="B1643" s="1447" t="str">
        <f t="shared" si="279"/>
        <v>Water supply , sanitary &amp; drainage works at BTPS, Deepnagar</v>
      </c>
      <c r="C1643" s="1472" t="str">
        <f t="shared" si="279"/>
        <v>MERC/CAPEX/20172018/0221</v>
      </c>
      <c r="D1643" s="1473">
        <f t="shared" si="279"/>
        <v>43143</v>
      </c>
      <c r="E1643" s="1474">
        <f t="shared" si="279"/>
        <v>7.3</v>
      </c>
      <c r="F1643" s="1444">
        <f t="shared" si="271"/>
        <v>5.8360794</v>
      </c>
      <c r="G1643" s="1444">
        <f t="shared" si="272"/>
        <v>5.8108501159999992</v>
      </c>
      <c r="H1643" s="1474">
        <f t="shared" si="273"/>
        <v>2.5229284000000796E-2</v>
      </c>
      <c r="I1643" s="1444">
        <v>0</v>
      </c>
      <c r="J1643" s="1444">
        <v>0</v>
      </c>
      <c r="K1643" s="1474"/>
      <c r="L1643" s="1474"/>
      <c r="M1643" s="1474">
        <f t="shared" si="278"/>
        <v>0</v>
      </c>
      <c r="N1643" s="1474">
        <f t="shared" si="275"/>
        <v>2.5229284000000796E-2</v>
      </c>
      <c r="O1643" s="1445">
        <f t="shared" si="276"/>
        <v>0</v>
      </c>
      <c r="P1643" s="1377">
        <f t="shared" si="277"/>
        <v>0</v>
      </c>
    </row>
    <row r="1644" spans="1:16" ht="15.5" outlineLevel="1">
      <c r="A1644" s="1446">
        <f t="shared" si="279"/>
        <v>11.4</v>
      </c>
      <c r="B1644" s="1447" t="str">
        <f t="shared" si="279"/>
        <v>Plinth protection to existing buildings at BTPS, Deepnagar</v>
      </c>
      <c r="C1644" s="1472" t="str">
        <f t="shared" si="279"/>
        <v>MERC/CAPEX/20172018/0221</v>
      </c>
      <c r="D1644" s="1473">
        <f t="shared" si="279"/>
        <v>43143</v>
      </c>
      <c r="E1644" s="1474">
        <f t="shared" si="279"/>
        <v>1.1631259999999999</v>
      </c>
      <c r="F1644" s="1444">
        <f t="shared" si="271"/>
        <v>0.91823160000000004</v>
      </c>
      <c r="G1644" s="1444">
        <f t="shared" si="272"/>
        <v>0.91823162200000008</v>
      </c>
      <c r="H1644" s="1474">
        <f t="shared" si="273"/>
        <v>-2.2000000043931323E-8</v>
      </c>
      <c r="I1644" s="1444">
        <v>0</v>
      </c>
      <c r="J1644" s="1444">
        <v>0</v>
      </c>
      <c r="K1644" s="1474"/>
      <c r="L1644" s="1474"/>
      <c r="M1644" s="1474">
        <f t="shared" si="278"/>
        <v>0</v>
      </c>
      <c r="N1644" s="1474">
        <f t="shared" si="275"/>
        <v>-2.2000000043931323E-8</v>
      </c>
      <c r="O1644" s="1445">
        <f t="shared" si="276"/>
        <v>0</v>
      </c>
      <c r="P1644" s="1377">
        <f t="shared" si="277"/>
        <v>0</v>
      </c>
    </row>
    <row r="1645" spans="1:16" ht="31" outlineLevel="1">
      <c r="A1645" s="1440">
        <f t="shared" si="279"/>
        <v>12</v>
      </c>
      <c r="B1645" s="1441" t="str">
        <f t="shared" si="279"/>
        <v>Pipeline from River Water Pump House (RWPH) to aquaduct over Bhogawati River and Other allied power house road works under DPR scheme at BTPS, Bhusawal</v>
      </c>
      <c r="C1645" s="1442" t="str">
        <f t="shared" si="279"/>
        <v>MERC/CAPEX/2018-2019/0104</v>
      </c>
      <c r="D1645" s="1443">
        <f t="shared" si="279"/>
        <v>43559</v>
      </c>
      <c r="E1645" s="1444">
        <f t="shared" si="279"/>
        <v>13.1172</v>
      </c>
      <c r="F1645" s="1444">
        <f t="shared" si="271"/>
        <v>0</v>
      </c>
      <c r="G1645" s="1444">
        <f t="shared" si="272"/>
        <v>0</v>
      </c>
      <c r="H1645" s="1444">
        <f t="shared" si="273"/>
        <v>0</v>
      </c>
      <c r="I1645" s="1444">
        <v>0</v>
      </c>
      <c r="J1645" s="1444">
        <v>0</v>
      </c>
      <c r="K1645" s="1444"/>
      <c r="L1645" s="1444"/>
      <c r="M1645" s="1444">
        <f t="shared" si="278"/>
        <v>0</v>
      </c>
      <c r="N1645" s="1444">
        <f t="shared" si="275"/>
        <v>0</v>
      </c>
      <c r="O1645" s="1445">
        <f t="shared" si="276"/>
        <v>0</v>
      </c>
      <c r="P1645" s="1377">
        <f t="shared" si="277"/>
        <v>0</v>
      </c>
    </row>
    <row r="1646" spans="1:16" ht="46.5" outlineLevel="1">
      <c r="A1646" s="1448">
        <f t="shared" si="279"/>
        <v>12.1</v>
      </c>
      <c r="B1646" s="1449" t="str">
        <f t="shared" si="279"/>
        <v>Providing supplying laying, jointing, testing and commissioning of 1650 mm Ø ID 8 mm thick M.S. pipeline for raw water supply from RWPH to aquaduct over Bhogawati river at, BTPS, Bhusawal.</v>
      </c>
      <c r="C1646" s="1472" t="str">
        <f t="shared" si="279"/>
        <v>MERC/CAPEX/2018-2019/0104</v>
      </c>
      <c r="D1646" s="1473">
        <f t="shared" si="279"/>
        <v>43559</v>
      </c>
      <c r="E1646" s="1474">
        <f t="shared" si="279"/>
        <v>7.2569999999999997</v>
      </c>
      <c r="F1646" s="1444">
        <f t="shared" si="271"/>
        <v>0</v>
      </c>
      <c r="G1646" s="1444">
        <f t="shared" si="272"/>
        <v>0</v>
      </c>
      <c r="H1646" s="1474">
        <f t="shared" si="273"/>
        <v>0</v>
      </c>
      <c r="I1646" s="1444">
        <v>0</v>
      </c>
      <c r="J1646" s="1444">
        <v>0</v>
      </c>
      <c r="K1646" s="1474"/>
      <c r="L1646" s="1474"/>
      <c r="M1646" s="1474">
        <f t="shared" si="278"/>
        <v>0</v>
      </c>
      <c r="N1646" s="1474">
        <f t="shared" si="275"/>
        <v>0</v>
      </c>
      <c r="O1646" s="1445">
        <f t="shared" si="276"/>
        <v>0</v>
      </c>
      <c r="P1646" s="1377">
        <f t="shared" si="277"/>
        <v>0</v>
      </c>
    </row>
    <row r="1647" spans="1:16" ht="31" outlineLevel="1">
      <c r="A1647" s="1448">
        <f t="shared" si="279"/>
        <v>12.2</v>
      </c>
      <c r="B1647" s="1449" t="str">
        <f t="shared" si="279"/>
        <v>Construction of WBM and Bituminous road along inlet &amp; outlet canals and concreate road along periphery of Major store at BTPS, Bhusawal.</v>
      </c>
      <c r="C1647" s="1472" t="str">
        <f t="shared" si="279"/>
        <v>MERC/CAPEX/2018-2019/0104</v>
      </c>
      <c r="D1647" s="1473">
        <f t="shared" si="279"/>
        <v>43559</v>
      </c>
      <c r="E1647" s="1474">
        <f t="shared" si="279"/>
        <v>4.22</v>
      </c>
      <c r="F1647" s="1444">
        <f t="shared" si="271"/>
        <v>3.8304708600000001</v>
      </c>
      <c r="G1647" s="1444">
        <f t="shared" si="272"/>
        <v>3.8304708869999997</v>
      </c>
      <c r="H1647" s="1474">
        <f t="shared" si="273"/>
        <v>-2.6999999569454758E-8</v>
      </c>
      <c r="I1647" s="1444">
        <v>0</v>
      </c>
      <c r="J1647" s="1444">
        <v>0</v>
      </c>
      <c r="K1647" s="1474"/>
      <c r="L1647" s="1474"/>
      <c r="M1647" s="1474">
        <f t="shared" si="278"/>
        <v>0</v>
      </c>
      <c r="N1647" s="1474">
        <f t="shared" si="275"/>
        <v>-2.6999999569454758E-8</v>
      </c>
      <c r="O1647" s="1445">
        <f t="shared" si="276"/>
        <v>0</v>
      </c>
      <c r="P1647" s="1377">
        <f t="shared" si="277"/>
        <v>0</v>
      </c>
    </row>
    <row r="1648" spans="1:16" ht="31" outlineLevel="1">
      <c r="A1648" s="1446">
        <f t="shared" si="279"/>
        <v>12.3</v>
      </c>
      <c r="B1648" s="1447" t="str">
        <f t="shared" si="279"/>
        <v>Work of construction of self-supporting steel roofing system for a major store godown shed of span 25M at BTPS, Deepnagar.</v>
      </c>
      <c r="C1648" s="1472" t="str">
        <f t="shared" si="279"/>
        <v>MERC/CAPEX/2018-2019/0104</v>
      </c>
      <c r="D1648" s="1473">
        <f t="shared" si="279"/>
        <v>43559</v>
      </c>
      <c r="E1648" s="1474">
        <f t="shared" si="279"/>
        <v>1.6401999999999999</v>
      </c>
      <c r="F1648" s="1444">
        <f t="shared" si="271"/>
        <v>0.27</v>
      </c>
      <c r="G1648" s="1444">
        <f t="shared" si="272"/>
        <v>1.6376399460000002</v>
      </c>
      <c r="H1648" s="1474">
        <f t="shared" si="273"/>
        <v>-1.3676399460000002</v>
      </c>
      <c r="I1648" s="1444">
        <v>0</v>
      </c>
      <c r="J1648" s="1444">
        <v>0</v>
      </c>
      <c r="K1648" s="1474"/>
      <c r="L1648" s="1474"/>
      <c r="M1648" s="1474">
        <f t="shared" si="278"/>
        <v>0</v>
      </c>
      <c r="N1648" s="1474">
        <f t="shared" si="275"/>
        <v>-1.3676399460000002</v>
      </c>
      <c r="O1648" s="1445">
        <f t="shared" si="276"/>
        <v>0</v>
      </c>
      <c r="P1648" s="1377">
        <f t="shared" si="277"/>
        <v>0</v>
      </c>
    </row>
    <row r="1649" spans="1:16" ht="15.5" outlineLevel="1">
      <c r="A1649" s="1448">
        <f t="shared" si="279"/>
        <v>0</v>
      </c>
      <c r="B1649" s="1449" t="str">
        <f t="shared" si="279"/>
        <v>IDC</v>
      </c>
      <c r="C1649" s="1472" t="str">
        <f t="shared" si="279"/>
        <v>MERC/CAPEX/2018-2019/0104</v>
      </c>
      <c r="D1649" s="1473">
        <f t="shared" si="279"/>
        <v>43559</v>
      </c>
      <c r="E1649" s="1474">
        <f t="shared" si="279"/>
        <v>0</v>
      </c>
      <c r="F1649" s="1444">
        <f t="shared" si="271"/>
        <v>0.14917520000000001</v>
      </c>
      <c r="G1649" s="1444">
        <f t="shared" si="272"/>
        <v>0.14917520000000001</v>
      </c>
      <c r="H1649" s="1474">
        <f t="shared" si="273"/>
        <v>0</v>
      </c>
      <c r="I1649" s="1444">
        <v>0</v>
      </c>
      <c r="J1649" s="1444">
        <v>0</v>
      </c>
      <c r="K1649" s="1474"/>
      <c r="L1649" s="1474"/>
      <c r="M1649" s="1474">
        <f t="shared" si="278"/>
        <v>0</v>
      </c>
      <c r="N1649" s="1474">
        <f t="shared" si="275"/>
        <v>0</v>
      </c>
      <c r="O1649" s="1445">
        <f t="shared" si="276"/>
        <v>0</v>
      </c>
      <c r="P1649" s="1377">
        <f t="shared" si="277"/>
        <v>0</v>
      </c>
    </row>
    <row r="1650" spans="1:16" ht="46.5" outlineLevel="1">
      <c r="A1650" s="1440">
        <f t="shared" si="279"/>
        <v>13</v>
      </c>
      <c r="B1650" s="1441" t="str">
        <f t="shared" si="279"/>
        <v>Supply, erection, commissioning &amp; site testing of 220 V, 2035 AH, Station Battery Sets (4 Nos.) and 24 V, 2250 AH, SG/TG &amp; BOP Battery Sets (8 Nos.) for U# 4 &amp; 5 along with accessories at 2 x 500 MW BTPS, Bhusawal</v>
      </c>
      <c r="C1650" s="1442" t="str">
        <f t="shared" si="279"/>
        <v>MERC/CAPEX/2017-2018/1226</v>
      </c>
      <c r="D1650" s="1443">
        <f t="shared" si="279"/>
        <v>43322</v>
      </c>
      <c r="E1650" s="1444">
        <f t="shared" si="279"/>
        <v>11.59</v>
      </c>
      <c r="F1650" s="1444">
        <f t="shared" si="271"/>
        <v>0</v>
      </c>
      <c r="G1650" s="1444">
        <f t="shared" si="272"/>
        <v>0</v>
      </c>
      <c r="H1650" s="1444">
        <f t="shared" si="273"/>
        <v>0</v>
      </c>
      <c r="I1650" s="1444">
        <v>0</v>
      </c>
      <c r="J1650" s="1444">
        <v>0</v>
      </c>
      <c r="K1650" s="1444"/>
      <c r="L1650" s="1444"/>
      <c r="M1650" s="1444">
        <f t="shared" si="278"/>
        <v>0</v>
      </c>
      <c r="N1650" s="1444">
        <f t="shared" si="275"/>
        <v>0</v>
      </c>
      <c r="O1650" s="1445">
        <f t="shared" si="276"/>
        <v>0</v>
      </c>
      <c r="P1650" s="1377">
        <f t="shared" si="277"/>
        <v>0</v>
      </c>
    </row>
    <row r="1651" spans="1:16" ht="46.5" outlineLevel="1">
      <c r="A1651" s="1446">
        <f t="shared" si="279"/>
        <v>13.1</v>
      </c>
      <c r="B1651" s="1447" t="str">
        <f t="shared" si="279"/>
        <v>Supply, erection, commissioning &amp; site testing of 220V, 2035 AH Station Battery Sets (02 Nos.) and 24V, 2250AH, SG/TG &amp; BOP Battery Set (04 Nos.) along with accessories for Unit No.5 at BTPS 2x500MW.</v>
      </c>
      <c r="C1651" s="1472" t="str">
        <f t="shared" si="279"/>
        <v>MERC/CAPEX/2017-2018/1226</v>
      </c>
      <c r="D1651" s="1473">
        <f t="shared" si="279"/>
        <v>43322</v>
      </c>
      <c r="E1651" s="1474">
        <f t="shared" si="279"/>
        <v>5.7949999999999999</v>
      </c>
      <c r="F1651" s="1444">
        <f t="shared" si="271"/>
        <v>6.3739579500000003</v>
      </c>
      <c r="G1651" s="1444">
        <f t="shared" si="272"/>
        <v>6.3739579500000003</v>
      </c>
      <c r="H1651" s="1474">
        <f t="shared" si="273"/>
        <v>0</v>
      </c>
      <c r="I1651" s="1444">
        <v>0</v>
      </c>
      <c r="J1651" s="1444">
        <v>0</v>
      </c>
      <c r="K1651" s="1474"/>
      <c r="L1651" s="1474"/>
      <c r="M1651" s="1474">
        <f t="shared" si="278"/>
        <v>0</v>
      </c>
      <c r="N1651" s="1474">
        <f t="shared" si="275"/>
        <v>0</v>
      </c>
      <c r="O1651" s="1445">
        <f t="shared" si="276"/>
        <v>0</v>
      </c>
      <c r="P1651" s="1377">
        <f t="shared" si="277"/>
        <v>0</v>
      </c>
    </row>
    <row r="1652" spans="1:16" ht="46.5" outlineLevel="1">
      <c r="A1652" s="1446">
        <f t="shared" ref="A1652:E1667" si="280">A1422</f>
        <v>13.2</v>
      </c>
      <c r="B1652" s="1447" t="str">
        <f t="shared" si="280"/>
        <v>Supply, erection, commissioning &amp; site testing of 220V, 2035 AH Station Battery Sets (02 Nos.) and 24V, 2250AH, SG/TG &amp; BOP Battery Set (04 Nos.) along with accessories for Unit No.4 at BTPS 2x500MW.</v>
      </c>
      <c r="C1652" s="1472" t="str">
        <f t="shared" si="280"/>
        <v>MERC/CAPEX/2017-2018/1226</v>
      </c>
      <c r="D1652" s="1473">
        <f t="shared" si="280"/>
        <v>43322</v>
      </c>
      <c r="E1652" s="1474">
        <f t="shared" si="280"/>
        <v>5.7949999999999999</v>
      </c>
      <c r="F1652" s="1444">
        <f t="shared" si="271"/>
        <v>6.3227326000000001</v>
      </c>
      <c r="G1652" s="1444">
        <f t="shared" si="272"/>
        <v>6.3227326000000001</v>
      </c>
      <c r="H1652" s="1474">
        <f t="shared" si="273"/>
        <v>0</v>
      </c>
      <c r="I1652" s="1444">
        <v>0</v>
      </c>
      <c r="J1652" s="1444">
        <v>0</v>
      </c>
      <c r="K1652" s="1474"/>
      <c r="L1652" s="1474"/>
      <c r="M1652" s="1474">
        <f t="shared" si="278"/>
        <v>0</v>
      </c>
      <c r="N1652" s="1474">
        <f t="shared" si="275"/>
        <v>0</v>
      </c>
      <c r="O1652" s="1445">
        <f t="shared" si="276"/>
        <v>0</v>
      </c>
      <c r="P1652" s="1377">
        <f t="shared" si="277"/>
        <v>0</v>
      </c>
    </row>
    <row r="1653" spans="1:16" ht="31" outlineLevel="1">
      <c r="A1653" s="1440">
        <f t="shared" si="280"/>
        <v>15</v>
      </c>
      <c r="B1653" s="1441" t="str">
        <f t="shared" si="280"/>
        <v>Flue Gas Desulphurization (FGD) System for 500 MW Units (Total 8 Nos) of MSPGCL</v>
      </c>
      <c r="C1653" s="1442" t="str">
        <f t="shared" si="280"/>
        <v>MERC/CAPEX/2020-2021/WFH/SBR/45</v>
      </c>
      <c r="D1653" s="1443">
        <f t="shared" si="280"/>
        <v>44232</v>
      </c>
      <c r="E1653" s="1444">
        <f t="shared" si="280"/>
        <v>869.5</v>
      </c>
      <c r="F1653" s="1444">
        <f t="shared" si="271"/>
        <v>0</v>
      </c>
      <c r="G1653" s="1444">
        <f t="shared" si="272"/>
        <v>0</v>
      </c>
      <c r="H1653" s="1444">
        <f t="shared" si="273"/>
        <v>0</v>
      </c>
      <c r="I1653" s="1444">
        <v>0</v>
      </c>
      <c r="J1653" s="1444">
        <v>0</v>
      </c>
      <c r="K1653" s="1444"/>
      <c r="L1653" s="1444"/>
      <c r="M1653" s="1444">
        <f t="shared" si="278"/>
        <v>0</v>
      </c>
      <c r="N1653" s="1444">
        <f t="shared" si="275"/>
        <v>0</v>
      </c>
      <c r="O1653" s="1445">
        <f t="shared" si="276"/>
        <v>0</v>
      </c>
      <c r="P1653" s="1377">
        <f t="shared" si="277"/>
        <v>0</v>
      </c>
    </row>
    <row r="1654" spans="1:16" ht="15.5" outlineLevel="1">
      <c r="A1654" s="1450">
        <f t="shared" si="280"/>
        <v>15.1</v>
      </c>
      <c r="B1654" s="1451" t="str">
        <f t="shared" si="280"/>
        <v>Flue Gas Desulphurization (FGD) System for Bhusawal Unit 4-5</v>
      </c>
      <c r="C1654" s="1475" t="str">
        <f t="shared" si="280"/>
        <v>MERC/CAPEX/2020-2021/WFH/SBR/45</v>
      </c>
      <c r="D1654" s="1473">
        <f t="shared" si="280"/>
        <v>44232</v>
      </c>
      <c r="E1654" s="1476">
        <f t="shared" si="280"/>
        <v>830.4</v>
      </c>
      <c r="F1654" s="1444">
        <f t="shared" si="271"/>
        <v>849.16000000000008</v>
      </c>
      <c r="G1654" s="1444">
        <f t="shared" si="272"/>
        <v>1273.74</v>
      </c>
      <c r="H1654" s="1476">
        <f t="shared" si="273"/>
        <v>-424.57999999999993</v>
      </c>
      <c r="I1654" s="1444">
        <v>0</v>
      </c>
      <c r="J1654" s="1444">
        <v>0</v>
      </c>
      <c r="K1654" s="1476"/>
      <c r="L1654" s="1476"/>
      <c r="M1654" s="1476">
        <f t="shared" si="278"/>
        <v>0</v>
      </c>
      <c r="N1654" s="1476">
        <f t="shared" si="275"/>
        <v>-424.57999999999993</v>
      </c>
      <c r="O1654" s="1445">
        <f t="shared" si="276"/>
        <v>0</v>
      </c>
      <c r="P1654" s="1377">
        <f t="shared" si="277"/>
        <v>0</v>
      </c>
    </row>
    <row r="1655" spans="1:16" ht="15.5" outlineLevel="1">
      <c r="A1655" s="1450">
        <f t="shared" si="280"/>
        <v>0</v>
      </c>
      <c r="B1655" s="1452" t="str">
        <f t="shared" si="280"/>
        <v>IDC</v>
      </c>
      <c r="C1655" s="1475" t="str">
        <f t="shared" si="280"/>
        <v>MERC/CAPEX/2020-2021/WFH/SBR/45</v>
      </c>
      <c r="D1655" s="1473">
        <f t="shared" si="280"/>
        <v>44232</v>
      </c>
      <c r="E1655" s="1476">
        <f t="shared" si="280"/>
        <v>39.1</v>
      </c>
      <c r="F1655" s="1444">
        <f t="shared" si="271"/>
        <v>0</v>
      </c>
      <c r="G1655" s="1444">
        <f t="shared" si="272"/>
        <v>0</v>
      </c>
      <c r="H1655" s="1476">
        <f t="shared" si="273"/>
        <v>0</v>
      </c>
      <c r="I1655" s="1444">
        <v>0</v>
      </c>
      <c r="J1655" s="1444">
        <v>0</v>
      </c>
      <c r="K1655" s="1476"/>
      <c r="L1655" s="1476"/>
      <c r="M1655" s="1476">
        <f t="shared" si="278"/>
        <v>0</v>
      </c>
      <c r="N1655" s="1476">
        <f t="shared" si="275"/>
        <v>0</v>
      </c>
      <c r="O1655" s="1445">
        <f t="shared" si="276"/>
        <v>0</v>
      </c>
      <c r="P1655" s="1377">
        <f t="shared" si="277"/>
        <v>0</v>
      </c>
    </row>
    <row r="1656" spans="1:16" ht="31" outlineLevel="1">
      <c r="A1656" s="1440">
        <f t="shared" si="280"/>
        <v>16</v>
      </c>
      <c r="B1656" s="1441" t="str">
        <f t="shared" si="280"/>
        <v>Procurement of two BFP Cartridges &amp; one rotor of Turbine driven BFP &amp; at 500MW BTPS, Bhusawal</v>
      </c>
      <c r="C1656" s="1442" t="str">
        <f t="shared" si="280"/>
        <v>MERC/CAPEX/2020-2021/WFO/SBR/49</v>
      </c>
      <c r="D1656" s="1443">
        <f t="shared" si="280"/>
        <v>44263</v>
      </c>
      <c r="E1656" s="1444">
        <f t="shared" si="280"/>
        <v>10.520000000000001</v>
      </c>
      <c r="F1656" s="1444">
        <f t="shared" si="271"/>
        <v>0</v>
      </c>
      <c r="G1656" s="1444">
        <f t="shared" si="272"/>
        <v>0</v>
      </c>
      <c r="H1656" s="1444">
        <f t="shared" si="273"/>
        <v>0</v>
      </c>
      <c r="I1656" s="1444">
        <v>0</v>
      </c>
      <c r="J1656" s="1444">
        <v>0</v>
      </c>
      <c r="K1656" s="1444"/>
      <c r="L1656" s="1444"/>
      <c r="M1656" s="1444">
        <f t="shared" si="278"/>
        <v>0</v>
      </c>
      <c r="N1656" s="1444">
        <f t="shared" si="275"/>
        <v>0</v>
      </c>
      <c r="O1656" s="1445">
        <f t="shared" si="276"/>
        <v>0</v>
      </c>
      <c r="P1656" s="1377">
        <f t="shared" si="277"/>
        <v>0</v>
      </c>
    </row>
    <row r="1657" spans="1:16" ht="15.5" outlineLevel="1">
      <c r="A1657" s="1450">
        <f t="shared" si="280"/>
        <v>16.100000000000001</v>
      </c>
      <c r="B1657" s="1452" t="str">
        <f t="shared" si="280"/>
        <v>Procurement of two BFP Cartridges at 500MW BTPS, Bhusawal</v>
      </c>
      <c r="C1657" s="1475" t="str">
        <f t="shared" si="280"/>
        <v>MERC/CAPEX/2020-2021/WFO/SBR/49</v>
      </c>
      <c r="D1657" s="1473">
        <f t="shared" si="280"/>
        <v>44263</v>
      </c>
      <c r="E1657" s="1476">
        <f t="shared" si="280"/>
        <v>3.84</v>
      </c>
      <c r="F1657" s="1444">
        <f t="shared" si="271"/>
        <v>2.2399997760000003</v>
      </c>
      <c r="G1657" s="1444">
        <f t="shared" si="272"/>
        <v>2.2399997760000003</v>
      </c>
      <c r="H1657" s="1476">
        <f t="shared" si="273"/>
        <v>0</v>
      </c>
      <c r="I1657" s="1444">
        <v>0</v>
      </c>
      <c r="J1657" s="1444">
        <v>0</v>
      </c>
      <c r="K1657" s="1476"/>
      <c r="L1657" s="1476"/>
      <c r="M1657" s="1476">
        <f t="shared" si="278"/>
        <v>0</v>
      </c>
      <c r="N1657" s="1476">
        <f t="shared" si="275"/>
        <v>0</v>
      </c>
      <c r="O1657" s="1445">
        <f t="shared" si="276"/>
        <v>0</v>
      </c>
      <c r="P1657" s="1377">
        <f t="shared" si="277"/>
        <v>0</v>
      </c>
    </row>
    <row r="1658" spans="1:16" ht="15.5" outlineLevel="1">
      <c r="A1658" s="1450">
        <f t="shared" si="280"/>
        <v>16.2</v>
      </c>
      <c r="B1658" s="1452" t="str">
        <f t="shared" si="280"/>
        <v>Procurement of one rotor of Turbine driven BFP at 500MW BTPS, Bhusawal</v>
      </c>
      <c r="C1658" s="1475" t="str">
        <f t="shared" si="280"/>
        <v>MERC/CAPEX/2020-2021/WFO/SBR/49</v>
      </c>
      <c r="D1658" s="1473">
        <f t="shared" si="280"/>
        <v>44263</v>
      </c>
      <c r="E1658" s="1476">
        <f t="shared" si="280"/>
        <v>6.46</v>
      </c>
      <c r="F1658" s="1444">
        <f t="shared" si="271"/>
        <v>7.6135872999999998</v>
      </c>
      <c r="G1658" s="1444">
        <f t="shared" si="272"/>
        <v>7.6135872999999998</v>
      </c>
      <c r="H1658" s="1476">
        <f t="shared" si="273"/>
        <v>0</v>
      </c>
      <c r="I1658" s="1444">
        <v>0</v>
      </c>
      <c r="J1658" s="1444">
        <v>0</v>
      </c>
      <c r="K1658" s="1476"/>
      <c r="L1658" s="1476"/>
      <c r="M1658" s="1476">
        <f t="shared" si="278"/>
        <v>0</v>
      </c>
      <c r="N1658" s="1476">
        <f t="shared" si="275"/>
        <v>0</v>
      </c>
      <c r="O1658" s="1445">
        <f t="shared" si="276"/>
        <v>0</v>
      </c>
      <c r="P1658" s="1377">
        <f t="shared" si="277"/>
        <v>0</v>
      </c>
    </row>
    <row r="1659" spans="1:16" ht="15.5" outlineLevel="1">
      <c r="A1659" s="1450">
        <f t="shared" si="280"/>
        <v>0</v>
      </c>
      <c r="B1659" s="1452" t="str">
        <f t="shared" si="280"/>
        <v>IDC</v>
      </c>
      <c r="C1659" s="1475" t="str">
        <f t="shared" si="280"/>
        <v>MERC/CAPEX/2020-2021/WFO/SBR/49</v>
      </c>
      <c r="D1659" s="1473">
        <f t="shared" si="280"/>
        <v>44263</v>
      </c>
      <c r="E1659" s="1476">
        <f t="shared" si="280"/>
        <v>0.22</v>
      </c>
      <c r="F1659" s="1444">
        <f t="shared" si="271"/>
        <v>0</v>
      </c>
      <c r="G1659" s="1444">
        <f t="shared" si="272"/>
        <v>0</v>
      </c>
      <c r="H1659" s="1476">
        <f t="shared" si="273"/>
        <v>0</v>
      </c>
      <c r="I1659" s="1444">
        <v>0</v>
      </c>
      <c r="J1659" s="1444">
        <v>0</v>
      </c>
      <c r="K1659" s="1476"/>
      <c r="L1659" s="1476"/>
      <c r="M1659" s="1476">
        <f t="shared" si="278"/>
        <v>0</v>
      </c>
      <c r="N1659" s="1476">
        <f t="shared" si="275"/>
        <v>0</v>
      </c>
      <c r="O1659" s="1445">
        <f t="shared" si="276"/>
        <v>0</v>
      </c>
      <c r="P1659" s="1377">
        <f t="shared" si="277"/>
        <v>0</v>
      </c>
    </row>
    <row r="1660" spans="1:16" ht="31" outlineLevel="1">
      <c r="A1660" s="1440">
        <f t="shared" si="280"/>
        <v>17</v>
      </c>
      <c r="B1660" s="1441" t="str">
        <f t="shared" si="280"/>
        <v>CHP Improvement Schemes at 2X500MW, BTPS, Bhusawal</v>
      </c>
      <c r="C1660" s="1442" t="str">
        <f t="shared" si="280"/>
        <v>MERC/CAPEX/2020-2021/WFH/SBR/09</v>
      </c>
      <c r="D1660" s="1443">
        <f t="shared" si="280"/>
        <v>44357</v>
      </c>
      <c r="E1660" s="1444">
        <f t="shared" si="280"/>
        <v>21.22</v>
      </c>
      <c r="F1660" s="1444">
        <f t="shared" si="271"/>
        <v>0</v>
      </c>
      <c r="G1660" s="1444">
        <f t="shared" si="272"/>
        <v>0</v>
      </c>
      <c r="H1660" s="1444">
        <f t="shared" si="273"/>
        <v>0</v>
      </c>
      <c r="I1660" s="1444">
        <v>0</v>
      </c>
      <c r="J1660" s="1444">
        <v>0</v>
      </c>
      <c r="K1660" s="1444"/>
      <c r="L1660" s="1444"/>
      <c r="M1660" s="1444">
        <f t="shared" si="278"/>
        <v>0</v>
      </c>
      <c r="N1660" s="1444">
        <f t="shared" si="275"/>
        <v>0</v>
      </c>
      <c r="O1660" s="1445">
        <f t="shared" si="276"/>
        <v>0</v>
      </c>
      <c r="P1660" s="1377">
        <f t="shared" si="277"/>
        <v>0</v>
      </c>
    </row>
    <row r="1661" spans="1:16" ht="15.5" outlineLevel="1">
      <c r="A1661" s="1450">
        <f t="shared" si="280"/>
        <v>17.100000000000001</v>
      </c>
      <c r="B1661" s="1452" t="str">
        <f t="shared" si="280"/>
        <v>Revamping of Apron Feeder in CHP at 2X500MW, BTPS</v>
      </c>
      <c r="C1661" s="1475" t="str">
        <f t="shared" si="280"/>
        <v>MERC/CAPEX/2020-2021/WFH/SBR/09</v>
      </c>
      <c r="D1661" s="1473">
        <f t="shared" si="280"/>
        <v>44357</v>
      </c>
      <c r="E1661" s="1476">
        <f t="shared" si="280"/>
        <v>4.67</v>
      </c>
      <c r="F1661" s="1444">
        <f t="shared" si="271"/>
        <v>4.6492000000000004</v>
      </c>
      <c r="G1661" s="1444">
        <f t="shared" si="272"/>
        <v>4.6492000000000004</v>
      </c>
      <c r="H1661" s="1476">
        <f t="shared" si="273"/>
        <v>0</v>
      </c>
      <c r="I1661" s="1444">
        <v>0</v>
      </c>
      <c r="J1661" s="1444">
        <v>0</v>
      </c>
      <c r="K1661" s="1476"/>
      <c r="L1661" s="1476"/>
      <c r="M1661" s="1476">
        <f t="shared" si="278"/>
        <v>0</v>
      </c>
      <c r="N1661" s="1476">
        <f t="shared" si="275"/>
        <v>0</v>
      </c>
      <c r="O1661" s="1445">
        <f t="shared" si="276"/>
        <v>0</v>
      </c>
      <c r="P1661" s="1377">
        <f t="shared" si="277"/>
        <v>0</v>
      </c>
    </row>
    <row r="1662" spans="1:16" ht="31" outlineLevel="1">
      <c r="A1662" s="1450">
        <f t="shared" si="280"/>
        <v>17.2</v>
      </c>
      <c r="B1662" s="1452" t="str">
        <f t="shared" si="280"/>
        <v>Design, engineering, manufacturing, supply, Erection and commissioning of short conveyor from stack yard to belt feeder 112 in CHP 2x500MW BTPS.</v>
      </c>
      <c r="C1662" s="1475" t="str">
        <f t="shared" si="280"/>
        <v>MERC/CAPEX/2020-2021/WFH/SBR/09</v>
      </c>
      <c r="D1662" s="1473">
        <f t="shared" si="280"/>
        <v>44357</v>
      </c>
      <c r="E1662" s="1476">
        <f t="shared" si="280"/>
        <v>3.53</v>
      </c>
      <c r="F1662" s="1444">
        <f t="shared" si="271"/>
        <v>3.9647536259999998</v>
      </c>
      <c r="G1662" s="1444">
        <f t="shared" si="272"/>
        <v>3.9647536259999998</v>
      </c>
      <c r="H1662" s="1476">
        <f t="shared" si="273"/>
        <v>0</v>
      </c>
      <c r="I1662" s="1444">
        <v>0</v>
      </c>
      <c r="J1662" s="1444">
        <v>0</v>
      </c>
      <c r="K1662" s="1476"/>
      <c r="L1662" s="1476"/>
      <c r="M1662" s="1476">
        <f t="shared" si="278"/>
        <v>0</v>
      </c>
      <c r="N1662" s="1476">
        <f t="shared" si="275"/>
        <v>0</v>
      </c>
      <c r="O1662" s="1445">
        <f t="shared" si="276"/>
        <v>0</v>
      </c>
      <c r="P1662" s="1377">
        <f t="shared" si="277"/>
        <v>0</v>
      </c>
    </row>
    <row r="1663" spans="1:16" ht="31" outlineLevel="1">
      <c r="A1663" s="1450">
        <f t="shared" si="280"/>
        <v>17.3</v>
      </c>
      <c r="B1663" s="1452" t="str">
        <f t="shared" si="280"/>
        <v>Design, engineering, manufacturing, supply, Erection and commissioning of stone grappler at Wagon Tippler No.3 in CHP 2x500MW BTPS.</v>
      </c>
      <c r="C1663" s="1475" t="str">
        <f t="shared" si="280"/>
        <v>MERC/CAPEX/2020-2021/WFH/SBR/09</v>
      </c>
      <c r="D1663" s="1473">
        <f t="shared" si="280"/>
        <v>44357</v>
      </c>
      <c r="E1663" s="1476">
        <f t="shared" si="280"/>
        <v>0.84</v>
      </c>
      <c r="F1663" s="1444">
        <f t="shared" si="271"/>
        <v>0.84</v>
      </c>
      <c r="G1663" s="1444">
        <f t="shared" si="272"/>
        <v>0.84</v>
      </c>
      <c r="H1663" s="1476">
        <f t="shared" si="273"/>
        <v>0</v>
      </c>
      <c r="I1663" s="1444">
        <v>0</v>
      </c>
      <c r="J1663" s="1444">
        <v>0</v>
      </c>
      <c r="K1663" s="1476"/>
      <c r="L1663" s="1476"/>
      <c r="M1663" s="1476">
        <f t="shared" si="278"/>
        <v>0</v>
      </c>
      <c r="N1663" s="1476">
        <f t="shared" si="275"/>
        <v>0</v>
      </c>
      <c r="O1663" s="1445">
        <f t="shared" si="276"/>
        <v>0</v>
      </c>
      <c r="P1663" s="1377">
        <f t="shared" si="277"/>
        <v>0</v>
      </c>
    </row>
    <row r="1664" spans="1:16" ht="15.5" outlineLevel="1">
      <c r="A1664" s="1450">
        <f t="shared" si="280"/>
        <v>17.399999999999999</v>
      </c>
      <c r="B1664" s="1452" t="str">
        <f t="shared" si="280"/>
        <v>Procurement of suspended magnets in CHP 2x500MW BTPS.</v>
      </c>
      <c r="C1664" s="1475" t="str">
        <f t="shared" si="280"/>
        <v>MERC/CAPEX/2020-2021/WFH/SBR/09</v>
      </c>
      <c r="D1664" s="1473">
        <f t="shared" si="280"/>
        <v>44357</v>
      </c>
      <c r="E1664" s="1476">
        <f t="shared" si="280"/>
        <v>2.95</v>
      </c>
      <c r="F1664" s="1444">
        <f t="shared" si="271"/>
        <v>2.9470499999999999</v>
      </c>
      <c r="G1664" s="1444">
        <f t="shared" si="272"/>
        <v>2.9470499999999999</v>
      </c>
      <c r="H1664" s="1476">
        <f t="shared" si="273"/>
        <v>0</v>
      </c>
      <c r="I1664" s="1444">
        <v>0</v>
      </c>
      <c r="J1664" s="1444">
        <v>0</v>
      </c>
      <c r="K1664" s="1476"/>
      <c r="L1664" s="1476"/>
      <c r="M1664" s="1476">
        <f t="shared" si="278"/>
        <v>0</v>
      </c>
      <c r="N1664" s="1476">
        <f t="shared" si="275"/>
        <v>0</v>
      </c>
      <c r="O1664" s="1445">
        <f t="shared" si="276"/>
        <v>0</v>
      </c>
      <c r="P1664" s="1377">
        <f t="shared" si="277"/>
        <v>0</v>
      </c>
    </row>
    <row r="1665" spans="1:16" ht="31" outlineLevel="1">
      <c r="A1665" s="1450">
        <f t="shared" si="280"/>
        <v>17.5</v>
      </c>
      <c r="B1665" s="1452" t="str">
        <f t="shared" si="280"/>
        <v>Supply, Erection And Commissioning of Electro-Mechanical Drive to Apron Feeder at CHP 500MW</v>
      </c>
      <c r="C1665" s="1475" t="str">
        <f t="shared" si="280"/>
        <v>MERC/CAPEX/2020-2021/WFH/SBR/09</v>
      </c>
      <c r="D1665" s="1473">
        <f t="shared" si="280"/>
        <v>44357</v>
      </c>
      <c r="E1665" s="1476">
        <f t="shared" si="280"/>
        <v>7.57</v>
      </c>
      <c r="F1665" s="1444">
        <f t="shared" si="271"/>
        <v>7.57</v>
      </c>
      <c r="G1665" s="1444">
        <f t="shared" si="272"/>
        <v>0</v>
      </c>
      <c r="H1665" s="1476">
        <f t="shared" si="273"/>
        <v>7.57</v>
      </c>
      <c r="I1665" s="1444">
        <v>0</v>
      </c>
      <c r="J1665" s="1444">
        <v>0</v>
      </c>
      <c r="K1665" s="1476"/>
      <c r="L1665" s="1476"/>
      <c r="M1665" s="1476">
        <f t="shared" si="278"/>
        <v>0</v>
      </c>
      <c r="N1665" s="1476">
        <f t="shared" si="275"/>
        <v>7.57</v>
      </c>
      <c r="O1665" s="1445">
        <f t="shared" si="276"/>
        <v>0</v>
      </c>
      <c r="P1665" s="1377">
        <f t="shared" si="277"/>
        <v>0</v>
      </c>
    </row>
    <row r="1666" spans="1:16" ht="15.5" outlineLevel="1">
      <c r="A1666" s="1450">
        <f t="shared" si="280"/>
        <v>0</v>
      </c>
      <c r="B1666" s="1453" t="str">
        <f t="shared" si="280"/>
        <v>IDC</v>
      </c>
      <c r="C1666" s="1475" t="str">
        <f t="shared" si="280"/>
        <v>MERC/CAPEX/2020-2021/WFH/SBR/09</v>
      </c>
      <c r="D1666" s="1473">
        <f t="shared" si="280"/>
        <v>44357</v>
      </c>
      <c r="E1666" s="1476">
        <f t="shared" si="280"/>
        <v>1.66</v>
      </c>
      <c r="F1666" s="1444">
        <f t="shared" si="271"/>
        <v>6.7524100000000004E-2</v>
      </c>
      <c r="G1666" s="1444">
        <f t="shared" si="272"/>
        <v>6.7524100000000004E-2</v>
      </c>
      <c r="H1666" s="1476">
        <f t="shared" si="273"/>
        <v>0</v>
      </c>
      <c r="I1666" s="1444">
        <v>0</v>
      </c>
      <c r="J1666" s="1444">
        <v>0</v>
      </c>
      <c r="K1666" s="1476"/>
      <c r="L1666" s="1476"/>
      <c r="M1666" s="1476">
        <f t="shared" si="278"/>
        <v>0</v>
      </c>
      <c r="N1666" s="1476">
        <f t="shared" si="275"/>
        <v>0</v>
      </c>
      <c r="O1666" s="1445">
        <f t="shared" si="276"/>
        <v>0</v>
      </c>
      <c r="P1666" s="1377">
        <f t="shared" si="277"/>
        <v>0</v>
      </c>
    </row>
    <row r="1667" spans="1:16" ht="31" outlineLevel="1">
      <c r="A1667" s="1440" t="str">
        <f t="shared" si="280"/>
        <v>HO
DPR 6</v>
      </c>
      <c r="B1667" s="1441" t="str">
        <f t="shared" si="280"/>
        <v>Supply, Installation, Commissioning and Operation &amp; Maintenance Services of Continuous Ambient Air Quality Monitoring Stations (CAAQMS) at various TPS</v>
      </c>
      <c r="C1667" s="1442" t="str">
        <f t="shared" si="280"/>
        <v>MERC/CAPEX/20162017/00423</v>
      </c>
      <c r="D1667" s="1443">
        <f t="shared" si="280"/>
        <v>42585</v>
      </c>
      <c r="E1667" s="1444">
        <f t="shared" si="280"/>
        <v>3.9772580142857143</v>
      </c>
      <c r="F1667" s="1444">
        <f t="shared" si="271"/>
        <v>0</v>
      </c>
      <c r="G1667" s="1444">
        <f t="shared" si="272"/>
        <v>0</v>
      </c>
      <c r="H1667" s="1444">
        <f t="shared" si="273"/>
        <v>0</v>
      </c>
      <c r="I1667" s="1444">
        <v>0</v>
      </c>
      <c r="J1667" s="1444">
        <v>0</v>
      </c>
      <c r="K1667" s="1444"/>
      <c r="L1667" s="1444"/>
      <c r="M1667" s="1444">
        <f t="shared" si="278"/>
        <v>0</v>
      </c>
      <c r="N1667" s="1444">
        <f t="shared" si="275"/>
        <v>0</v>
      </c>
      <c r="O1667" s="1445">
        <f t="shared" si="276"/>
        <v>0</v>
      </c>
      <c r="P1667" s="1377">
        <f t="shared" si="277"/>
        <v>0</v>
      </c>
    </row>
    <row r="1668" spans="1:16" ht="15.5" outlineLevel="1">
      <c r="A1668" s="1450">
        <f t="shared" ref="A1668:E1683" si="281">A1438</f>
        <v>1</v>
      </c>
      <c r="B1668" s="1452" t="str">
        <f t="shared" si="281"/>
        <v>Bhusawal: Unit 4-5 (3 Nos.)</v>
      </c>
      <c r="C1668" s="1475" t="str">
        <f t="shared" si="281"/>
        <v>MERC/CAPEX/20162017/00423</v>
      </c>
      <c r="D1668" s="1473">
        <f t="shared" si="281"/>
        <v>42585</v>
      </c>
      <c r="E1668" s="1476">
        <f t="shared" si="281"/>
        <v>3.9772580142857143</v>
      </c>
      <c r="F1668" s="1444">
        <f t="shared" si="271"/>
        <v>1.9467999333333335</v>
      </c>
      <c r="G1668" s="1444">
        <f t="shared" si="272"/>
        <v>1.9457999143333333</v>
      </c>
      <c r="H1668" s="1476">
        <f t="shared" si="273"/>
        <v>1.0000190000001297E-3</v>
      </c>
      <c r="I1668" s="1444">
        <v>0</v>
      </c>
      <c r="J1668" s="1444">
        <v>0</v>
      </c>
      <c r="K1668" s="1476"/>
      <c r="L1668" s="1476"/>
      <c r="M1668" s="1476">
        <f t="shared" si="278"/>
        <v>0</v>
      </c>
      <c r="N1668" s="1476">
        <f t="shared" si="275"/>
        <v>1.0000190000001297E-3</v>
      </c>
      <c r="O1668" s="1445">
        <f t="shared" si="276"/>
        <v>0</v>
      </c>
      <c r="P1668" s="1377">
        <f t="shared" si="277"/>
        <v>0</v>
      </c>
    </row>
    <row r="1669" spans="1:16" ht="31" outlineLevel="1">
      <c r="A1669" s="1440" t="str">
        <f t="shared" si="281"/>
        <v>HO
DPR 7</v>
      </c>
      <c r="B1669" s="1441" t="str">
        <f t="shared" si="281"/>
        <v>Installation of Real Time Online Coal-Ash Analyzer at various TPS</v>
      </c>
      <c r="C1669" s="1442" t="str">
        <f t="shared" si="281"/>
        <v>MERC/CAPEX/20162017/00774</v>
      </c>
      <c r="D1669" s="1443">
        <f t="shared" si="281"/>
        <v>42643</v>
      </c>
      <c r="E1669" s="1444">
        <f t="shared" si="281"/>
        <v>4.0552000000000001</v>
      </c>
      <c r="F1669" s="1444">
        <f t="shared" si="271"/>
        <v>0</v>
      </c>
      <c r="G1669" s="1444">
        <f t="shared" si="272"/>
        <v>0</v>
      </c>
      <c r="H1669" s="1444">
        <f t="shared" si="273"/>
        <v>0</v>
      </c>
      <c r="I1669" s="1444">
        <v>0</v>
      </c>
      <c r="J1669" s="1444">
        <v>0</v>
      </c>
      <c r="K1669" s="1444"/>
      <c r="L1669" s="1444"/>
      <c r="M1669" s="1444">
        <f t="shared" si="278"/>
        <v>0</v>
      </c>
      <c r="N1669" s="1444">
        <f t="shared" si="275"/>
        <v>0</v>
      </c>
      <c r="O1669" s="1445">
        <f t="shared" si="276"/>
        <v>0</v>
      </c>
      <c r="P1669" s="1377">
        <f t="shared" si="277"/>
        <v>0</v>
      </c>
    </row>
    <row r="1670" spans="1:16" ht="15.5" outlineLevel="1">
      <c r="A1670" s="1450">
        <f t="shared" si="281"/>
        <v>1</v>
      </c>
      <c r="B1670" s="1452" t="str">
        <f t="shared" si="281"/>
        <v>Bhusawal: Unit 4-5</v>
      </c>
      <c r="C1670" s="1475" t="str">
        <f t="shared" si="281"/>
        <v>MERC/CAPEX/20162017/00774</v>
      </c>
      <c r="D1670" s="1473">
        <f t="shared" si="281"/>
        <v>42643</v>
      </c>
      <c r="E1670" s="1476">
        <f t="shared" si="281"/>
        <v>4.0552000000000001</v>
      </c>
      <c r="F1670" s="1444">
        <f t="shared" si="271"/>
        <v>0</v>
      </c>
      <c r="G1670" s="1444">
        <f t="shared" si="272"/>
        <v>0</v>
      </c>
      <c r="H1670" s="1476">
        <f t="shared" si="273"/>
        <v>0</v>
      </c>
      <c r="I1670" s="1444">
        <v>0</v>
      </c>
      <c r="J1670" s="1444">
        <v>0</v>
      </c>
      <c r="K1670" s="1476"/>
      <c r="L1670" s="1476"/>
      <c r="M1670" s="1476">
        <f t="shared" si="278"/>
        <v>0</v>
      </c>
      <c r="N1670" s="1476">
        <f t="shared" si="275"/>
        <v>0</v>
      </c>
      <c r="O1670" s="1445">
        <f t="shared" si="276"/>
        <v>0</v>
      </c>
      <c r="P1670" s="1377">
        <f t="shared" si="277"/>
        <v>0</v>
      </c>
    </row>
    <row r="1671" spans="1:16" ht="31" outlineLevel="1">
      <c r="A1671" s="1440" t="str">
        <f t="shared" si="281"/>
        <v>HO
DPR 8</v>
      </c>
      <c r="B1671" s="1441" t="str">
        <f t="shared" si="281"/>
        <v>Replacement of Fire Tenders at Various Power Stations of Mahagenco</v>
      </c>
      <c r="C1671" s="1442" t="str">
        <f t="shared" si="281"/>
        <v>MERC/CAPEX/20172018/4653</v>
      </c>
      <c r="D1671" s="1443">
        <f t="shared" si="281"/>
        <v>43052</v>
      </c>
      <c r="E1671" s="1444">
        <f t="shared" si="281"/>
        <v>3.95</v>
      </c>
      <c r="F1671" s="1444">
        <f t="shared" si="271"/>
        <v>0</v>
      </c>
      <c r="G1671" s="1444">
        <f t="shared" si="272"/>
        <v>0</v>
      </c>
      <c r="H1671" s="1444">
        <f t="shared" si="273"/>
        <v>0</v>
      </c>
      <c r="I1671" s="1444">
        <v>0</v>
      </c>
      <c r="J1671" s="1444">
        <v>0</v>
      </c>
      <c r="K1671" s="1444"/>
      <c r="L1671" s="1444"/>
      <c r="M1671" s="1444">
        <f t="shared" si="278"/>
        <v>0</v>
      </c>
      <c r="N1671" s="1444">
        <f t="shared" si="275"/>
        <v>0</v>
      </c>
      <c r="O1671" s="1445">
        <f t="shared" si="276"/>
        <v>0</v>
      </c>
      <c r="P1671" s="1377">
        <f t="shared" si="277"/>
        <v>0</v>
      </c>
    </row>
    <row r="1672" spans="1:16" ht="15.5" outlineLevel="1">
      <c r="A1672" s="1450">
        <f t="shared" si="281"/>
        <v>1</v>
      </c>
      <c r="B1672" s="1452" t="str">
        <f t="shared" si="281"/>
        <v>Advance Multipurpose Fire Tender for BTPS 4-5</v>
      </c>
      <c r="C1672" s="1477" t="str">
        <f t="shared" si="281"/>
        <v>MERC/CAPEX/20172018/4653</v>
      </c>
      <c r="D1672" s="1473">
        <f t="shared" si="281"/>
        <v>43052</v>
      </c>
      <c r="E1672" s="1476">
        <f t="shared" si="281"/>
        <v>1.45</v>
      </c>
      <c r="F1672" s="1444">
        <f t="shared" si="271"/>
        <v>1.7765</v>
      </c>
      <c r="G1672" s="1444">
        <f t="shared" si="272"/>
        <v>1.7765</v>
      </c>
      <c r="H1672" s="1476">
        <f t="shared" si="273"/>
        <v>0</v>
      </c>
      <c r="I1672" s="1444">
        <v>0</v>
      </c>
      <c r="J1672" s="1444">
        <v>0</v>
      </c>
      <c r="K1672" s="1476"/>
      <c r="L1672" s="1476"/>
      <c r="M1672" s="1476">
        <f t="shared" si="278"/>
        <v>0</v>
      </c>
      <c r="N1672" s="1476">
        <f t="shared" si="275"/>
        <v>0</v>
      </c>
      <c r="O1672" s="1445">
        <f t="shared" si="276"/>
        <v>0</v>
      </c>
      <c r="P1672" s="1377">
        <f t="shared" si="277"/>
        <v>0</v>
      </c>
    </row>
    <row r="1673" spans="1:16" ht="15.5" outlineLevel="1">
      <c r="A1673" s="1450">
        <f t="shared" si="281"/>
        <v>2</v>
      </c>
      <c r="B1673" s="1452" t="str">
        <f t="shared" si="281"/>
        <v>Normal Multipurpose Fire Tender for BTPS 4-5</v>
      </c>
      <c r="C1673" s="1477" t="str">
        <f t="shared" si="281"/>
        <v>MERC/CAPEX/20172018/4653</v>
      </c>
      <c r="D1673" s="1473">
        <f t="shared" si="281"/>
        <v>43052</v>
      </c>
      <c r="E1673" s="1476">
        <f t="shared" si="281"/>
        <v>2.5</v>
      </c>
      <c r="F1673" s="1444">
        <f t="shared" si="271"/>
        <v>2.1846524010000001</v>
      </c>
      <c r="G1673" s="1444">
        <f t="shared" si="272"/>
        <v>2.1846524010000001</v>
      </c>
      <c r="H1673" s="1476">
        <f t="shared" si="273"/>
        <v>0</v>
      </c>
      <c r="I1673" s="1444">
        <v>0</v>
      </c>
      <c r="J1673" s="1444">
        <v>0</v>
      </c>
      <c r="K1673" s="1476"/>
      <c r="L1673" s="1476"/>
      <c r="M1673" s="1476">
        <f t="shared" si="278"/>
        <v>0</v>
      </c>
      <c r="N1673" s="1476">
        <f t="shared" si="275"/>
        <v>0</v>
      </c>
      <c r="O1673" s="1445">
        <f t="shared" si="276"/>
        <v>0</v>
      </c>
      <c r="P1673" s="1377">
        <f t="shared" si="277"/>
        <v>0</v>
      </c>
    </row>
    <row r="1674" spans="1:16" ht="15.5" outlineLevel="1">
      <c r="A1674" s="1450">
        <f t="shared" si="281"/>
        <v>0</v>
      </c>
      <c r="B1674" s="1452" t="str">
        <f t="shared" si="281"/>
        <v>IDC</v>
      </c>
      <c r="C1674" s="1477" t="str">
        <f t="shared" si="281"/>
        <v>MERC/CAPEX/20172018/4653</v>
      </c>
      <c r="D1674" s="1473">
        <f t="shared" si="281"/>
        <v>43052</v>
      </c>
      <c r="E1674" s="1476">
        <f t="shared" si="281"/>
        <v>0</v>
      </c>
      <c r="F1674" s="1444">
        <f t="shared" si="271"/>
        <v>0</v>
      </c>
      <c r="G1674" s="1444">
        <f t="shared" si="272"/>
        <v>0</v>
      </c>
      <c r="H1674" s="1476">
        <f t="shared" si="273"/>
        <v>0</v>
      </c>
      <c r="I1674" s="1444">
        <v>0</v>
      </c>
      <c r="J1674" s="1444">
        <v>0</v>
      </c>
      <c r="K1674" s="1476"/>
      <c r="L1674" s="1476"/>
      <c r="M1674" s="1476">
        <f t="shared" si="278"/>
        <v>0</v>
      </c>
      <c r="N1674" s="1476">
        <f t="shared" si="275"/>
        <v>0</v>
      </c>
      <c r="O1674" s="1445">
        <f t="shared" si="276"/>
        <v>0</v>
      </c>
      <c r="P1674" s="1377">
        <f t="shared" si="277"/>
        <v>0</v>
      </c>
    </row>
    <row r="1675" spans="1:16" ht="31" outlineLevel="1">
      <c r="A1675" s="1440" t="str">
        <f t="shared" si="281"/>
        <v>HO
DPR 10</v>
      </c>
      <c r="B1675" s="1441" t="str">
        <f t="shared" si="281"/>
        <v>Implementation of IB recommendations- Civil works at various TPS of Mahagenco</v>
      </c>
      <c r="C1675" s="1442" t="str">
        <f t="shared" si="281"/>
        <v>MERC/CAPEX/20172018/0177</v>
      </c>
      <c r="D1675" s="1443">
        <f t="shared" si="281"/>
        <v>43137</v>
      </c>
      <c r="E1675" s="1444">
        <f t="shared" si="281"/>
        <v>10.065399999999999</v>
      </c>
      <c r="F1675" s="1444">
        <f t="shared" si="271"/>
        <v>0</v>
      </c>
      <c r="G1675" s="1444">
        <f t="shared" si="272"/>
        <v>0</v>
      </c>
      <c r="H1675" s="1444">
        <f t="shared" si="273"/>
        <v>0</v>
      </c>
      <c r="I1675" s="1444">
        <v>0</v>
      </c>
      <c r="J1675" s="1444">
        <v>0</v>
      </c>
      <c r="K1675" s="1444"/>
      <c r="L1675" s="1444"/>
      <c r="M1675" s="1444">
        <f t="shared" si="278"/>
        <v>0</v>
      </c>
      <c r="N1675" s="1444">
        <f t="shared" si="275"/>
        <v>0</v>
      </c>
      <c r="O1675" s="1445">
        <f t="shared" si="276"/>
        <v>0</v>
      </c>
      <c r="P1675" s="1377">
        <f t="shared" si="277"/>
        <v>0</v>
      </c>
    </row>
    <row r="1676" spans="1:16" ht="15.5" outlineLevel="1">
      <c r="A1676" s="1450">
        <f t="shared" si="281"/>
        <v>1</v>
      </c>
      <c r="B1676" s="1452" t="str">
        <f t="shared" si="281"/>
        <v>Bhusawal: Unit 4-5</v>
      </c>
      <c r="C1676" s="1478" t="str">
        <f t="shared" si="281"/>
        <v>MERC/CAPEX/20172018/0177</v>
      </c>
      <c r="D1676" s="1473">
        <f t="shared" si="281"/>
        <v>43137</v>
      </c>
      <c r="E1676" s="1476">
        <f t="shared" si="281"/>
        <v>10.065399999999999</v>
      </c>
      <c r="F1676" s="1444">
        <f t="shared" si="271"/>
        <v>9.1854371740000005</v>
      </c>
      <c r="G1676" s="1444">
        <f t="shared" si="272"/>
        <v>9.1836757359999996</v>
      </c>
      <c r="H1676" s="1476">
        <f t="shared" si="273"/>
        <v>1.7614380000008367E-3</v>
      </c>
      <c r="I1676" s="1444">
        <v>0</v>
      </c>
      <c r="J1676" s="1444">
        <v>0</v>
      </c>
      <c r="K1676" s="1476"/>
      <c r="L1676" s="1476"/>
      <c r="M1676" s="1476">
        <f t="shared" si="278"/>
        <v>0</v>
      </c>
      <c r="N1676" s="1476">
        <f t="shared" si="275"/>
        <v>1.7614380000008367E-3</v>
      </c>
      <c r="O1676" s="1445">
        <f t="shared" si="276"/>
        <v>0</v>
      </c>
      <c r="P1676" s="1377">
        <f t="shared" si="277"/>
        <v>0</v>
      </c>
    </row>
    <row r="1677" spans="1:16" ht="46.5" outlineLevel="1">
      <c r="A1677" s="1440">
        <f t="shared" si="281"/>
        <v>18</v>
      </c>
      <c r="B1677" s="1441" t="str">
        <f t="shared" si="281"/>
        <v>Procurement of assembly of baskets for Air Pre-heater of type 31.5 VIM 2000 (72° PA), Replacement of thermal insulation of Boiler, Ducts &amp; Steam Pipelines and Coal Mill Gear Box in 2x500MW at BTPS, Bhusawal</v>
      </c>
      <c r="C1677" s="1442" t="str">
        <f t="shared" si="281"/>
        <v>MERC/CAPEX/2021-2022/ SBR/ 15</v>
      </c>
      <c r="D1677" s="1443">
        <f t="shared" si="281"/>
        <v>44461</v>
      </c>
      <c r="E1677" s="1444">
        <f t="shared" si="281"/>
        <v>14.96</v>
      </c>
      <c r="F1677" s="1444">
        <f t="shared" si="271"/>
        <v>0</v>
      </c>
      <c r="G1677" s="1444">
        <f t="shared" si="272"/>
        <v>0</v>
      </c>
      <c r="H1677" s="1444">
        <f t="shared" si="273"/>
        <v>0</v>
      </c>
      <c r="I1677" s="1444">
        <v>0</v>
      </c>
      <c r="J1677" s="1444">
        <v>0</v>
      </c>
      <c r="K1677" s="1444"/>
      <c r="L1677" s="1444"/>
      <c r="M1677" s="1444">
        <f t="shared" si="278"/>
        <v>0</v>
      </c>
      <c r="N1677" s="1444">
        <f t="shared" si="275"/>
        <v>0</v>
      </c>
      <c r="O1677" s="1445">
        <f t="shared" si="276"/>
        <v>0</v>
      </c>
      <c r="P1677" s="1377">
        <f t="shared" si="277"/>
        <v>0</v>
      </c>
    </row>
    <row r="1678" spans="1:16" ht="31" outlineLevel="1">
      <c r="A1678" s="1314">
        <f t="shared" si="281"/>
        <v>18.100000000000001</v>
      </c>
      <c r="B1678" s="1447" t="str">
        <f t="shared" si="281"/>
        <v>Procurement of assembly of baskets for Air Preheater of type 31.5 VIM 2000 (72° PA) for Unit-4&amp;5</v>
      </c>
      <c r="C1678" s="1378" t="str">
        <f t="shared" si="281"/>
        <v>MERC/CAPEX/2021-2022/ SBR/ 15</v>
      </c>
      <c r="D1678" s="1473">
        <f t="shared" si="281"/>
        <v>44461</v>
      </c>
      <c r="E1678" s="305">
        <f t="shared" si="281"/>
        <v>5.53</v>
      </c>
      <c r="F1678" s="1444">
        <f t="shared" si="271"/>
        <v>8.4110399999999998</v>
      </c>
      <c r="G1678" s="1444">
        <f t="shared" si="272"/>
        <v>8.4110399999999998</v>
      </c>
      <c r="H1678" s="305">
        <f t="shared" si="273"/>
        <v>0</v>
      </c>
      <c r="I1678" s="1444">
        <v>0</v>
      </c>
      <c r="J1678" s="1444">
        <v>0</v>
      </c>
      <c r="K1678" s="305"/>
      <c r="L1678" s="305"/>
      <c r="M1678" s="305">
        <f t="shared" si="278"/>
        <v>0</v>
      </c>
      <c r="N1678" s="305">
        <f t="shared" si="275"/>
        <v>0</v>
      </c>
      <c r="O1678" s="1445">
        <f t="shared" si="276"/>
        <v>0</v>
      </c>
      <c r="P1678" s="1377">
        <f t="shared" si="277"/>
        <v>0</v>
      </c>
    </row>
    <row r="1679" spans="1:16" ht="31" outlineLevel="1">
      <c r="A1679" s="1450">
        <f t="shared" si="281"/>
        <v>18.2</v>
      </c>
      <c r="B1679" s="1452" t="str">
        <f t="shared" si="281"/>
        <v>Replacement of thermal insulation of Boiler, Ducts &amp; Steam Pipelines along with supply</v>
      </c>
      <c r="C1679" s="1378" t="str">
        <f t="shared" si="281"/>
        <v>MERC/CAPEX/2021-2022/ SBR/ 15</v>
      </c>
      <c r="D1679" s="1473">
        <f t="shared" si="281"/>
        <v>44461</v>
      </c>
      <c r="E1679" s="305">
        <f t="shared" si="281"/>
        <v>3.52</v>
      </c>
      <c r="F1679" s="1444">
        <f t="shared" si="271"/>
        <v>3.52</v>
      </c>
      <c r="G1679" s="1444">
        <f t="shared" si="272"/>
        <v>2</v>
      </c>
      <c r="H1679" s="305">
        <f t="shared" si="273"/>
        <v>1.52</v>
      </c>
      <c r="I1679" s="1444">
        <v>0</v>
      </c>
      <c r="J1679" s="1444">
        <v>0</v>
      </c>
      <c r="K1679" s="305"/>
      <c r="L1679" s="305"/>
      <c r="M1679" s="305">
        <f t="shared" si="278"/>
        <v>0</v>
      </c>
      <c r="N1679" s="305">
        <f t="shared" si="275"/>
        <v>1.52</v>
      </c>
      <c r="O1679" s="1445">
        <f t="shared" si="276"/>
        <v>0</v>
      </c>
      <c r="P1679" s="1377">
        <f t="shared" si="277"/>
        <v>0</v>
      </c>
    </row>
    <row r="1680" spans="1:16" ht="15.5" outlineLevel="1">
      <c r="A1680" s="1450">
        <f t="shared" si="281"/>
        <v>18.3</v>
      </c>
      <c r="B1680" s="1452" t="str">
        <f t="shared" si="281"/>
        <v>Supply of XRP-1043 coal mill gearbox spares in unit-4&amp;5.</v>
      </c>
      <c r="C1680" s="1378" t="str">
        <f t="shared" si="281"/>
        <v>MERC/CAPEX/2021-2022/ SBR/ 15</v>
      </c>
      <c r="D1680" s="1473">
        <f t="shared" si="281"/>
        <v>44461</v>
      </c>
      <c r="E1680" s="305">
        <f t="shared" si="281"/>
        <v>5.39</v>
      </c>
      <c r="F1680" s="1444">
        <f t="shared" si="271"/>
        <v>3.7043508740000002</v>
      </c>
      <c r="G1680" s="1444">
        <f t="shared" si="272"/>
        <v>3.7043509000000001</v>
      </c>
      <c r="H1680" s="305">
        <f t="shared" si="273"/>
        <v>-2.5999999930803597E-8</v>
      </c>
      <c r="I1680" s="1444">
        <v>0</v>
      </c>
      <c r="J1680" s="1444">
        <v>0</v>
      </c>
      <c r="K1680" s="305"/>
      <c r="L1680" s="305"/>
      <c r="M1680" s="305">
        <f t="shared" si="278"/>
        <v>0</v>
      </c>
      <c r="N1680" s="305">
        <f t="shared" si="275"/>
        <v>-2.5999999930803597E-8</v>
      </c>
      <c r="O1680" s="1445">
        <f t="shared" si="276"/>
        <v>0</v>
      </c>
      <c r="P1680" s="1377">
        <f t="shared" si="277"/>
        <v>0</v>
      </c>
    </row>
    <row r="1681" spans="1:16" ht="15.5" outlineLevel="1">
      <c r="A1681" s="1314">
        <f t="shared" si="281"/>
        <v>0</v>
      </c>
      <c r="B1681" s="1452" t="str">
        <f t="shared" si="281"/>
        <v>IDC</v>
      </c>
      <c r="C1681" s="1378" t="str">
        <f t="shared" si="281"/>
        <v>MERC/CAPEX/2021-2022/ SBR/ 15</v>
      </c>
      <c r="D1681" s="1473">
        <f t="shared" si="281"/>
        <v>44461</v>
      </c>
      <c r="E1681" s="305">
        <f t="shared" si="281"/>
        <v>0.52</v>
      </c>
      <c r="F1681" s="1444">
        <f t="shared" si="271"/>
        <v>0</v>
      </c>
      <c r="G1681" s="1444">
        <f t="shared" si="272"/>
        <v>0</v>
      </c>
      <c r="H1681" s="305">
        <f t="shared" si="273"/>
        <v>0</v>
      </c>
      <c r="I1681" s="1444">
        <v>0</v>
      </c>
      <c r="J1681" s="1444">
        <v>0</v>
      </c>
      <c r="K1681" s="305"/>
      <c r="L1681" s="305"/>
      <c r="M1681" s="305">
        <f t="shared" si="278"/>
        <v>0</v>
      </c>
      <c r="N1681" s="305">
        <f t="shared" si="275"/>
        <v>0</v>
      </c>
      <c r="O1681" s="1445">
        <f t="shared" si="276"/>
        <v>0</v>
      </c>
      <c r="P1681" s="1377">
        <f t="shared" si="277"/>
        <v>0</v>
      </c>
    </row>
    <row r="1682" spans="1:16" ht="46.5" outlineLevel="1">
      <c r="A1682" s="1440">
        <f t="shared" si="281"/>
        <v>19</v>
      </c>
      <c r="B1682" s="1441" t="str">
        <f t="shared" si="281"/>
        <v>Up-gradation of Operating System of Max DNA DCS, GE Fanuc PLC system &amp; Schneider PLC system &amp; Procurement of Critical Insurance spares for PA and FD fans System at 2 x 500 MW Units BTPS Bhusawal</v>
      </c>
      <c r="C1682" s="1442" t="str">
        <f t="shared" si="281"/>
        <v>MERC/CAPEX/2023-2024/0178</v>
      </c>
      <c r="D1682" s="1443">
        <f t="shared" si="281"/>
        <v>45362</v>
      </c>
      <c r="E1682" s="1444">
        <f t="shared" si="281"/>
        <v>31.049999999999997</v>
      </c>
      <c r="F1682" s="1444">
        <f t="shared" si="271"/>
        <v>0</v>
      </c>
      <c r="G1682" s="1444">
        <f t="shared" si="272"/>
        <v>0</v>
      </c>
      <c r="H1682" s="1444">
        <f t="shared" si="273"/>
        <v>0</v>
      </c>
      <c r="I1682" s="1444">
        <v>0</v>
      </c>
      <c r="J1682" s="1444">
        <v>0</v>
      </c>
      <c r="K1682" s="1444"/>
      <c r="L1682" s="1444"/>
      <c r="M1682" s="1444">
        <f t="shared" si="278"/>
        <v>0</v>
      </c>
      <c r="N1682" s="1444">
        <f t="shared" si="275"/>
        <v>0</v>
      </c>
      <c r="O1682" s="1445">
        <f t="shared" si="276"/>
        <v>0</v>
      </c>
      <c r="P1682" s="1377">
        <f t="shared" si="277"/>
        <v>0</v>
      </c>
    </row>
    <row r="1683" spans="1:16" ht="15.5" outlineLevel="1">
      <c r="A1683" s="1450">
        <f t="shared" si="281"/>
        <v>19.100000000000001</v>
      </c>
      <c r="B1683" s="1452" t="str">
        <f t="shared" si="281"/>
        <v>Up-gradation of Existing MaxDNA System (HMI) at 500MW BTPS, Bhusawal</v>
      </c>
      <c r="C1683" s="1378" t="str">
        <f t="shared" si="281"/>
        <v>MERC/CAPEX/2023-2024/0178</v>
      </c>
      <c r="D1683" s="1473">
        <f t="shared" si="281"/>
        <v>45362</v>
      </c>
      <c r="E1683" s="305">
        <f t="shared" si="281"/>
        <v>8.69</v>
      </c>
      <c r="F1683" s="1444">
        <f t="shared" si="271"/>
        <v>8.69</v>
      </c>
      <c r="G1683" s="1444">
        <f t="shared" si="272"/>
        <v>8.69</v>
      </c>
      <c r="H1683" s="305">
        <f t="shared" si="273"/>
        <v>0</v>
      </c>
      <c r="I1683" s="1444">
        <v>0</v>
      </c>
      <c r="J1683" s="1444">
        <v>0</v>
      </c>
      <c r="K1683" s="305"/>
      <c r="L1683" s="305"/>
      <c r="M1683" s="305">
        <f t="shared" si="278"/>
        <v>0</v>
      </c>
      <c r="N1683" s="305">
        <f t="shared" si="275"/>
        <v>0</v>
      </c>
      <c r="O1683" s="1445">
        <f t="shared" si="276"/>
        <v>0</v>
      </c>
      <c r="P1683" s="1377">
        <f t="shared" si="277"/>
        <v>0</v>
      </c>
    </row>
    <row r="1684" spans="1:16" ht="31" outlineLevel="1">
      <c r="A1684" s="1450">
        <f t="shared" ref="A1684:E1699" si="282">A1454</f>
        <v>19.2</v>
      </c>
      <c r="B1684" s="1452" t="str">
        <f t="shared" si="282"/>
        <v>Up-gradation of GE IP (GE-Fanuc) make PLC system (HMI) installed at AHP, CPU plant, FOPH, FWPH and Mill Reject system at 2x500MW BTPS, Bhusawal.</v>
      </c>
      <c r="C1684" s="1378" t="str">
        <f t="shared" si="282"/>
        <v>MERC/CAPEX/2023-2024/0178</v>
      </c>
      <c r="D1684" s="1473">
        <f t="shared" si="282"/>
        <v>45362</v>
      </c>
      <c r="E1684" s="305">
        <f t="shared" si="282"/>
        <v>1.35</v>
      </c>
      <c r="F1684" s="1444">
        <f t="shared" ref="F1684:F1747" si="283">F1454+I1454</f>
        <v>1.2948010000000001</v>
      </c>
      <c r="G1684" s="1444">
        <f t="shared" ref="G1684:G1747" si="284">G1454+M1454</f>
        <v>1.3538010199999999</v>
      </c>
      <c r="H1684" s="305">
        <f t="shared" ref="H1684:H1747" si="285">F1684-G1684</f>
        <v>-5.900001999999982E-2</v>
      </c>
      <c r="I1684" s="1444">
        <v>0</v>
      </c>
      <c r="J1684" s="1444">
        <v>0</v>
      </c>
      <c r="K1684" s="305"/>
      <c r="L1684" s="305"/>
      <c r="M1684" s="305">
        <f t="shared" si="278"/>
        <v>0</v>
      </c>
      <c r="N1684" s="305">
        <f t="shared" ref="N1684:N1747" si="286">H1684+I1684-M1684</f>
        <v>-5.900001999999982E-2</v>
      </c>
      <c r="O1684" s="1445">
        <f t="shared" ref="O1684:O1694" si="287">MAX(0,IF(M1684=0,0,IF(G1684+M1684&lt;E1684,M1684,E1684-G1684)))</f>
        <v>0</v>
      </c>
      <c r="P1684" s="1377">
        <f t="shared" ref="P1684:P1694" si="288">M1684-O1684</f>
        <v>0</v>
      </c>
    </row>
    <row r="1685" spans="1:16" ht="15.5" outlineLevel="1">
      <c r="A1685" s="1450">
        <f t="shared" si="282"/>
        <v>19.3</v>
      </c>
      <c r="B1685" s="1452" t="str">
        <f t="shared" si="282"/>
        <v>Up-gradation of Schneider PLC System at 2x500MW, BTPS, Bhusawal</v>
      </c>
      <c r="C1685" s="1442" t="str">
        <f t="shared" si="282"/>
        <v>MERC/CAPEX/2023-2024/0178</v>
      </c>
      <c r="D1685" s="1443">
        <f t="shared" si="282"/>
        <v>45362</v>
      </c>
      <c r="E1685" s="1444">
        <f t="shared" si="282"/>
        <v>2.33</v>
      </c>
      <c r="F1685" s="1444">
        <f t="shared" si="283"/>
        <v>2.3093444879999998</v>
      </c>
      <c r="G1685" s="1444">
        <f t="shared" si="284"/>
        <v>2.3093444879999998</v>
      </c>
      <c r="H1685" s="1444">
        <f t="shared" si="285"/>
        <v>0</v>
      </c>
      <c r="I1685" s="1444">
        <v>0</v>
      </c>
      <c r="J1685" s="1444">
        <v>0</v>
      </c>
      <c r="K1685" s="1444"/>
      <c r="L1685" s="1444"/>
      <c r="M1685" s="1444">
        <f t="shared" ref="M1685:M1694" si="289">SUM(J1685:L1685)</f>
        <v>0</v>
      </c>
      <c r="N1685" s="1444">
        <f t="shared" si="286"/>
        <v>0</v>
      </c>
      <c r="O1685" s="1445">
        <f t="shared" si="287"/>
        <v>0</v>
      </c>
      <c r="P1685" s="1377">
        <f t="shared" si="288"/>
        <v>0</v>
      </c>
    </row>
    <row r="1686" spans="1:16" ht="31" outlineLevel="1">
      <c r="A1686" s="1450">
        <f t="shared" si="282"/>
        <v>19.399999999999999</v>
      </c>
      <c r="B1686" s="1452" t="str">
        <f t="shared" si="282"/>
        <v>Procurement of Rotor assembly with blade set for PA and FD fan at 2 X 500 MW BTPS Bhusawal</v>
      </c>
      <c r="C1686" s="1475" t="str">
        <f t="shared" si="282"/>
        <v>MERC/CAPEX/2023-2024/0178</v>
      </c>
      <c r="D1686" s="1473">
        <f t="shared" si="282"/>
        <v>45362</v>
      </c>
      <c r="E1686" s="1476">
        <f t="shared" si="282"/>
        <v>18.18</v>
      </c>
      <c r="F1686" s="1444">
        <f t="shared" si="283"/>
        <v>16.16</v>
      </c>
      <c r="G1686" s="1444">
        <f t="shared" si="284"/>
        <v>16.16</v>
      </c>
      <c r="H1686" s="1476">
        <f t="shared" si="285"/>
        <v>0</v>
      </c>
      <c r="I1686" s="1444">
        <v>0</v>
      </c>
      <c r="J1686" s="1444">
        <v>0</v>
      </c>
      <c r="K1686" s="1476"/>
      <c r="L1686" s="1476"/>
      <c r="M1686" s="1476">
        <f t="shared" si="289"/>
        <v>0</v>
      </c>
      <c r="N1686" s="1476">
        <f t="shared" si="286"/>
        <v>0</v>
      </c>
      <c r="O1686" s="1445">
        <f t="shared" si="287"/>
        <v>0</v>
      </c>
      <c r="P1686" s="1377">
        <f t="shared" si="288"/>
        <v>0</v>
      </c>
    </row>
    <row r="1687" spans="1:16" ht="15.5" outlineLevel="1">
      <c r="A1687" s="1314">
        <f t="shared" si="282"/>
        <v>0</v>
      </c>
      <c r="B1687" s="1452" t="str">
        <f t="shared" si="282"/>
        <v>IDC</v>
      </c>
      <c r="C1687" s="1475" t="str">
        <f t="shared" si="282"/>
        <v>MERC/CAPEX/2023-2024/0178</v>
      </c>
      <c r="D1687" s="1473">
        <f t="shared" si="282"/>
        <v>45362</v>
      </c>
      <c r="E1687" s="1476">
        <f t="shared" si="282"/>
        <v>0.5</v>
      </c>
      <c r="F1687" s="1444">
        <f t="shared" si="283"/>
        <v>0.5</v>
      </c>
      <c r="G1687" s="1444">
        <f t="shared" si="284"/>
        <v>0.5</v>
      </c>
      <c r="H1687" s="1476">
        <f t="shared" si="285"/>
        <v>0</v>
      </c>
      <c r="I1687" s="1444">
        <v>0</v>
      </c>
      <c r="J1687" s="1444">
        <v>0</v>
      </c>
      <c r="K1687" s="1476"/>
      <c r="L1687" s="1476"/>
      <c r="M1687" s="1476">
        <f t="shared" si="289"/>
        <v>0</v>
      </c>
      <c r="N1687" s="1476">
        <f t="shared" si="286"/>
        <v>0</v>
      </c>
      <c r="O1687" s="1445">
        <f t="shared" si="287"/>
        <v>0</v>
      </c>
      <c r="P1687" s="1377">
        <f t="shared" si="288"/>
        <v>0</v>
      </c>
    </row>
    <row r="1688" spans="1:16" ht="31" outlineLevel="1">
      <c r="A1688" s="1440" t="str">
        <f t="shared" si="282"/>
        <v>HO
DPR 13</v>
      </c>
      <c r="B1688" s="1441" t="str">
        <f t="shared" si="282"/>
        <v>Construction of new Administrative Building for Mahagenco at Vidyut Bhawan, Katol Road, Nagpur</v>
      </c>
      <c r="C1688" s="1475" t="str">
        <f t="shared" si="282"/>
        <v>MERC/CAPEX/2021-2022/MSPGCL/063</v>
      </c>
      <c r="D1688" s="1473">
        <f t="shared" si="282"/>
        <v>44604</v>
      </c>
      <c r="E1688" s="1476">
        <f t="shared" si="282"/>
        <v>57</v>
      </c>
      <c r="F1688" s="1444">
        <f t="shared" si="283"/>
        <v>0</v>
      </c>
      <c r="G1688" s="1444">
        <f t="shared" si="284"/>
        <v>0</v>
      </c>
      <c r="H1688" s="1476">
        <f t="shared" si="285"/>
        <v>0</v>
      </c>
      <c r="I1688" s="1444">
        <v>0</v>
      </c>
      <c r="J1688" s="1444">
        <v>0</v>
      </c>
      <c r="K1688" s="1476"/>
      <c r="L1688" s="1476"/>
      <c r="M1688" s="1476">
        <f t="shared" si="289"/>
        <v>0</v>
      </c>
      <c r="N1688" s="1476">
        <f t="shared" si="286"/>
        <v>0</v>
      </c>
      <c r="O1688" s="1445">
        <f t="shared" si="287"/>
        <v>0</v>
      </c>
      <c r="P1688" s="1377">
        <f t="shared" si="288"/>
        <v>0</v>
      </c>
    </row>
    <row r="1689" spans="1:16" ht="31" outlineLevel="1">
      <c r="A1689" s="1446">
        <f t="shared" si="282"/>
        <v>1</v>
      </c>
      <c r="B1689" s="1447" t="str">
        <f t="shared" si="282"/>
        <v>Construction of new Administrative Building for Mahagenco at Vidyut Bhawan, Katol Road, Nagpur</v>
      </c>
      <c r="C1689" s="1475" t="str">
        <f t="shared" si="282"/>
        <v>MERC/CAPEX/2021-2022/MSPGCL/063</v>
      </c>
      <c r="D1689" s="1473">
        <f t="shared" si="282"/>
        <v>44604</v>
      </c>
      <c r="E1689" s="1476">
        <f t="shared" si="282"/>
        <v>54.24</v>
      </c>
      <c r="F1689" s="1444">
        <f t="shared" si="283"/>
        <v>0</v>
      </c>
      <c r="G1689" s="1444">
        <f t="shared" si="284"/>
        <v>0</v>
      </c>
      <c r="H1689" s="1476">
        <f t="shared" si="285"/>
        <v>0</v>
      </c>
      <c r="I1689" s="1444">
        <v>0</v>
      </c>
      <c r="J1689" s="1444">
        <v>0</v>
      </c>
      <c r="K1689" s="1476"/>
      <c r="L1689" s="1476"/>
      <c r="M1689" s="1476">
        <f t="shared" si="289"/>
        <v>0</v>
      </c>
      <c r="N1689" s="1476">
        <f t="shared" si="286"/>
        <v>0</v>
      </c>
      <c r="O1689" s="1445">
        <f t="shared" si="287"/>
        <v>0</v>
      </c>
      <c r="P1689" s="1377">
        <f t="shared" si="288"/>
        <v>0</v>
      </c>
    </row>
    <row r="1690" spans="1:16" ht="31" outlineLevel="1">
      <c r="A1690" s="1446">
        <f t="shared" si="282"/>
        <v>0</v>
      </c>
      <c r="B1690" s="1447" t="str">
        <f t="shared" si="282"/>
        <v>IDC</v>
      </c>
      <c r="C1690" s="1442" t="str">
        <f t="shared" si="282"/>
        <v>MERC/CAPEX/2021-2022/MSPGCL/063</v>
      </c>
      <c r="D1690" s="1443">
        <f t="shared" si="282"/>
        <v>44604</v>
      </c>
      <c r="E1690" s="1444">
        <f t="shared" si="282"/>
        <v>2.76</v>
      </c>
      <c r="F1690" s="1444">
        <f t="shared" si="283"/>
        <v>0</v>
      </c>
      <c r="G1690" s="1444">
        <f t="shared" si="284"/>
        <v>0</v>
      </c>
      <c r="H1690" s="1444">
        <f t="shared" si="285"/>
        <v>0</v>
      </c>
      <c r="I1690" s="1444">
        <v>0</v>
      </c>
      <c r="J1690" s="1444">
        <v>0</v>
      </c>
      <c r="K1690" s="1444"/>
      <c r="L1690" s="1444"/>
      <c r="M1690" s="1444">
        <f t="shared" si="289"/>
        <v>0</v>
      </c>
      <c r="N1690" s="1444">
        <f t="shared" si="286"/>
        <v>0</v>
      </c>
      <c r="O1690" s="1445">
        <f t="shared" si="287"/>
        <v>0</v>
      </c>
      <c r="P1690" s="1377">
        <f t="shared" si="288"/>
        <v>0</v>
      </c>
    </row>
    <row r="1691" spans="1:16" ht="31" outlineLevel="1">
      <c r="A1691" s="1440" t="str">
        <f t="shared" si="282"/>
        <v>HO
DPR 16</v>
      </c>
      <c r="B1691" s="1441" t="str">
        <f t="shared" si="282"/>
        <v>Centralized Monitoring Solution</v>
      </c>
      <c r="C1691" s="1475" t="str">
        <f t="shared" si="282"/>
        <v>MERC/CAPEX/MSPGCL/2023-24/0576</v>
      </c>
      <c r="D1691" s="1473">
        <f t="shared" si="282"/>
        <v>45232</v>
      </c>
      <c r="E1691" s="1476">
        <f t="shared" si="282"/>
        <v>69.308999999999997</v>
      </c>
      <c r="F1691" s="1444">
        <f t="shared" si="283"/>
        <v>0</v>
      </c>
      <c r="G1691" s="1444">
        <f t="shared" si="284"/>
        <v>0</v>
      </c>
      <c r="H1691" s="1476">
        <f t="shared" si="285"/>
        <v>0</v>
      </c>
      <c r="I1691" s="1444">
        <v>0</v>
      </c>
      <c r="J1691" s="1444">
        <v>0</v>
      </c>
      <c r="K1691" s="1476"/>
      <c r="L1691" s="1476"/>
      <c r="M1691" s="1476">
        <f t="shared" si="289"/>
        <v>0</v>
      </c>
      <c r="N1691" s="1476">
        <f t="shared" si="286"/>
        <v>0</v>
      </c>
      <c r="O1691" s="1445">
        <f t="shared" si="287"/>
        <v>0</v>
      </c>
      <c r="P1691" s="1377">
        <f t="shared" si="288"/>
        <v>0</v>
      </c>
    </row>
    <row r="1692" spans="1:16" ht="15.5" outlineLevel="1">
      <c r="A1692" s="1446">
        <f t="shared" si="282"/>
        <v>1</v>
      </c>
      <c r="B1692" s="1447" t="str">
        <f t="shared" si="282"/>
        <v>Centralized Monitoring Solution</v>
      </c>
      <c r="C1692" s="1475" t="str">
        <f t="shared" si="282"/>
        <v>MERC/CAPEX/MSPGCL/2023-24/0576</v>
      </c>
      <c r="D1692" s="1473">
        <f t="shared" si="282"/>
        <v>45232</v>
      </c>
      <c r="E1692" s="1476">
        <f t="shared" si="282"/>
        <v>66.009</v>
      </c>
      <c r="F1692" s="1444">
        <f t="shared" si="283"/>
        <v>0</v>
      </c>
      <c r="G1692" s="1444">
        <f t="shared" si="284"/>
        <v>0</v>
      </c>
      <c r="H1692" s="1476">
        <f t="shared" si="285"/>
        <v>0</v>
      </c>
      <c r="I1692" s="1444">
        <v>0</v>
      </c>
      <c r="J1692" s="1444">
        <v>0</v>
      </c>
      <c r="K1692" s="1476"/>
      <c r="L1692" s="1476"/>
      <c r="M1692" s="1476">
        <f t="shared" si="289"/>
        <v>0</v>
      </c>
      <c r="N1692" s="1476">
        <f t="shared" si="286"/>
        <v>0</v>
      </c>
      <c r="O1692" s="1445">
        <f t="shared" si="287"/>
        <v>0</v>
      </c>
      <c r="P1692" s="1377">
        <f t="shared" si="288"/>
        <v>0</v>
      </c>
    </row>
    <row r="1693" spans="1:16" ht="15.5" outlineLevel="1">
      <c r="A1693" s="1446">
        <f t="shared" si="282"/>
        <v>0</v>
      </c>
      <c r="B1693" s="1447" t="str">
        <f t="shared" si="282"/>
        <v>IDC</v>
      </c>
      <c r="C1693" s="1475" t="str">
        <f t="shared" si="282"/>
        <v>MERC/CAPEX/MSPGCL/2023-24/0576</v>
      </c>
      <c r="D1693" s="1473">
        <f t="shared" si="282"/>
        <v>45232</v>
      </c>
      <c r="E1693" s="1476">
        <f t="shared" si="282"/>
        <v>3.3</v>
      </c>
      <c r="F1693" s="1444">
        <f t="shared" si="283"/>
        <v>0</v>
      </c>
      <c r="G1693" s="1444">
        <f t="shared" si="284"/>
        <v>0</v>
      </c>
      <c r="H1693" s="1476">
        <f t="shared" si="285"/>
        <v>0</v>
      </c>
      <c r="I1693" s="1444">
        <v>0</v>
      </c>
      <c r="J1693" s="1444">
        <v>0</v>
      </c>
      <c r="K1693" s="1476"/>
      <c r="L1693" s="1476"/>
      <c r="M1693" s="1476">
        <f t="shared" si="289"/>
        <v>0</v>
      </c>
      <c r="N1693" s="1476">
        <f t="shared" si="286"/>
        <v>0</v>
      </c>
      <c r="O1693" s="1445">
        <f t="shared" si="287"/>
        <v>0</v>
      </c>
      <c r="P1693" s="1377">
        <f t="shared" si="288"/>
        <v>0</v>
      </c>
    </row>
    <row r="1694" spans="1:16" ht="31" outlineLevel="1">
      <c r="A1694" s="1440">
        <f t="shared" si="282"/>
        <v>20</v>
      </c>
      <c r="B1694" s="1441" t="str">
        <f t="shared" si="282"/>
        <v>Improvement of Loadability and Availability of Coal Handling Plant at BTPS, Bhusawal</v>
      </c>
      <c r="C1694" s="1475" t="str">
        <f t="shared" si="282"/>
        <v>MERC/CAPEX/MSPGCL/2024-25/0309</v>
      </c>
      <c r="D1694" s="1473">
        <f t="shared" si="282"/>
        <v>45429</v>
      </c>
      <c r="E1694" s="1476">
        <f t="shared" si="282"/>
        <v>0</v>
      </c>
      <c r="F1694" s="1444">
        <f t="shared" si="283"/>
        <v>0</v>
      </c>
      <c r="G1694" s="1444">
        <f t="shared" si="284"/>
        <v>0</v>
      </c>
      <c r="H1694" s="1476">
        <f t="shared" si="285"/>
        <v>0</v>
      </c>
      <c r="I1694" s="1444">
        <v>0</v>
      </c>
      <c r="J1694" s="1444">
        <v>0</v>
      </c>
      <c r="K1694" s="1476"/>
      <c r="L1694" s="1476"/>
      <c r="M1694" s="1476">
        <f t="shared" si="289"/>
        <v>0</v>
      </c>
      <c r="N1694" s="1476">
        <f t="shared" si="286"/>
        <v>0</v>
      </c>
      <c r="O1694" s="1445">
        <f t="shared" si="287"/>
        <v>0</v>
      </c>
      <c r="P1694" s="1377">
        <f t="shared" si="288"/>
        <v>0</v>
      </c>
    </row>
    <row r="1695" spans="1:16" ht="46.5" outlineLevel="1">
      <c r="A1695" s="1446">
        <f t="shared" si="282"/>
        <v>20.100000000000001</v>
      </c>
      <c r="B1695" s="1447" t="str">
        <f t="shared" si="282"/>
        <v>Scheme-1:-Design Engineering, Supply, Erection, commissioning, Extension of travel Length &amp; Capacity Enhancement of coal yard with additional drive system of stacker reclaimer conveyor No. 110 at in coal handling Plant BTPS.</v>
      </c>
      <c r="C1695" s="1475" t="str">
        <f t="shared" si="282"/>
        <v>MERC/CAPEX/MSPGCL/2024-25/0309</v>
      </c>
      <c r="D1695" s="1473">
        <f t="shared" si="282"/>
        <v>45429</v>
      </c>
      <c r="E1695" s="1476">
        <f t="shared" si="282"/>
        <v>14.27</v>
      </c>
      <c r="F1695" s="1444">
        <f t="shared" si="283"/>
        <v>14.27</v>
      </c>
      <c r="G1695" s="1444">
        <f t="shared" si="284"/>
        <v>14.27</v>
      </c>
      <c r="H1695" s="1476">
        <f t="shared" si="285"/>
        <v>0</v>
      </c>
      <c r="I1695" s="1444">
        <v>0</v>
      </c>
      <c r="J1695" s="1444">
        <v>0</v>
      </c>
      <c r="K1695" s="1476"/>
      <c r="L1695" s="1476"/>
      <c r="M1695" s="1476">
        <f t="shared" ref="M1695:M1758" si="290">SUM(J1695:L1695)</f>
        <v>0</v>
      </c>
      <c r="N1695" s="1476">
        <f t="shared" si="286"/>
        <v>0</v>
      </c>
      <c r="O1695" s="1445"/>
      <c r="P1695" s="1377"/>
    </row>
    <row r="1696" spans="1:16" ht="31" outlineLevel="1">
      <c r="A1696" s="1446">
        <f t="shared" si="282"/>
        <v>20.2</v>
      </c>
      <c r="B1696" s="1447" t="str">
        <f t="shared" si="282"/>
        <v>Scheme-2:-Design, Engineering, Rectification, Erection &amp; Commissioning of Z point at Conveyor 108A &amp; B at CHP-500MW.</v>
      </c>
      <c r="C1696" s="1475" t="str">
        <f t="shared" si="282"/>
        <v>MERC/CAPEX/MSPGCL/2024-25/0309</v>
      </c>
      <c r="D1696" s="1473">
        <f t="shared" si="282"/>
        <v>45429</v>
      </c>
      <c r="E1696" s="1476">
        <f t="shared" si="282"/>
        <v>8.18</v>
      </c>
      <c r="F1696" s="1444">
        <f t="shared" si="283"/>
        <v>8.18</v>
      </c>
      <c r="G1696" s="1444">
        <f t="shared" si="284"/>
        <v>8.18</v>
      </c>
      <c r="H1696" s="1476">
        <f t="shared" si="285"/>
        <v>0</v>
      </c>
      <c r="I1696" s="1444">
        <v>0</v>
      </c>
      <c r="J1696" s="1444">
        <v>0</v>
      </c>
      <c r="K1696" s="1476"/>
      <c r="L1696" s="1476"/>
      <c r="M1696" s="1476">
        <f t="shared" si="290"/>
        <v>0</v>
      </c>
      <c r="N1696" s="1476">
        <f t="shared" si="286"/>
        <v>0</v>
      </c>
      <c r="O1696" s="1445"/>
      <c r="P1696" s="1377"/>
    </row>
    <row r="1697" spans="1:16" ht="31" outlineLevel="1">
      <c r="A1697" s="1446">
        <f t="shared" si="282"/>
        <v>20.3</v>
      </c>
      <c r="B1697" s="1447" t="str">
        <f t="shared" si="282"/>
        <v>Scheme-3:-Design, Engineering and provision of material lifting arrangement for crusher floor, wobbler feeder  &amp; C-105 floor In CHP BTPS.</v>
      </c>
      <c r="C1697" s="1475" t="str">
        <f t="shared" si="282"/>
        <v>MERC/CAPEX/MSPGCL/2024-25/0309</v>
      </c>
      <c r="D1697" s="1473">
        <f t="shared" si="282"/>
        <v>45429</v>
      </c>
      <c r="E1697" s="1476">
        <f t="shared" si="282"/>
        <v>1.88</v>
      </c>
      <c r="F1697" s="1444">
        <f t="shared" si="283"/>
        <v>1.88</v>
      </c>
      <c r="G1697" s="1444">
        <f t="shared" si="284"/>
        <v>1.88</v>
      </c>
      <c r="H1697" s="1476">
        <f t="shared" si="285"/>
        <v>0</v>
      </c>
      <c r="I1697" s="1444">
        <v>0</v>
      </c>
      <c r="J1697" s="1444">
        <v>0</v>
      </c>
      <c r="K1697" s="1476"/>
      <c r="L1697" s="1476"/>
      <c r="M1697" s="1476">
        <f t="shared" si="290"/>
        <v>0</v>
      </c>
      <c r="N1697" s="1476">
        <f t="shared" si="286"/>
        <v>0</v>
      </c>
      <c r="O1697" s="1445"/>
      <c r="P1697" s="1377"/>
    </row>
    <row r="1698" spans="1:16" ht="31" outlineLevel="1">
      <c r="A1698" s="1446">
        <f t="shared" si="282"/>
        <v>20.399999999999999</v>
      </c>
      <c r="B1698" s="1447" t="str">
        <f t="shared" si="282"/>
        <v>Scheme-4:-Structural up-gradation and rehabilitation of reversible yard conveyor in coal handling plant.</v>
      </c>
      <c r="C1698" s="1475" t="str">
        <f t="shared" si="282"/>
        <v>MERC/CAPEX/MSPGCL/2024-25/0309</v>
      </c>
      <c r="D1698" s="1473">
        <f t="shared" si="282"/>
        <v>45429</v>
      </c>
      <c r="E1698" s="1476">
        <f t="shared" si="282"/>
        <v>4.21</v>
      </c>
      <c r="F1698" s="1444">
        <f t="shared" si="283"/>
        <v>4.21</v>
      </c>
      <c r="G1698" s="1444">
        <f t="shared" si="284"/>
        <v>4.21</v>
      </c>
      <c r="H1698" s="1476">
        <f t="shared" si="285"/>
        <v>0</v>
      </c>
      <c r="I1698" s="1444">
        <v>0</v>
      </c>
      <c r="J1698" s="1444">
        <v>0</v>
      </c>
      <c r="K1698" s="1476"/>
      <c r="L1698" s="1476"/>
      <c r="M1698" s="1476">
        <f t="shared" si="290"/>
        <v>0</v>
      </c>
      <c r="N1698" s="1476">
        <f t="shared" si="286"/>
        <v>0</v>
      </c>
      <c r="O1698" s="1445"/>
      <c r="P1698" s="1377"/>
    </row>
    <row r="1699" spans="1:16" ht="31" outlineLevel="1">
      <c r="A1699" s="1446">
        <f t="shared" si="282"/>
        <v>20.5</v>
      </c>
      <c r="B1699" s="1447" t="str">
        <f t="shared" si="282"/>
        <v>Scheme-5:-Design, Engineering, Erection and commissioning of Receiving and discharge chutes of wobbler feeders in CHP BTPS.</v>
      </c>
      <c r="C1699" s="1475" t="str">
        <f t="shared" si="282"/>
        <v>MERC/CAPEX/MSPGCL/2024-25/0309</v>
      </c>
      <c r="D1699" s="1473">
        <f t="shared" si="282"/>
        <v>45429</v>
      </c>
      <c r="E1699" s="1476">
        <f t="shared" si="282"/>
        <v>6.25</v>
      </c>
      <c r="F1699" s="1444">
        <f t="shared" si="283"/>
        <v>6.25</v>
      </c>
      <c r="G1699" s="1444">
        <f t="shared" si="284"/>
        <v>6.25</v>
      </c>
      <c r="H1699" s="1476">
        <f t="shared" si="285"/>
        <v>0</v>
      </c>
      <c r="I1699" s="1444">
        <v>0</v>
      </c>
      <c r="J1699" s="1444">
        <v>0</v>
      </c>
      <c r="K1699" s="1476"/>
      <c r="L1699" s="1476"/>
      <c r="M1699" s="1476">
        <f t="shared" si="290"/>
        <v>0</v>
      </c>
      <c r="N1699" s="1476">
        <f t="shared" si="286"/>
        <v>0</v>
      </c>
      <c r="O1699" s="1445"/>
      <c r="P1699" s="1377"/>
    </row>
    <row r="1700" spans="1:16" ht="15.5" outlineLevel="1">
      <c r="A1700" s="1446">
        <f t="shared" ref="A1700:E1715" si="291">A1470</f>
        <v>20.6</v>
      </c>
      <c r="B1700" s="1447" t="str">
        <f t="shared" si="291"/>
        <v>Scheme-6: Procurement of 3 Nos. of Bulldozers at BTPS, Bhusawal.</v>
      </c>
      <c r="C1700" s="1475" t="str">
        <f t="shared" si="291"/>
        <v>MERC/CAPEX/MSPGCL/2024-25/0309</v>
      </c>
      <c r="D1700" s="1473">
        <f t="shared" si="291"/>
        <v>45429</v>
      </c>
      <c r="E1700" s="1476">
        <f t="shared" si="291"/>
        <v>7.35</v>
      </c>
      <c r="F1700" s="1444">
        <f t="shared" si="283"/>
        <v>7.35</v>
      </c>
      <c r="G1700" s="1444">
        <f t="shared" si="284"/>
        <v>7.35</v>
      </c>
      <c r="H1700" s="1476">
        <f t="shared" si="285"/>
        <v>0</v>
      </c>
      <c r="I1700" s="1444">
        <v>0</v>
      </c>
      <c r="J1700" s="1444">
        <v>0</v>
      </c>
      <c r="K1700" s="1476"/>
      <c r="L1700" s="1476"/>
      <c r="M1700" s="1476">
        <f t="shared" si="290"/>
        <v>0</v>
      </c>
      <c r="N1700" s="1476">
        <f t="shared" si="286"/>
        <v>0</v>
      </c>
      <c r="O1700" s="1445"/>
      <c r="P1700" s="1377"/>
    </row>
    <row r="1701" spans="1:16" ht="15.5" outlineLevel="1">
      <c r="A1701" s="1446">
        <f t="shared" si="291"/>
        <v>0</v>
      </c>
      <c r="B1701" s="1447" t="str">
        <f t="shared" si="291"/>
        <v>IDC</v>
      </c>
      <c r="C1701" s="1475">
        <f t="shared" si="291"/>
        <v>0</v>
      </c>
      <c r="D1701" s="1473" t="str">
        <f t="shared" si="291"/>
        <v>-</v>
      </c>
      <c r="E1701" s="1476">
        <f t="shared" si="291"/>
        <v>0</v>
      </c>
      <c r="F1701" s="1444">
        <f t="shared" si="283"/>
        <v>0.42</v>
      </c>
      <c r="G1701" s="1444">
        <f t="shared" si="284"/>
        <v>0.42</v>
      </c>
      <c r="H1701" s="1476">
        <f t="shared" si="285"/>
        <v>0</v>
      </c>
      <c r="I1701" s="1444">
        <v>0</v>
      </c>
      <c r="J1701" s="1444">
        <v>0</v>
      </c>
      <c r="K1701" s="1476"/>
      <c r="L1701" s="1476"/>
      <c r="M1701" s="1476">
        <f t="shared" si="290"/>
        <v>0</v>
      </c>
      <c r="N1701" s="1476">
        <f t="shared" si="286"/>
        <v>0</v>
      </c>
      <c r="O1701" s="1445"/>
      <c r="P1701" s="1377"/>
    </row>
    <row r="1702" spans="1:16" ht="15.5" outlineLevel="1">
      <c r="A1702" s="1440">
        <f t="shared" si="291"/>
        <v>21</v>
      </c>
      <c r="B1702" s="1441" t="str">
        <f t="shared" si="291"/>
        <v>Performance Improvement of Coal Handling Plant at BTPS-U4 &amp; 5, Bhusawal</v>
      </c>
      <c r="C1702" s="1475" t="str">
        <f t="shared" si="291"/>
        <v>MERC/CAPEX/MSPGCL/2024-25/0310</v>
      </c>
      <c r="D1702" s="1473" t="str">
        <f t="shared" si="291"/>
        <v>-</v>
      </c>
      <c r="E1702" s="1476">
        <f t="shared" si="291"/>
        <v>0</v>
      </c>
      <c r="F1702" s="1444">
        <f t="shared" si="283"/>
        <v>0</v>
      </c>
      <c r="G1702" s="1444">
        <f t="shared" si="284"/>
        <v>0</v>
      </c>
      <c r="H1702" s="1476">
        <f t="shared" si="285"/>
        <v>0</v>
      </c>
      <c r="I1702" s="1444">
        <v>0</v>
      </c>
      <c r="J1702" s="1444">
        <v>0</v>
      </c>
      <c r="K1702" s="1476"/>
      <c r="L1702" s="1476"/>
      <c r="M1702" s="1476">
        <f t="shared" si="290"/>
        <v>0</v>
      </c>
      <c r="N1702" s="1476">
        <f t="shared" si="286"/>
        <v>0</v>
      </c>
      <c r="O1702" s="1445"/>
      <c r="P1702" s="1377"/>
    </row>
    <row r="1703" spans="1:16" ht="31" outlineLevel="1">
      <c r="A1703" s="1446">
        <f t="shared" si="291"/>
        <v>21.1</v>
      </c>
      <c r="B1703" s="1447" t="str">
        <f t="shared" si="291"/>
        <v>Scheme-1: Revamping, Modification of Gravity take-up and Drive Augmentation of Bunkering conveyor in CHP BTPS</v>
      </c>
      <c r="C1703" s="1475" t="str">
        <f t="shared" si="291"/>
        <v>MERC/CAPEX/MSPGCL/2024-25/0310</v>
      </c>
      <c r="D1703" s="1473">
        <f t="shared" si="291"/>
        <v>45429</v>
      </c>
      <c r="E1703" s="1476">
        <f t="shared" si="291"/>
        <v>11.35</v>
      </c>
      <c r="F1703" s="1444">
        <f t="shared" si="283"/>
        <v>11.35</v>
      </c>
      <c r="G1703" s="1444">
        <f t="shared" si="284"/>
        <v>11.35</v>
      </c>
      <c r="H1703" s="1476">
        <f t="shared" si="285"/>
        <v>0</v>
      </c>
      <c r="I1703" s="1444">
        <v>0</v>
      </c>
      <c r="J1703" s="1444">
        <v>0</v>
      </c>
      <c r="K1703" s="1476"/>
      <c r="L1703" s="1476"/>
      <c r="M1703" s="1476">
        <f t="shared" si="290"/>
        <v>0</v>
      </c>
      <c r="N1703" s="1476">
        <f t="shared" si="286"/>
        <v>0</v>
      </c>
      <c r="O1703" s="1445"/>
      <c r="P1703" s="1377"/>
    </row>
    <row r="1704" spans="1:16" ht="15.5" outlineLevel="1">
      <c r="A1704" s="1446">
        <f t="shared" si="291"/>
        <v>21.2</v>
      </c>
      <c r="B1704" s="1447" t="str">
        <f t="shared" si="291"/>
        <v>Scheme-2: Revamping of coal diverting chutes in CHP 2x500 MW BTPS</v>
      </c>
      <c r="C1704" s="1475" t="str">
        <f t="shared" si="291"/>
        <v>MERC/CAPEX/MSPGCL/2024-25/0310</v>
      </c>
      <c r="D1704" s="1473">
        <f t="shared" si="291"/>
        <v>45429</v>
      </c>
      <c r="E1704" s="1476">
        <f t="shared" si="291"/>
        <v>5.73</v>
      </c>
      <c r="F1704" s="1444">
        <f t="shared" si="283"/>
        <v>5.73</v>
      </c>
      <c r="G1704" s="1444">
        <f t="shared" si="284"/>
        <v>5.73</v>
      </c>
      <c r="H1704" s="1476">
        <f t="shared" si="285"/>
        <v>0</v>
      </c>
      <c r="I1704" s="1444">
        <v>0</v>
      </c>
      <c r="J1704" s="1444">
        <v>0</v>
      </c>
      <c r="K1704" s="1476"/>
      <c r="L1704" s="1476"/>
      <c r="M1704" s="1476">
        <f t="shared" si="290"/>
        <v>0</v>
      </c>
      <c r="N1704" s="1476">
        <f t="shared" si="286"/>
        <v>0</v>
      </c>
      <c r="O1704" s="1445"/>
      <c r="P1704" s="1377"/>
    </row>
    <row r="1705" spans="1:16" ht="31" outlineLevel="1">
      <c r="A1705" s="1446">
        <f t="shared" si="291"/>
        <v>21.3</v>
      </c>
      <c r="B1705" s="1447" t="str">
        <f t="shared" si="291"/>
        <v>Scheme-3: Revamping and structural augmentation of Reversible feeder conveyors in CHP-BTPS.</v>
      </c>
      <c r="C1705" s="1475" t="str">
        <f t="shared" si="291"/>
        <v>MERC/CAPEX/MSPGCL/2024-25/0310</v>
      </c>
      <c r="D1705" s="1473">
        <f t="shared" si="291"/>
        <v>45429</v>
      </c>
      <c r="E1705" s="1476">
        <f t="shared" si="291"/>
        <v>1.77</v>
      </c>
      <c r="F1705" s="1444">
        <f t="shared" si="283"/>
        <v>3.52</v>
      </c>
      <c r="G1705" s="1444">
        <f t="shared" si="284"/>
        <v>3.52</v>
      </c>
      <c r="H1705" s="1476">
        <f t="shared" si="285"/>
        <v>0</v>
      </c>
      <c r="I1705" s="1444">
        <v>0</v>
      </c>
      <c r="J1705" s="1444">
        <v>0</v>
      </c>
      <c r="K1705" s="1476"/>
      <c r="L1705" s="1476"/>
      <c r="M1705" s="1476">
        <f t="shared" si="290"/>
        <v>0</v>
      </c>
      <c r="N1705" s="1476">
        <f t="shared" si="286"/>
        <v>0</v>
      </c>
      <c r="O1705" s="1445"/>
      <c r="P1705" s="1377"/>
    </row>
    <row r="1706" spans="1:16" ht="31" outlineLevel="1">
      <c r="A1706" s="1446">
        <f t="shared" si="291"/>
        <v>21.4</v>
      </c>
      <c r="B1706" s="1447" t="str">
        <f t="shared" si="291"/>
        <v>Scheme-4: Revamping and up-gradation of air &amp; ventilation system in Coal Handling Plant-BTPS.</v>
      </c>
      <c r="C1706" s="1475" t="str">
        <f t="shared" si="291"/>
        <v>MERC/CAPEX/MSPGCL/2024-25/0310</v>
      </c>
      <c r="D1706" s="1473">
        <f t="shared" si="291"/>
        <v>45429</v>
      </c>
      <c r="E1706" s="1476">
        <f t="shared" si="291"/>
        <v>9.01</v>
      </c>
      <c r="F1706" s="1444">
        <f t="shared" si="283"/>
        <v>3.85</v>
      </c>
      <c r="G1706" s="1444">
        <f t="shared" si="284"/>
        <v>3.85</v>
      </c>
      <c r="H1706" s="1476">
        <f t="shared" si="285"/>
        <v>0</v>
      </c>
      <c r="I1706" s="1444">
        <v>0</v>
      </c>
      <c r="J1706" s="1444">
        <v>0</v>
      </c>
      <c r="K1706" s="1476"/>
      <c r="L1706" s="1476"/>
      <c r="M1706" s="1476">
        <f t="shared" si="290"/>
        <v>0</v>
      </c>
      <c r="N1706" s="1476">
        <f t="shared" si="286"/>
        <v>0</v>
      </c>
      <c r="O1706" s="1445"/>
      <c r="P1706" s="1377"/>
    </row>
    <row r="1707" spans="1:16" ht="31" outlineLevel="1">
      <c r="A1707" s="1446">
        <f t="shared" si="291"/>
        <v>21.5</v>
      </c>
      <c r="B1707" s="1447" t="str">
        <f t="shared" si="291"/>
        <v>Scheme-5: Revamping, Structural &amp; drive up-gradation  of conveyor-111 in CHP-BTPS.</v>
      </c>
      <c r="C1707" s="1475" t="str">
        <f t="shared" si="291"/>
        <v>MERC/CAPEX/MSPGCL/2024-25/0310</v>
      </c>
      <c r="D1707" s="1473">
        <f t="shared" si="291"/>
        <v>45429</v>
      </c>
      <c r="E1707" s="1476">
        <f t="shared" si="291"/>
        <v>3.85</v>
      </c>
      <c r="F1707" s="1444">
        <f t="shared" si="283"/>
        <v>8.6199999999999992</v>
      </c>
      <c r="G1707" s="1444">
        <f t="shared" si="284"/>
        <v>8.6199999999999992</v>
      </c>
      <c r="H1707" s="1476">
        <f t="shared" si="285"/>
        <v>0</v>
      </c>
      <c r="I1707" s="1444">
        <v>0</v>
      </c>
      <c r="J1707" s="1444">
        <v>0</v>
      </c>
      <c r="K1707" s="1476"/>
      <c r="L1707" s="1476"/>
      <c r="M1707" s="1476">
        <f t="shared" si="290"/>
        <v>0</v>
      </c>
      <c r="N1707" s="1476">
        <f t="shared" si="286"/>
        <v>0</v>
      </c>
      <c r="O1707" s="1445"/>
      <c r="P1707" s="1377"/>
    </row>
    <row r="1708" spans="1:16" ht="31" outlineLevel="1">
      <c r="A1708" s="1446">
        <f t="shared" si="291"/>
        <v>21.6</v>
      </c>
      <c r="B1708" s="1447" t="str">
        <f t="shared" si="291"/>
        <v>Scheme-6: Revamping and structural up-gradation of conveyor system in tunnel area in Coal Handling Plant-BTPS.</v>
      </c>
      <c r="C1708" s="1475" t="str">
        <f t="shared" si="291"/>
        <v>MERC/CAPEX/MSPGCL/2024-25/0310</v>
      </c>
      <c r="D1708" s="1473">
        <f t="shared" si="291"/>
        <v>45429</v>
      </c>
      <c r="E1708" s="1476">
        <f t="shared" si="291"/>
        <v>8.6199999999999992</v>
      </c>
      <c r="F1708" s="1444">
        <f t="shared" si="283"/>
        <v>8.06</v>
      </c>
      <c r="G1708" s="1444">
        <f t="shared" si="284"/>
        <v>8.06</v>
      </c>
      <c r="H1708" s="1476">
        <f t="shared" si="285"/>
        <v>0</v>
      </c>
      <c r="I1708" s="1444">
        <v>0</v>
      </c>
      <c r="J1708" s="1444">
        <v>0</v>
      </c>
      <c r="K1708" s="1476"/>
      <c r="L1708" s="1476"/>
      <c r="M1708" s="1476">
        <f t="shared" si="290"/>
        <v>0</v>
      </c>
      <c r="N1708" s="1476">
        <f t="shared" si="286"/>
        <v>0</v>
      </c>
      <c r="O1708" s="1445"/>
      <c r="P1708" s="1377"/>
    </row>
    <row r="1709" spans="1:16" ht="15.5" outlineLevel="1">
      <c r="A1709" s="1446">
        <f t="shared" si="291"/>
        <v>21.7</v>
      </c>
      <c r="B1709" s="1447" t="str">
        <f t="shared" si="291"/>
        <v>Scheme-7: Erection &amp; Commissioning of Travelling type coal chutes in CHP BTPS.</v>
      </c>
      <c r="C1709" s="1475" t="str">
        <f t="shared" si="291"/>
        <v>MERC/CAPEX/MSPGCL/2024-25/0310</v>
      </c>
      <c r="D1709" s="1473">
        <f t="shared" si="291"/>
        <v>45429</v>
      </c>
      <c r="E1709" s="1476">
        <f t="shared" si="291"/>
        <v>8.06</v>
      </c>
      <c r="F1709" s="1444">
        <f t="shared" si="283"/>
        <v>4.9800000000000004</v>
      </c>
      <c r="G1709" s="1444">
        <f t="shared" si="284"/>
        <v>4.9800000000000004</v>
      </c>
      <c r="H1709" s="1476">
        <f t="shared" si="285"/>
        <v>0</v>
      </c>
      <c r="I1709" s="1444">
        <v>0</v>
      </c>
      <c r="J1709" s="1444">
        <v>0</v>
      </c>
      <c r="K1709" s="1476"/>
      <c r="L1709" s="1476"/>
      <c r="M1709" s="1476">
        <f t="shared" si="290"/>
        <v>0</v>
      </c>
      <c r="N1709" s="1476">
        <f t="shared" si="286"/>
        <v>0</v>
      </c>
      <c r="O1709" s="1445"/>
      <c r="P1709" s="1377"/>
    </row>
    <row r="1710" spans="1:16" ht="31" outlineLevel="1">
      <c r="A1710" s="1446">
        <f t="shared" si="291"/>
        <v>21.8</v>
      </c>
      <c r="B1710" s="1447" t="str">
        <f t="shared" si="291"/>
        <v>Scheme-8: Revamping of scoop cooling system installed in coal handling plant BTPS.</v>
      </c>
      <c r="C1710" s="1475" t="str">
        <f t="shared" si="291"/>
        <v>MERC/CAPEX/MSPGCL/2024-25/0310</v>
      </c>
      <c r="D1710" s="1473">
        <f t="shared" si="291"/>
        <v>45429</v>
      </c>
      <c r="E1710" s="1476">
        <f t="shared" si="291"/>
        <v>4.9800000000000004</v>
      </c>
      <c r="F1710" s="1444">
        <f t="shared" si="283"/>
        <v>3.92</v>
      </c>
      <c r="G1710" s="1444">
        <f t="shared" si="284"/>
        <v>3.92</v>
      </c>
      <c r="H1710" s="1476">
        <f t="shared" si="285"/>
        <v>0</v>
      </c>
      <c r="I1710" s="1444">
        <v>0</v>
      </c>
      <c r="J1710" s="1444">
        <v>0</v>
      </c>
      <c r="K1710" s="1476"/>
      <c r="L1710" s="1476"/>
      <c r="M1710" s="1476">
        <f t="shared" si="290"/>
        <v>0</v>
      </c>
      <c r="N1710" s="1476">
        <f t="shared" si="286"/>
        <v>0</v>
      </c>
      <c r="O1710" s="1445"/>
      <c r="P1710" s="1377"/>
    </row>
    <row r="1711" spans="1:16" ht="15.5" outlineLevel="1">
      <c r="A1711" s="1454">
        <f t="shared" si="291"/>
        <v>21.9</v>
      </c>
      <c r="B1711" s="1454" t="str">
        <f t="shared" si="291"/>
        <v>Scheme-9: Retrofitting and Up-gradation of Dewatering system in CHP-BTPS.</v>
      </c>
      <c r="C1711" s="1475" t="str">
        <f t="shared" si="291"/>
        <v>MERC/CAPEX/MSPGCL/2024-25/0310</v>
      </c>
      <c r="D1711" s="1473">
        <f t="shared" si="291"/>
        <v>45429</v>
      </c>
      <c r="E1711" s="1476">
        <f t="shared" si="291"/>
        <v>3.92</v>
      </c>
      <c r="F1711" s="1444">
        <f t="shared" si="283"/>
        <v>9.01</v>
      </c>
      <c r="G1711" s="1444">
        <f t="shared" si="284"/>
        <v>9.01</v>
      </c>
      <c r="H1711" s="1476">
        <f t="shared" si="285"/>
        <v>0</v>
      </c>
      <c r="I1711" s="1444">
        <v>0</v>
      </c>
      <c r="J1711" s="1444">
        <v>0</v>
      </c>
      <c r="K1711" s="1476"/>
      <c r="L1711" s="1476"/>
      <c r="M1711" s="1476">
        <f t="shared" si="290"/>
        <v>0</v>
      </c>
      <c r="N1711" s="1476">
        <f t="shared" si="286"/>
        <v>0</v>
      </c>
      <c r="O1711" s="1445"/>
      <c r="P1711" s="1377"/>
    </row>
    <row r="1712" spans="1:16" ht="15.5" outlineLevel="1">
      <c r="A1712" s="1455">
        <f t="shared" si="291"/>
        <v>0</v>
      </c>
      <c r="B1712" s="1455" t="str">
        <f t="shared" si="291"/>
        <v>IDC</v>
      </c>
      <c r="C1712" s="1475">
        <f t="shared" si="291"/>
        <v>0</v>
      </c>
      <c r="D1712" s="1473" t="str">
        <f t="shared" si="291"/>
        <v>-</v>
      </c>
      <c r="E1712" s="1476">
        <f t="shared" si="291"/>
        <v>0</v>
      </c>
      <c r="F1712" s="1444">
        <f t="shared" si="283"/>
        <v>0.53</v>
      </c>
      <c r="G1712" s="1444">
        <f t="shared" si="284"/>
        <v>0.53</v>
      </c>
      <c r="H1712" s="1476">
        <f t="shared" si="285"/>
        <v>0</v>
      </c>
      <c r="I1712" s="1444">
        <v>0</v>
      </c>
      <c r="J1712" s="1444">
        <v>0</v>
      </c>
      <c r="K1712" s="1476"/>
      <c r="L1712" s="1476"/>
      <c r="M1712" s="1476">
        <f t="shared" si="290"/>
        <v>0</v>
      </c>
      <c r="N1712" s="1476">
        <f t="shared" si="286"/>
        <v>0</v>
      </c>
      <c r="O1712" s="1445"/>
      <c r="P1712" s="1377"/>
    </row>
    <row r="1713" spans="1:16" ht="15.5" outlineLevel="1">
      <c r="A1713" s="1456">
        <f t="shared" si="291"/>
        <v>0</v>
      </c>
      <c r="B1713" s="1456" t="str">
        <f t="shared" si="291"/>
        <v>Asset Transfer from Projects</v>
      </c>
      <c r="C1713" s="1475">
        <f t="shared" si="291"/>
        <v>0</v>
      </c>
      <c r="D1713" s="1473" t="str">
        <f t="shared" si="291"/>
        <v>-</v>
      </c>
      <c r="E1713" s="1476">
        <f t="shared" si="291"/>
        <v>0</v>
      </c>
      <c r="F1713" s="1444">
        <f t="shared" si="283"/>
        <v>0</v>
      </c>
      <c r="G1713" s="1444">
        <f t="shared" si="284"/>
        <v>0</v>
      </c>
      <c r="H1713" s="1476">
        <f t="shared" si="285"/>
        <v>0</v>
      </c>
      <c r="I1713" s="1444">
        <v>0</v>
      </c>
      <c r="J1713" s="1444">
        <v>0</v>
      </c>
      <c r="K1713" s="1476"/>
      <c r="L1713" s="1476"/>
      <c r="M1713" s="1476">
        <f t="shared" si="290"/>
        <v>0</v>
      </c>
      <c r="N1713" s="1476">
        <f t="shared" si="286"/>
        <v>0</v>
      </c>
      <c r="O1713" s="1445"/>
      <c r="P1713" s="1377"/>
    </row>
    <row r="1714" spans="1:16" ht="15.5" outlineLevel="1">
      <c r="A1714" s="1455">
        <f t="shared" si="291"/>
        <v>0</v>
      </c>
      <c r="B1714" s="1455" t="str">
        <f t="shared" si="291"/>
        <v>SP Busduct Unit 4&amp;5</v>
      </c>
      <c r="C1714" s="1475">
        <f t="shared" si="291"/>
        <v>0</v>
      </c>
      <c r="D1714" s="1473" t="str">
        <f t="shared" si="291"/>
        <v>-</v>
      </c>
      <c r="E1714" s="1476">
        <f t="shared" si="291"/>
        <v>0</v>
      </c>
      <c r="F1714" s="1444">
        <f t="shared" si="283"/>
        <v>0.30071745999999999</v>
      </c>
      <c r="G1714" s="1444">
        <f t="shared" si="284"/>
        <v>0.30071745999999999</v>
      </c>
      <c r="H1714" s="1476">
        <f t="shared" si="285"/>
        <v>0</v>
      </c>
      <c r="I1714" s="1444">
        <v>0</v>
      </c>
      <c r="J1714" s="1444">
        <v>0</v>
      </c>
      <c r="K1714" s="1476"/>
      <c r="L1714" s="1476"/>
      <c r="M1714" s="1476">
        <f t="shared" si="290"/>
        <v>0</v>
      </c>
      <c r="N1714" s="1476">
        <f t="shared" si="286"/>
        <v>0</v>
      </c>
      <c r="O1714" s="1445"/>
      <c r="P1714" s="1377"/>
    </row>
    <row r="1715" spans="1:16" ht="15.5" outlineLevel="1">
      <c r="A1715" s="1455">
        <f t="shared" si="291"/>
        <v>0</v>
      </c>
      <c r="B1715" s="1455" t="str">
        <f t="shared" si="291"/>
        <v>ESP,ID,FD,PA Fans &amp;Other Boiler Auxiliaries</v>
      </c>
      <c r="C1715" s="1442">
        <f t="shared" si="291"/>
        <v>0</v>
      </c>
      <c r="D1715" s="1443" t="str">
        <f t="shared" si="291"/>
        <v>-</v>
      </c>
      <c r="E1715" s="1444">
        <f t="shared" si="291"/>
        <v>0</v>
      </c>
      <c r="F1715" s="1444">
        <f t="shared" si="283"/>
        <v>1.0282827000000001</v>
      </c>
      <c r="G1715" s="1444">
        <f t="shared" si="284"/>
        <v>1.0282827000000001</v>
      </c>
      <c r="H1715" s="1444">
        <f t="shared" si="285"/>
        <v>0</v>
      </c>
      <c r="I1715" s="1444">
        <v>0</v>
      </c>
      <c r="J1715" s="1444">
        <v>0</v>
      </c>
      <c r="K1715" s="1444"/>
      <c r="L1715" s="1444"/>
      <c r="M1715" s="1444">
        <f t="shared" si="290"/>
        <v>0</v>
      </c>
      <c r="N1715" s="1444">
        <f t="shared" si="286"/>
        <v>0</v>
      </c>
    </row>
    <row r="1716" spans="1:16" ht="15.5" outlineLevel="1">
      <c r="A1716" s="1456">
        <f t="shared" ref="A1716:E1731" si="292">A1486</f>
        <v>0</v>
      </c>
      <c r="B1716" s="1456" t="str">
        <f t="shared" si="292"/>
        <v>(ii) DPR Yet to be Submitted to MERC</v>
      </c>
      <c r="C1716" s="1442">
        <f t="shared" si="292"/>
        <v>0</v>
      </c>
      <c r="D1716" s="1443" t="str">
        <f t="shared" si="292"/>
        <v>-</v>
      </c>
      <c r="E1716" s="1444">
        <f t="shared" si="292"/>
        <v>0</v>
      </c>
      <c r="F1716" s="1444">
        <f t="shared" si="283"/>
        <v>0</v>
      </c>
      <c r="G1716" s="1444">
        <f t="shared" si="284"/>
        <v>0</v>
      </c>
      <c r="H1716" s="1444">
        <f t="shared" si="285"/>
        <v>0</v>
      </c>
      <c r="I1716" s="1444">
        <v>0</v>
      </c>
      <c r="J1716" s="1444">
        <v>0</v>
      </c>
      <c r="K1716" s="1444"/>
      <c r="L1716" s="1444"/>
      <c r="M1716" s="1444">
        <f t="shared" si="290"/>
        <v>0</v>
      </c>
      <c r="N1716" s="1444">
        <f t="shared" si="286"/>
        <v>0</v>
      </c>
    </row>
    <row r="1717" spans="1:16" ht="15.5" outlineLevel="1">
      <c r="A1717" s="1457">
        <f t="shared" si="292"/>
        <v>0</v>
      </c>
      <c r="B1717" s="1457" t="str">
        <f t="shared" si="292"/>
        <v xml:space="preserve">FY 2025-26 </v>
      </c>
      <c r="C1717" s="1475">
        <f t="shared" si="292"/>
        <v>0</v>
      </c>
      <c r="D1717" s="1473" t="str">
        <f t="shared" si="292"/>
        <v>-</v>
      </c>
      <c r="E1717" s="1476">
        <f t="shared" si="292"/>
        <v>0</v>
      </c>
      <c r="F1717" s="1444">
        <f t="shared" si="283"/>
        <v>0</v>
      </c>
      <c r="G1717" s="1444">
        <f t="shared" si="284"/>
        <v>0</v>
      </c>
      <c r="H1717" s="1476">
        <f t="shared" si="285"/>
        <v>0</v>
      </c>
      <c r="I1717" s="1444">
        <v>0</v>
      </c>
      <c r="J1717" s="1444">
        <v>0</v>
      </c>
      <c r="K1717" s="1476"/>
      <c r="L1717" s="1476"/>
      <c r="M1717" s="1476">
        <f t="shared" si="290"/>
        <v>0</v>
      </c>
      <c r="N1717" s="1476">
        <f t="shared" si="286"/>
        <v>0</v>
      </c>
    </row>
    <row r="1718" spans="1:16" ht="31" outlineLevel="1">
      <c r="A1718" s="1458">
        <f t="shared" si="292"/>
        <v>1</v>
      </c>
      <c r="B1718" s="1459" t="str">
        <f t="shared" si="292"/>
        <v>Up gradation of coal mill reject system, Procurement of Air heater baskets &amp; spare Air heater gearbox at 2X500MW, Bhusawal TPS</v>
      </c>
      <c r="C1718" s="1475">
        <f t="shared" si="292"/>
        <v>0</v>
      </c>
      <c r="D1718" s="1473" t="str">
        <f t="shared" si="292"/>
        <v>-</v>
      </c>
      <c r="E1718" s="1476">
        <f t="shared" si="292"/>
        <v>0</v>
      </c>
      <c r="F1718" s="1444">
        <f t="shared" si="283"/>
        <v>31.75</v>
      </c>
      <c r="G1718" s="1444">
        <f t="shared" si="284"/>
        <v>0</v>
      </c>
      <c r="H1718" s="1476">
        <f t="shared" si="285"/>
        <v>31.75</v>
      </c>
      <c r="I1718" s="1444">
        <v>0</v>
      </c>
      <c r="J1718" s="1444">
        <v>0</v>
      </c>
      <c r="K1718" s="1476"/>
      <c r="L1718" s="1476"/>
      <c r="M1718" s="1476">
        <f t="shared" si="290"/>
        <v>0</v>
      </c>
      <c r="N1718" s="1476">
        <f t="shared" si="286"/>
        <v>31.75</v>
      </c>
    </row>
    <row r="1719" spans="1:16" ht="62" outlineLevel="1">
      <c r="A1719" s="1455">
        <f t="shared" si="292"/>
        <v>1.1000000000000001</v>
      </c>
      <c r="B1719" s="1455" t="str">
        <f t="shared" si="292"/>
        <v xml:space="preserve">Work of Capacity enhancement, Engineering, modification, upgradation including spares and consumables and complete commissioning including operation and comprehensive maintenance for 12 months for coal mill reject handling system  in Unit-4&amp;5, 2X500MW, BTPS, Bhusawal </v>
      </c>
      <c r="C1719" s="1475">
        <f t="shared" si="292"/>
        <v>0</v>
      </c>
      <c r="D1719" s="1473" t="str">
        <f t="shared" si="292"/>
        <v>-</v>
      </c>
      <c r="E1719" s="1476">
        <f t="shared" si="292"/>
        <v>0</v>
      </c>
      <c r="F1719" s="1444">
        <f t="shared" si="283"/>
        <v>15.05</v>
      </c>
      <c r="G1719" s="1444">
        <f t="shared" si="284"/>
        <v>15.05</v>
      </c>
      <c r="H1719" s="1476">
        <f t="shared" si="285"/>
        <v>0</v>
      </c>
      <c r="I1719" s="1444">
        <v>0</v>
      </c>
      <c r="J1719" s="1444">
        <v>0</v>
      </c>
      <c r="K1719" s="1476"/>
      <c r="L1719" s="1476"/>
      <c r="M1719" s="1476">
        <f t="shared" si="290"/>
        <v>0</v>
      </c>
      <c r="N1719" s="1476">
        <f t="shared" si="286"/>
        <v>0</v>
      </c>
    </row>
    <row r="1720" spans="1:16" ht="31" outlineLevel="1">
      <c r="A1720" s="1455">
        <f t="shared" si="292"/>
        <v>1.2</v>
      </c>
      <c r="B1720" s="1455" t="str">
        <f t="shared" si="292"/>
        <v>Procurement of assembly of baskets &amp; seals for Air Preheater of type 31.5 VIM 2000 (72° PA), in Unit-5 2x500MW, BTPS Bhusawal</v>
      </c>
      <c r="C1720" s="1475">
        <f t="shared" si="292"/>
        <v>0</v>
      </c>
      <c r="D1720" s="1473" t="str">
        <f t="shared" si="292"/>
        <v>-</v>
      </c>
      <c r="E1720" s="1476">
        <f t="shared" si="292"/>
        <v>0</v>
      </c>
      <c r="F1720" s="1444">
        <f t="shared" si="283"/>
        <v>7.45</v>
      </c>
      <c r="G1720" s="1444">
        <f t="shared" si="284"/>
        <v>7.45</v>
      </c>
      <c r="H1720" s="1476">
        <f t="shared" si="285"/>
        <v>0</v>
      </c>
      <c r="I1720" s="1444">
        <v>0</v>
      </c>
      <c r="J1720" s="1444">
        <v>0</v>
      </c>
      <c r="K1720" s="1476"/>
      <c r="L1720" s="1476"/>
      <c r="M1720" s="1476">
        <f t="shared" si="290"/>
        <v>0</v>
      </c>
      <c r="N1720" s="1476">
        <f t="shared" si="286"/>
        <v>0</v>
      </c>
    </row>
    <row r="1721" spans="1:16" ht="31" outlineLevel="1">
      <c r="A1721" s="1455">
        <f t="shared" si="292"/>
        <v>1.3</v>
      </c>
      <c r="B1721" s="1455" t="str">
        <f t="shared" si="292"/>
        <v>Procurement of APH Gearbox to improve availability and performance of Air preheaters at 2 x 500 MW Units, BTPS, Bhusawal. </v>
      </c>
      <c r="C1721" s="1475">
        <f t="shared" si="292"/>
        <v>0</v>
      </c>
      <c r="D1721" s="1473" t="str">
        <f t="shared" si="292"/>
        <v>-</v>
      </c>
      <c r="E1721" s="1476">
        <f t="shared" si="292"/>
        <v>0</v>
      </c>
      <c r="F1721" s="1444">
        <f t="shared" si="283"/>
        <v>9.25</v>
      </c>
      <c r="G1721" s="1444">
        <f t="shared" si="284"/>
        <v>9.25</v>
      </c>
      <c r="H1721" s="1476">
        <f t="shared" si="285"/>
        <v>0</v>
      </c>
      <c r="I1721" s="1444">
        <v>0</v>
      </c>
      <c r="J1721" s="1444">
        <v>0</v>
      </c>
      <c r="K1721" s="1476"/>
      <c r="L1721" s="1476"/>
      <c r="M1721" s="1476">
        <f t="shared" si="290"/>
        <v>0</v>
      </c>
      <c r="N1721" s="1476">
        <f t="shared" si="286"/>
        <v>0</v>
      </c>
    </row>
    <row r="1722" spans="1:16" ht="15.5" outlineLevel="1">
      <c r="A1722" s="1458">
        <f t="shared" si="292"/>
        <v>2</v>
      </c>
      <c r="B1722" s="1459" t="str">
        <f t="shared" si="292"/>
        <v>Boiler Reliability &amp; Availability improvement at 2x500MW, Bhusawal TPS.</v>
      </c>
      <c r="C1722" s="1442">
        <f t="shared" si="292"/>
        <v>0</v>
      </c>
      <c r="D1722" s="1443" t="str">
        <f t="shared" si="292"/>
        <v>-</v>
      </c>
      <c r="E1722" s="1444">
        <f t="shared" si="292"/>
        <v>0</v>
      </c>
      <c r="F1722" s="1444">
        <f t="shared" si="283"/>
        <v>83.63000000000001</v>
      </c>
      <c r="G1722" s="1444">
        <f t="shared" si="284"/>
        <v>0</v>
      </c>
      <c r="H1722" s="1444">
        <f t="shared" si="285"/>
        <v>83.63000000000001</v>
      </c>
      <c r="I1722" s="1444">
        <v>0</v>
      </c>
      <c r="J1722" s="1444">
        <v>0</v>
      </c>
      <c r="K1722" s="1444"/>
      <c r="L1722" s="1444"/>
      <c r="M1722" s="1444">
        <f t="shared" si="290"/>
        <v>0</v>
      </c>
      <c r="N1722" s="1444">
        <f t="shared" si="286"/>
        <v>83.63000000000001</v>
      </c>
    </row>
    <row r="1723" spans="1:16" ht="31" outlineLevel="1">
      <c r="A1723" s="1455">
        <f t="shared" si="292"/>
        <v>2.1</v>
      </c>
      <c r="B1723" s="1455" t="str">
        <f t="shared" si="292"/>
        <v xml:space="preserve">Procurement &amp; Replacement Of LTSH Coils for Unit - 4 &amp; 5 (500MW) TPS, Bhusawal. </v>
      </c>
      <c r="C1723" s="1475">
        <f t="shared" si="292"/>
        <v>0</v>
      </c>
      <c r="D1723" s="1473" t="str">
        <f t="shared" si="292"/>
        <v>-</v>
      </c>
      <c r="E1723" s="1476">
        <f t="shared" si="292"/>
        <v>0</v>
      </c>
      <c r="F1723" s="1444">
        <f t="shared" si="283"/>
        <v>19.11</v>
      </c>
      <c r="G1723" s="1444">
        <f t="shared" si="284"/>
        <v>19.11</v>
      </c>
      <c r="H1723" s="1476">
        <f t="shared" si="285"/>
        <v>0</v>
      </c>
      <c r="I1723" s="1444">
        <v>0</v>
      </c>
      <c r="J1723" s="1444">
        <v>0</v>
      </c>
      <c r="K1723" s="1476"/>
      <c r="L1723" s="1476"/>
      <c r="M1723" s="1476">
        <f t="shared" si="290"/>
        <v>0</v>
      </c>
      <c r="N1723" s="1476">
        <f t="shared" si="286"/>
        <v>0</v>
      </c>
    </row>
    <row r="1724" spans="1:16" ht="31" outlineLevel="1">
      <c r="A1724" s="1455">
        <f t="shared" si="292"/>
        <v>2.2000000000000002</v>
      </c>
      <c r="B1724" s="1455" t="str">
        <f t="shared" si="292"/>
        <v>Procurement &amp; Replacement Of Economiser Coils For Unit - 4 &amp; 5 (500MW) TPS, Bhusawal</v>
      </c>
      <c r="C1724" s="1475">
        <f t="shared" si="292"/>
        <v>0</v>
      </c>
      <c r="D1724" s="1473" t="str">
        <f t="shared" si="292"/>
        <v>-</v>
      </c>
      <c r="E1724" s="1476">
        <f t="shared" si="292"/>
        <v>0</v>
      </c>
      <c r="F1724" s="1444">
        <f t="shared" si="283"/>
        <v>47.6</v>
      </c>
      <c r="G1724" s="1444">
        <f t="shared" si="284"/>
        <v>47.6</v>
      </c>
      <c r="H1724" s="1476">
        <f t="shared" si="285"/>
        <v>0</v>
      </c>
      <c r="I1724" s="1444">
        <v>0</v>
      </c>
      <c r="J1724" s="1444">
        <v>0</v>
      </c>
      <c r="K1724" s="1476"/>
      <c r="L1724" s="1476"/>
      <c r="M1724" s="1476">
        <f t="shared" si="290"/>
        <v>0</v>
      </c>
      <c r="N1724" s="1476">
        <f t="shared" si="286"/>
        <v>0</v>
      </c>
    </row>
    <row r="1725" spans="1:16" ht="15.5" outlineLevel="1">
      <c r="A1725" s="1455">
        <f t="shared" si="292"/>
        <v>2.2999999999999998</v>
      </c>
      <c r="B1725" s="1455" t="str">
        <f t="shared" si="292"/>
        <v>Procurement of assembly of APH Baskets Unit-4</v>
      </c>
      <c r="C1725" s="1442">
        <f t="shared" si="292"/>
        <v>0</v>
      </c>
      <c r="D1725" s="1443" t="str">
        <f t="shared" si="292"/>
        <v>-</v>
      </c>
      <c r="E1725" s="1444">
        <f t="shared" si="292"/>
        <v>0</v>
      </c>
      <c r="F1725" s="1444">
        <f t="shared" si="283"/>
        <v>7.55</v>
      </c>
      <c r="G1725" s="1444">
        <f t="shared" si="284"/>
        <v>7.55</v>
      </c>
      <c r="H1725" s="1444">
        <f t="shared" si="285"/>
        <v>0</v>
      </c>
      <c r="I1725" s="1444">
        <v>0</v>
      </c>
      <c r="J1725" s="1444">
        <v>0</v>
      </c>
      <c r="K1725" s="1444"/>
      <c r="L1725" s="1444"/>
      <c r="M1725" s="1444">
        <f t="shared" si="290"/>
        <v>0</v>
      </c>
      <c r="N1725" s="1444">
        <f t="shared" si="286"/>
        <v>0</v>
      </c>
    </row>
    <row r="1726" spans="1:16" ht="15.5" outlineLevel="1">
      <c r="A1726" s="1455">
        <f t="shared" si="292"/>
        <v>2.4</v>
      </c>
      <c r="B1726" s="1455" t="str">
        <f t="shared" si="292"/>
        <v>Procurement of APH Gearbox Unit-4&amp;5</v>
      </c>
      <c r="C1726" s="1475">
        <f t="shared" si="292"/>
        <v>0</v>
      </c>
      <c r="D1726" s="1473" t="str">
        <f t="shared" si="292"/>
        <v>-</v>
      </c>
      <c r="E1726" s="1476">
        <f t="shared" si="292"/>
        <v>0</v>
      </c>
      <c r="F1726" s="1444">
        <f t="shared" si="283"/>
        <v>9.3699999999999992</v>
      </c>
      <c r="G1726" s="1444">
        <f t="shared" si="284"/>
        <v>9.3699999999999992</v>
      </c>
      <c r="H1726" s="1476">
        <f t="shared" si="285"/>
        <v>0</v>
      </c>
      <c r="I1726" s="1444">
        <v>0</v>
      </c>
      <c r="J1726" s="1444">
        <v>0</v>
      </c>
      <c r="K1726" s="1476"/>
      <c r="L1726" s="1476"/>
      <c r="M1726" s="1476">
        <f t="shared" si="290"/>
        <v>0</v>
      </c>
      <c r="N1726" s="1476">
        <f t="shared" si="286"/>
        <v>0</v>
      </c>
    </row>
    <row r="1727" spans="1:16" ht="15.5" outlineLevel="1">
      <c r="A1727" s="1458">
        <f t="shared" si="292"/>
        <v>3</v>
      </c>
      <c r="B1727" s="1459" t="str">
        <f t="shared" si="292"/>
        <v>Various Turbine side reliability improvement schemes at 2x500MW, BTPS</v>
      </c>
      <c r="C1727" s="1475">
        <f t="shared" si="292"/>
        <v>0</v>
      </c>
      <c r="D1727" s="1473" t="str">
        <f t="shared" si="292"/>
        <v>-</v>
      </c>
      <c r="E1727" s="1476">
        <f t="shared" si="292"/>
        <v>0</v>
      </c>
      <c r="F1727" s="1444">
        <f t="shared" si="283"/>
        <v>41.4</v>
      </c>
      <c r="G1727" s="1444">
        <f t="shared" si="284"/>
        <v>0</v>
      </c>
      <c r="H1727" s="1476">
        <f t="shared" si="285"/>
        <v>41.4</v>
      </c>
      <c r="I1727" s="1444">
        <v>0</v>
      </c>
      <c r="J1727" s="1444">
        <v>0</v>
      </c>
      <c r="K1727" s="1476"/>
      <c r="L1727" s="1476"/>
      <c r="M1727" s="1476">
        <f t="shared" si="290"/>
        <v>0</v>
      </c>
      <c r="N1727" s="1476">
        <f t="shared" si="286"/>
        <v>41.4</v>
      </c>
    </row>
    <row r="1728" spans="1:16" ht="15.5" outlineLevel="1">
      <c r="A1728" s="1455">
        <f t="shared" si="292"/>
        <v>3.1</v>
      </c>
      <c r="B1728" s="1455" t="str">
        <f t="shared" si="292"/>
        <v>Reliability improvement of Atlas copco make (mode -ZR -500)</v>
      </c>
      <c r="C1728" s="1475">
        <f t="shared" si="292"/>
        <v>0</v>
      </c>
      <c r="D1728" s="1473" t="str">
        <f t="shared" si="292"/>
        <v>-</v>
      </c>
      <c r="E1728" s="1476">
        <f t="shared" si="292"/>
        <v>0</v>
      </c>
      <c r="F1728" s="1444">
        <f t="shared" si="283"/>
        <v>2.4</v>
      </c>
      <c r="G1728" s="1444">
        <f t="shared" si="284"/>
        <v>2.4</v>
      </c>
      <c r="H1728" s="1476">
        <f t="shared" si="285"/>
        <v>0</v>
      </c>
      <c r="I1728" s="1444">
        <v>0</v>
      </c>
      <c r="J1728" s="1444">
        <v>0</v>
      </c>
      <c r="K1728" s="1476"/>
      <c r="L1728" s="1476"/>
      <c r="M1728" s="1476">
        <f t="shared" si="290"/>
        <v>0</v>
      </c>
      <c r="N1728" s="1476">
        <f t="shared" si="286"/>
        <v>0</v>
      </c>
    </row>
    <row r="1729" spans="1:14" ht="15.5" outlineLevel="1">
      <c r="A1729" s="1455">
        <f t="shared" si="292"/>
        <v>3.2</v>
      </c>
      <c r="B1729" s="1455" t="str">
        <f t="shared" si="292"/>
        <v xml:space="preserve">Reliability improvement of  HPCV Valve with procurment cone assy </v>
      </c>
      <c r="C1729" s="1475">
        <f t="shared" si="292"/>
        <v>0</v>
      </c>
      <c r="D1729" s="1473" t="str">
        <f t="shared" si="292"/>
        <v>-</v>
      </c>
      <c r="E1729" s="1476">
        <f t="shared" si="292"/>
        <v>0</v>
      </c>
      <c r="F1729" s="1444">
        <f t="shared" si="283"/>
        <v>2</v>
      </c>
      <c r="G1729" s="1444">
        <f t="shared" si="284"/>
        <v>2</v>
      </c>
      <c r="H1729" s="1476">
        <f t="shared" si="285"/>
        <v>0</v>
      </c>
      <c r="I1729" s="1444">
        <v>0</v>
      </c>
      <c r="J1729" s="1444">
        <v>0</v>
      </c>
      <c r="K1729" s="1476"/>
      <c r="L1729" s="1476"/>
      <c r="M1729" s="1476">
        <f t="shared" si="290"/>
        <v>0</v>
      </c>
      <c r="N1729" s="1476">
        <f t="shared" si="286"/>
        <v>0</v>
      </c>
    </row>
    <row r="1730" spans="1:14" ht="15.5" outlineLevel="1">
      <c r="A1730" s="1455">
        <f t="shared" si="292"/>
        <v>3.3</v>
      </c>
      <c r="B1730" s="1455" t="str">
        <f t="shared" si="292"/>
        <v>Reliability improvement of Alfa Laval make Portable COP</v>
      </c>
      <c r="C1730" s="1475">
        <f t="shared" si="292"/>
        <v>0</v>
      </c>
      <c r="D1730" s="1473" t="str">
        <f t="shared" si="292"/>
        <v>-</v>
      </c>
      <c r="E1730" s="1476">
        <f t="shared" si="292"/>
        <v>0</v>
      </c>
      <c r="F1730" s="1444">
        <f t="shared" si="283"/>
        <v>3</v>
      </c>
      <c r="G1730" s="1444">
        <f t="shared" si="284"/>
        <v>3</v>
      </c>
      <c r="H1730" s="1476">
        <f t="shared" si="285"/>
        <v>0</v>
      </c>
      <c r="I1730" s="1444">
        <v>0</v>
      </c>
      <c r="J1730" s="1444">
        <v>0</v>
      </c>
      <c r="K1730" s="1476"/>
      <c r="L1730" s="1476"/>
      <c r="M1730" s="1476">
        <f t="shared" si="290"/>
        <v>0</v>
      </c>
      <c r="N1730" s="1476">
        <f t="shared" si="286"/>
        <v>0</v>
      </c>
    </row>
    <row r="1731" spans="1:14" ht="31" outlineLevel="1">
      <c r="A1731" s="1455">
        <f t="shared" si="292"/>
        <v>3.4</v>
      </c>
      <c r="B1731" s="1455" t="str">
        <f t="shared" si="292"/>
        <v>Reliability improvement of Seal Oil System with procurement of various U Seal rings</v>
      </c>
      <c r="C1731" s="1475">
        <f t="shared" si="292"/>
        <v>0</v>
      </c>
      <c r="D1731" s="1473" t="str">
        <f t="shared" si="292"/>
        <v>-</v>
      </c>
      <c r="E1731" s="1476">
        <f t="shared" si="292"/>
        <v>0</v>
      </c>
      <c r="F1731" s="1444">
        <f t="shared" si="283"/>
        <v>2</v>
      </c>
      <c r="G1731" s="1444">
        <f t="shared" si="284"/>
        <v>2</v>
      </c>
      <c r="H1731" s="1476">
        <f t="shared" si="285"/>
        <v>0</v>
      </c>
      <c r="I1731" s="1444">
        <v>0</v>
      </c>
      <c r="J1731" s="1444">
        <v>0</v>
      </c>
      <c r="K1731" s="1476"/>
      <c r="L1731" s="1476"/>
      <c r="M1731" s="1476">
        <f t="shared" si="290"/>
        <v>0</v>
      </c>
      <c r="N1731" s="1476">
        <f t="shared" si="286"/>
        <v>0</v>
      </c>
    </row>
    <row r="1732" spans="1:14" ht="31" outlineLevel="1">
      <c r="A1732" s="1455">
        <f t="shared" ref="A1732:E1747" si="293">A1502</f>
        <v>3.5</v>
      </c>
      <c r="B1732" s="1455" t="str">
        <f t="shared" si="293"/>
        <v>Reliability improvement of Unit-4 &amp; 5 NDCT with replacement of PVC fills and allied work</v>
      </c>
      <c r="C1732" s="1442">
        <f t="shared" si="293"/>
        <v>0</v>
      </c>
      <c r="D1732" s="1443" t="str">
        <f t="shared" si="293"/>
        <v>-</v>
      </c>
      <c r="E1732" s="1444">
        <f t="shared" si="293"/>
        <v>0</v>
      </c>
      <c r="F1732" s="1444">
        <f t="shared" si="283"/>
        <v>30</v>
      </c>
      <c r="G1732" s="1444">
        <f t="shared" si="284"/>
        <v>30</v>
      </c>
      <c r="H1732" s="1444">
        <f t="shared" si="285"/>
        <v>0</v>
      </c>
      <c r="I1732" s="1444">
        <v>0</v>
      </c>
      <c r="J1732" s="1444">
        <v>0</v>
      </c>
      <c r="K1732" s="1444"/>
      <c r="L1732" s="1444"/>
      <c r="M1732" s="1444">
        <f t="shared" si="290"/>
        <v>0</v>
      </c>
      <c r="N1732" s="1444">
        <f t="shared" si="286"/>
        <v>0</v>
      </c>
    </row>
    <row r="1733" spans="1:14" ht="15.5" outlineLevel="1">
      <c r="A1733" s="1455">
        <f t="shared" si="293"/>
        <v>3.6</v>
      </c>
      <c r="B1733" s="1455" t="str">
        <f t="shared" si="293"/>
        <v>Upgradation of Chiller plant, GEHO pump house &amp; OLTC PLC system.</v>
      </c>
      <c r="C1733" s="1475">
        <f t="shared" si="293"/>
        <v>0</v>
      </c>
      <c r="D1733" s="1473" t="str">
        <f t="shared" si="293"/>
        <v>-</v>
      </c>
      <c r="E1733" s="1476">
        <f t="shared" si="293"/>
        <v>0</v>
      </c>
      <c r="F1733" s="1444">
        <f t="shared" si="283"/>
        <v>2</v>
      </c>
      <c r="G1733" s="1444">
        <f t="shared" si="284"/>
        <v>2</v>
      </c>
      <c r="H1733" s="1476">
        <f t="shared" si="285"/>
        <v>0</v>
      </c>
      <c r="I1733" s="1444">
        <v>0</v>
      </c>
      <c r="J1733" s="1444">
        <v>0</v>
      </c>
      <c r="K1733" s="1476"/>
      <c r="L1733" s="1476"/>
      <c r="M1733" s="1476">
        <f t="shared" si="290"/>
        <v>0</v>
      </c>
      <c r="N1733" s="1476">
        <f t="shared" si="286"/>
        <v>0</v>
      </c>
    </row>
    <row r="1734" spans="1:14" ht="15.5" outlineLevel="1">
      <c r="A1734" s="1458">
        <f t="shared" si="293"/>
        <v>4</v>
      </c>
      <c r="B1734" s="1459" t="str">
        <f t="shared" si="293"/>
        <v>IB recommended scheme related (Civil and Electrical)</v>
      </c>
      <c r="C1734" s="1475">
        <f t="shared" si="293"/>
        <v>0</v>
      </c>
      <c r="D1734" s="1473" t="str">
        <f t="shared" si="293"/>
        <v>-</v>
      </c>
      <c r="E1734" s="1476">
        <f t="shared" si="293"/>
        <v>0</v>
      </c>
      <c r="F1734" s="1444">
        <f t="shared" si="283"/>
        <v>10.76</v>
      </c>
      <c r="G1734" s="1444">
        <f t="shared" si="284"/>
        <v>0</v>
      </c>
      <c r="H1734" s="1476">
        <f t="shared" si="285"/>
        <v>10.76</v>
      </c>
      <c r="I1734" s="1444">
        <v>0</v>
      </c>
      <c r="J1734" s="1444">
        <v>0</v>
      </c>
      <c r="K1734" s="1476"/>
      <c r="L1734" s="1476"/>
      <c r="M1734" s="1476">
        <f t="shared" si="290"/>
        <v>0</v>
      </c>
      <c r="N1734" s="1476">
        <f t="shared" si="286"/>
        <v>10.76</v>
      </c>
    </row>
    <row r="1735" spans="1:14" ht="31" outlineLevel="1">
      <c r="A1735" s="1455">
        <f t="shared" si="293"/>
        <v>4.0999999999999996</v>
      </c>
      <c r="B1735" s="1455" t="str">
        <f t="shared" si="293"/>
        <v>Work of fabricating and erecting structural steel watch tower (10 Nos.) in major store, plant area, ash pipe line and ash bund area at BTPS, Deepnagar.</v>
      </c>
      <c r="C1735" s="1475">
        <f t="shared" si="293"/>
        <v>0</v>
      </c>
      <c r="D1735" s="1473" t="str">
        <f t="shared" si="293"/>
        <v>-</v>
      </c>
      <c r="E1735" s="1476">
        <f t="shared" si="293"/>
        <v>0</v>
      </c>
      <c r="F1735" s="1444">
        <f t="shared" si="283"/>
        <v>0.86</v>
      </c>
      <c r="G1735" s="1444">
        <f t="shared" si="284"/>
        <v>0.86</v>
      </c>
      <c r="H1735" s="1476">
        <f t="shared" si="285"/>
        <v>0</v>
      </c>
      <c r="I1735" s="1444">
        <v>0</v>
      </c>
      <c r="J1735" s="1444">
        <v>0</v>
      </c>
      <c r="K1735" s="1476"/>
      <c r="L1735" s="1476"/>
      <c r="M1735" s="1476">
        <f t="shared" si="290"/>
        <v>0</v>
      </c>
      <c r="N1735" s="1476">
        <f t="shared" si="286"/>
        <v>0</v>
      </c>
    </row>
    <row r="1736" spans="1:14" ht="31" outlineLevel="1">
      <c r="A1736" s="1455">
        <f t="shared" si="293"/>
        <v>4.2</v>
      </c>
      <c r="B1736" s="1455" t="str">
        <f t="shared" si="293"/>
        <v>Work of construction of ladies frisking room for security section and visitors room near factory gate and providing at 2x500MW, BTPS, Deepnagar.</v>
      </c>
      <c r="C1736" s="1442">
        <f t="shared" si="293"/>
        <v>0</v>
      </c>
      <c r="D1736" s="1443" t="str">
        <f t="shared" si="293"/>
        <v>-</v>
      </c>
      <c r="E1736" s="1444">
        <f t="shared" si="293"/>
        <v>0</v>
      </c>
      <c r="F1736" s="1444">
        <f t="shared" si="283"/>
        <v>0.43</v>
      </c>
      <c r="G1736" s="1444">
        <f t="shared" si="284"/>
        <v>0.43</v>
      </c>
      <c r="H1736" s="1444">
        <f t="shared" si="285"/>
        <v>0</v>
      </c>
      <c r="I1736" s="1444">
        <v>0</v>
      </c>
      <c r="J1736" s="1444">
        <v>0</v>
      </c>
      <c r="K1736" s="1444"/>
      <c r="L1736" s="1444"/>
      <c r="M1736" s="1444">
        <f t="shared" si="290"/>
        <v>0</v>
      </c>
      <c r="N1736" s="1444">
        <f t="shared" si="286"/>
        <v>0</v>
      </c>
    </row>
    <row r="1737" spans="1:14" ht="31" outlineLevel="1">
      <c r="A1737" s="1455">
        <f t="shared" si="293"/>
        <v>4.3</v>
      </c>
      <c r="B1737" s="1455" t="str">
        <f t="shared" si="293"/>
        <v>Work of dismantling and construction old weathered UCR compound wall on bhogawati riverside in 2x500 MW at BTPS.</v>
      </c>
      <c r="C1737" s="1475">
        <f t="shared" si="293"/>
        <v>0</v>
      </c>
      <c r="D1737" s="1473" t="str">
        <f t="shared" si="293"/>
        <v>-</v>
      </c>
      <c r="E1737" s="1476">
        <f t="shared" si="293"/>
        <v>0</v>
      </c>
      <c r="F1737" s="1444">
        <f t="shared" si="283"/>
        <v>3.29</v>
      </c>
      <c r="G1737" s="1444">
        <f t="shared" si="284"/>
        <v>3.29</v>
      </c>
      <c r="H1737" s="1476">
        <f t="shared" si="285"/>
        <v>0</v>
      </c>
      <c r="I1737" s="1444">
        <v>0</v>
      </c>
      <c r="J1737" s="1444">
        <v>0</v>
      </c>
      <c r="K1737" s="1476"/>
      <c r="L1737" s="1476"/>
      <c r="M1737" s="1476">
        <f t="shared" si="290"/>
        <v>0</v>
      </c>
      <c r="N1737" s="1476">
        <f t="shared" si="286"/>
        <v>0</v>
      </c>
    </row>
    <row r="1738" spans="1:14" ht="31" outlineLevel="1">
      <c r="A1738" s="1455">
        <f t="shared" si="293"/>
        <v>4.4000000000000004</v>
      </c>
      <c r="B1738" s="1455" t="str">
        <f t="shared" si="293"/>
        <v>Construcion of RCC comppund wall from remote silo to pimpri sekam railway siding cabin at BTPS</v>
      </c>
      <c r="C1738" s="1475">
        <f t="shared" si="293"/>
        <v>0</v>
      </c>
      <c r="D1738" s="1473" t="str">
        <f t="shared" si="293"/>
        <v>-</v>
      </c>
      <c r="E1738" s="1476">
        <f t="shared" si="293"/>
        <v>0</v>
      </c>
      <c r="F1738" s="1444">
        <f t="shared" si="283"/>
        <v>2.02</v>
      </c>
      <c r="G1738" s="1444">
        <f t="shared" si="284"/>
        <v>2.02</v>
      </c>
      <c r="H1738" s="1476">
        <f t="shared" si="285"/>
        <v>0</v>
      </c>
      <c r="I1738" s="1444">
        <v>0</v>
      </c>
      <c r="J1738" s="1444">
        <v>0</v>
      </c>
      <c r="K1738" s="1476"/>
      <c r="L1738" s="1476"/>
      <c r="M1738" s="1476">
        <f t="shared" si="290"/>
        <v>0</v>
      </c>
      <c r="N1738" s="1476">
        <f t="shared" si="286"/>
        <v>0</v>
      </c>
    </row>
    <row r="1739" spans="1:14" ht="15.5" outlineLevel="1">
      <c r="A1739" s="1455">
        <f t="shared" si="293"/>
        <v>4.5</v>
      </c>
      <c r="B1739" s="1455" t="str">
        <f t="shared" si="293"/>
        <v>Installation of Highmast towers</v>
      </c>
      <c r="C1739" s="1475">
        <f t="shared" si="293"/>
        <v>0</v>
      </c>
      <c r="D1739" s="1473" t="str">
        <f t="shared" si="293"/>
        <v>-</v>
      </c>
      <c r="E1739" s="1476">
        <f t="shared" si="293"/>
        <v>0</v>
      </c>
      <c r="F1739" s="1444">
        <f t="shared" si="283"/>
        <v>4.16</v>
      </c>
      <c r="G1739" s="1444">
        <f t="shared" si="284"/>
        <v>4.16</v>
      </c>
      <c r="H1739" s="1476">
        <f t="shared" si="285"/>
        <v>0</v>
      </c>
      <c r="I1739" s="1444">
        <v>0</v>
      </c>
      <c r="J1739" s="1444">
        <v>0</v>
      </c>
      <c r="K1739" s="1476"/>
      <c r="L1739" s="1476"/>
      <c r="M1739" s="1476">
        <f t="shared" si="290"/>
        <v>0</v>
      </c>
      <c r="N1739" s="1476">
        <f t="shared" si="286"/>
        <v>0</v>
      </c>
    </row>
    <row r="1740" spans="1:14" ht="15.5" outlineLevel="1">
      <c r="A1740" s="1457">
        <f t="shared" si="293"/>
        <v>0</v>
      </c>
      <c r="B1740" s="1457" t="str">
        <f t="shared" si="293"/>
        <v xml:space="preserve">FY 2026-27 </v>
      </c>
      <c r="C1740" s="1475">
        <f t="shared" si="293"/>
        <v>0</v>
      </c>
      <c r="D1740" s="1473" t="str">
        <f t="shared" si="293"/>
        <v>-</v>
      </c>
      <c r="E1740" s="1476">
        <f t="shared" si="293"/>
        <v>0</v>
      </c>
      <c r="F1740" s="1444">
        <f t="shared" si="283"/>
        <v>0</v>
      </c>
      <c r="G1740" s="1444">
        <f t="shared" si="284"/>
        <v>0</v>
      </c>
      <c r="H1740" s="1476">
        <f t="shared" si="285"/>
        <v>0</v>
      </c>
      <c r="I1740" s="1444">
        <v>0</v>
      </c>
      <c r="J1740" s="1444">
        <v>0</v>
      </c>
      <c r="K1740" s="1476"/>
      <c r="L1740" s="1476"/>
      <c r="M1740" s="1476">
        <f t="shared" si="290"/>
        <v>0</v>
      </c>
      <c r="N1740" s="1476">
        <f t="shared" si="286"/>
        <v>0</v>
      </c>
    </row>
    <row r="1741" spans="1:14" ht="31" outlineLevel="1">
      <c r="A1741" s="1458">
        <f t="shared" si="293"/>
        <v>1</v>
      </c>
      <c r="B1741" s="1459" t="str">
        <f t="shared" si="293"/>
        <v>Coal Mill Performance Improvement and Life Enhancement of BHEL Make XRP-1043 Coal Mills in 2x500 MW BTPS.</v>
      </c>
      <c r="C1741" s="1475">
        <f t="shared" si="293"/>
        <v>0</v>
      </c>
      <c r="D1741" s="1473" t="str">
        <f t="shared" si="293"/>
        <v>-</v>
      </c>
      <c r="E1741" s="1476">
        <f t="shared" si="293"/>
        <v>0</v>
      </c>
      <c r="F1741" s="1444">
        <f t="shared" si="283"/>
        <v>0</v>
      </c>
      <c r="G1741" s="1444">
        <f t="shared" si="284"/>
        <v>0</v>
      </c>
      <c r="H1741" s="1476">
        <f t="shared" si="285"/>
        <v>0</v>
      </c>
      <c r="I1741" s="1444">
        <v>0</v>
      </c>
      <c r="J1741" s="1444">
        <v>0</v>
      </c>
      <c r="K1741" s="1476"/>
      <c r="L1741" s="1476"/>
      <c r="M1741" s="1476">
        <f t="shared" si="290"/>
        <v>0</v>
      </c>
      <c r="N1741" s="1476">
        <f t="shared" si="286"/>
        <v>0</v>
      </c>
    </row>
    <row r="1742" spans="1:14" ht="31" outlineLevel="1">
      <c r="A1742" s="1455">
        <f t="shared" si="293"/>
        <v>1.1000000000000001</v>
      </c>
      <c r="B1742" s="1455" t="str">
        <f t="shared" si="293"/>
        <v>Coal Mill Performance Improvement and Life Enhancement of BHEL Make XRP-1043 Coal Mills in 2x500 MW BTPS.</v>
      </c>
      <c r="C1742" s="1475">
        <f t="shared" si="293"/>
        <v>0</v>
      </c>
      <c r="D1742" s="1473" t="str">
        <f t="shared" si="293"/>
        <v>-</v>
      </c>
      <c r="E1742" s="1476">
        <f t="shared" si="293"/>
        <v>0</v>
      </c>
      <c r="F1742" s="1444">
        <f t="shared" si="283"/>
        <v>50</v>
      </c>
      <c r="G1742" s="1444">
        <f t="shared" si="284"/>
        <v>50</v>
      </c>
      <c r="H1742" s="1476">
        <f t="shared" si="285"/>
        <v>0</v>
      </c>
      <c r="I1742" s="1444">
        <v>0</v>
      </c>
      <c r="J1742" s="1444">
        <v>0</v>
      </c>
      <c r="K1742" s="1476"/>
      <c r="L1742" s="1476"/>
      <c r="M1742" s="1476">
        <f t="shared" si="290"/>
        <v>0</v>
      </c>
      <c r="N1742" s="1476">
        <f t="shared" si="286"/>
        <v>0</v>
      </c>
    </row>
    <row r="1743" spans="1:14" ht="46.5" outlineLevel="1">
      <c r="A1743" s="1455">
        <f t="shared" si="293"/>
        <v>2</v>
      </c>
      <c r="B1743" s="1455" t="str">
        <f t="shared" si="293"/>
        <v xml:space="preserve">Upgradation of Coal feeder weighing system and revamping of Boiler side pneumatic dampers system of Hot air, cold air, FD,PA and burner tilt at Bhusawal TPS 2x500W </v>
      </c>
      <c r="C1743" s="1475">
        <f t="shared" si="293"/>
        <v>0</v>
      </c>
      <c r="D1743" s="1473" t="str">
        <f t="shared" si="293"/>
        <v>-</v>
      </c>
      <c r="E1743" s="1476">
        <f t="shared" si="293"/>
        <v>0</v>
      </c>
      <c r="F1743" s="1444">
        <f t="shared" si="283"/>
        <v>0</v>
      </c>
      <c r="G1743" s="1444">
        <f t="shared" si="284"/>
        <v>0</v>
      </c>
      <c r="H1743" s="1476">
        <f t="shared" si="285"/>
        <v>0</v>
      </c>
      <c r="I1743" s="1444">
        <v>0</v>
      </c>
      <c r="J1743" s="1444">
        <v>0</v>
      </c>
      <c r="K1743" s="1476"/>
      <c r="L1743" s="1476"/>
      <c r="M1743" s="1476">
        <f t="shared" si="290"/>
        <v>0</v>
      </c>
      <c r="N1743" s="1476">
        <f t="shared" si="286"/>
        <v>0</v>
      </c>
    </row>
    <row r="1744" spans="1:14" ht="15.5" outlineLevel="1">
      <c r="A1744" s="1455">
        <f t="shared" si="293"/>
        <v>2.1</v>
      </c>
      <c r="B1744" s="1455" t="str">
        <f t="shared" si="293"/>
        <v xml:space="preserve">Upgradation of Coal feeder weighing system  at Bhusawal TPS 2x500W </v>
      </c>
      <c r="C1744" s="1475">
        <f t="shared" si="293"/>
        <v>0</v>
      </c>
      <c r="D1744" s="1473" t="str">
        <f t="shared" si="293"/>
        <v>-</v>
      </c>
      <c r="E1744" s="1476">
        <f t="shared" si="293"/>
        <v>0</v>
      </c>
      <c r="F1744" s="1444">
        <f t="shared" si="283"/>
        <v>11.42</v>
      </c>
      <c r="G1744" s="1444">
        <f t="shared" si="284"/>
        <v>11.42</v>
      </c>
      <c r="H1744" s="1476">
        <f t="shared" si="285"/>
        <v>0</v>
      </c>
      <c r="I1744" s="1444">
        <v>0</v>
      </c>
      <c r="J1744" s="1444">
        <v>0</v>
      </c>
      <c r="K1744" s="1476"/>
      <c r="L1744" s="1476"/>
      <c r="M1744" s="1476">
        <f t="shared" si="290"/>
        <v>0</v>
      </c>
      <c r="N1744" s="1476">
        <f t="shared" si="286"/>
        <v>0</v>
      </c>
    </row>
    <row r="1745" spans="1:14" ht="15.5" outlineLevel="1">
      <c r="A1745" s="1455">
        <f t="shared" si="293"/>
        <v>2.2000000000000002</v>
      </c>
      <c r="B1745" s="1455" t="str">
        <f t="shared" si="293"/>
        <v>Up-gradation of carbon monoxide analyzer in flue gas installed</v>
      </c>
      <c r="C1745" s="1475">
        <f t="shared" si="293"/>
        <v>0</v>
      </c>
      <c r="D1745" s="1473" t="str">
        <f t="shared" si="293"/>
        <v>-</v>
      </c>
      <c r="E1745" s="1476">
        <f t="shared" si="293"/>
        <v>0</v>
      </c>
      <c r="F1745" s="1444">
        <f t="shared" si="283"/>
        <v>2.16</v>
      </c>
      <c r="G1745" s="1444">
        <f t="shared" si="284"/>
        <v>2.16</v>
      </c>
      <c r="H1745" s="1476">
        <f t="shared" si="285"/>
        <v>0</v>
      </c>
      <c r="I1745" s="1444">
        <v>0</v>
      </c>
      <c r="J1745" s="1444">
        <v>0</v>
      </c>
      <c r="K1745" s="1476"/>
      <c r="L1745" s="1476"/>
      <c r="M1745" s="1476">
        <f t="shared" si="290"/>
        <v>0</v>
      </c>
      <c r="N1745" s="1476">
        <f t="shared" si="286"/>
        <v>0</v>
      </c>
    </row>
    <row r="1746" spans="1:14" ht="31" outlineLevel="1">
      <c r="A1746" s="1455">
        <f t="shared" si="293"/>
        <v>2.2999999999999998</v>
      </c>
      <c r="B1746" s="1455" t="str">
        <f t="shared" si="293"/>
        <v>Up- Gradation of condition monitoring &amp; analysis system for TSI of Main Turbine , TDBFP &amp; BOP System 2x500 MW BTPS.</v>
      </c>
      <c r="C1746" s="1475">
        <f t="shared" si="293"/>
        <v>0</v>
      </c>
      <c r="D1746" s="1473" t="str">
        <f t="shared" si="293"/>
        <v>-</v>
      </c>
      <c r="E1746" s="1476">
        <f t="shared" si="293"/>
        <v>0</v>
      </c>
      <c r="F1746" s="1444">
        <f t="shared" si="283"/>
        <v>13.2</v>
      </c>
      <c r="G1746" s="1444">
        <f t="shared" si="284"/>
        <v>13.2</v>
      </c>
      <c r="H1746" s="1476">
        <f t="shared" si="285"/>
        <v>0</v>
      </c>
      <c r="I1746" s="1444">
        <v>0</v>
      </c>
      <c r="J1746" s="1444">
        <v>0</v>
      </c>
      <c r="K1746" s="1476"/>
      <c r="L1746" s="1476"/>
      <c r="M1746" s="1476">
        <f t="shared" si="290"/>
        <v>0</v>
      </c>
      <c r="N1746" s="1476">
        <f t="shared" si="286"/>
        <v>0</v>
      </c>
    </row>
    <row r="1747" spans="1:14" ht="31" outlineLevel="1">
      <c r="A1747" s="1455">
        <f t="shared" si="293"/>
        <v>2.5</v>
      </c>
      <c r="B1747" s="1455" t="str">
        <f t="shared" si="293"/>
        <v xml:space="preserve">Revamping of Boiler side pneumatic dampers system of Hot air, cold air, FD,PA and burner tilt at BTPS 2X500MW </v>
      </c>
      <c r="C1747" s="1475">
        <f t="shared" si="293"/>
        <v>0</v>
      </c>
      <c r="D1747" s="1473" t="str">
        <f t="shared" si="293"/>
        <v>-</v>
      </c>
      <c r="E1747" s="1476">
        <f t="shared" si="293"/>
        <v>0</v>
      </c>
      <c r="F1747" s="1444">
        <f t="shared" si="283"/>
        <v>6</v>
      </c>
      <c r="G1747" s="1444">
        <f t="shared" si="284"/>
        <v>6</v>
      </c>
      <c r="H1747" s="1476">
        <f t="shared" si="285"/>
        <v>0</v>
      </c>
      <c r="I1747" s="1444">
        <v>0</v>
      </c>
      <c r="J1747" s="1444">
        <v>0</v>
      </c>
      <c r="K1747" s="1476"/>
      <c r="L1747" s="1476"/>
      <c r="M1747" s="1476">
        <f t="shared" si="290"/>
        <v>0</v>
      </c>
      <c r="N1747" s="1476">
        <f t="shared" si="286"/>
        <v>0</v>
      </c>
    </row>
    <row r="1748" spans="1:14" ht="15.5" outlineLevel="1">
      <c r="A1748" s="1455">
        <f t="shared" ref="A1748:E1763" si="294">A1518</f>
        <v>2.6</v>
      </c>
      <c r="B1748" s="1455" t="str">
        <f t="shared" si="294"/>
        <v>Procurement of various high pressure valves at 2x500 MW.</v>
      </c>
      <c r="C1748" s="1442">
        <f t="shared" si="294"/>
        <v>0</v>
      </c>
      <c r="D1748" s="1443" t="str">
        <f t="shared" si="294"/>
        <v>-</v>
      </c>
      <c r="E1748" s="1444">
        <f t="shared" si="294"/>
        <v>0</v>
      </c>
      <c r="F1748" s="1444">
        <f t="shared" ref="F1748:F1811" si="295">F1518+I1518</f>
        <v>2.2200000000000002</v>
      </c>
      <c r="G1748" s="1444">
        <f t="shared" ref="G1748:G1811" si="296">G1518+M1518</f>
        <v>2.2200000000000002</v>
      </c>
      <c r="H1748" s="1444">
        <f t="shared" ref="H1748:H1831" si="297">F1748-G1748</f>
        <v>0</v>
      </c>
      <c r="I1748" s="1444">
        <v>0</v>
      </c>
      <c r="J1748" s="1444">
        <v>0</v>
      </c>
      <c r="K1748" s="1444"/>
      <c r="L1748" s="1444"/>
      <c r="M1748" s="1444">
        <f t="shared" si="290"/>
        <v>0</v>
      </c>
      <c r="N1748" s="1444">
        <f t="shared" ref="N1748:N1831" si="298">H1748+I1748-M1748</f>
        <v>0</v>
      </c>
    </row>
    <row r="1749" spans="1:14" ht="31" outlineLevel="1">
      <c r="A1749" s="1458">
        <f t="shared" si="294"/>
        <v>3</v>
      </c>
      <c r="B1749" s="1459" t="str">
        <f t="shared" si="294"/>
        <v>Schemes for Turbine side auxiliaries systems Performance &amp; efficiency improvement schemes at 2X500MW, Bhusawal TPS</v>
      </c>
      <c r="C1749" s="1475">
        <f t="shared" si="294"/>
        <v>0</v>
      </c>
      <c r="D1749" s="1473" t="str">
        <f t="shared" si="294"/>
        <v>-</v>
      </c>
      <c r="E1749" s="1476">
        <f t="shared" si="294"/>
        <v>0</v>
      </c>
      <c r="F1749" s="1444">
        <f t="shared" si="295"/>
        <v>0</v>
      </c>
      <c r="G1749" s="1444">
        <f t="shared" si="296"/>
        <v>0</v>
      </c>
      <c r="H1749" s="1476">
        <f t="shared" si="297"/>
        <v>0</v>
      </c>
      <c r="I1749" s="1444">
        <v>0</v>
      </c>
      <c r="J1749" s="1444">
        <v>0</v>
      </c>
      <c r="K1749" s="1476"/>
      <c r="L1749" s="1476"/>
      <c r="M1749" s="1476">
        <f t="shared" si="290"/>
        <v>0</v>
      </c>
      <c r="N1749" s="1476">
        <f t="shared" si="298"/>
        <v>0</v>
      </c>
    </row>
    <row r="1750" spans="1:14" ht="31" outlineLevel="1">
      <c r="A1750" s="1455">
        <f t="shared" si="294"/>
        <v>3.1</v>
      </c>
      <c r="B1750" s="1455" t="str">
        <f t="shared" si="294"/>
        <v>Procurement of BFP Booster Pump (FA-1B-75) complete assembly (04 Nos) at 500MW BTPS, Bhusawal.</v>
      </c>
      <c r="C1750" s="1475">
        <f t="shared" si="294"/>
        <v>0</v>
      </c>
      <c r="D1750" s="1473" t="str">
        <f t="shared" si="294"/>
        <v>-</v>
      </c>
      <c r="E1750" s="1476">
        <f t="shared" si="294"/>
        <v>0</v>
      </c>
      <c r="F1750" s="1444">
        <f t="shared" si="295"/>
        <v>3.16</v>
      </c>
      <c r="G1750" s="1444">
        <f t="shared" si="296"/>
        <v>3.16</v>
      </c>
      <c r="H1750" s="1476">
        <f t="shared" si="297"/>
        <v>0</v>
      </c>
      <c r="I1750" s="1444">
        <v>0</v>
      </c>
      <c r="J1750" s="1444">
        <v>0</v>
      </c>
      <c r="K1750" s="1476"/>
      <c r="L1750" s="1476"/>
      <c r="M1750" s="1476">
        <f t="shared" si="290"/>
        <v>0</v>
      </c>
      <c r="N1750" s="1476">
        <f t="shared" si="298"/>
        <v>0</v>
      </c>
    </row>
    <row r="1751" spans="1:14" ht="31" outlineLevel="1">
      <c r="A1751" s="1455">
        <f t="shared" si="294"/>
        <v>3.2</v>
      </c>
      <c r="B1751" s="1455" t="str">
        <f t="shared" si="294"/>
        <v>Procurement of Vacuum Pump complete assembly with recirculation Pump (01 No) and Impeller assembly (2 Nos) at 500MW BTPS, Bhusawal.</v>
      </c>
      <c r="C1751" s="1475">
        <f t="shared" si="294"/>
        <v>0</v>
      </c>
      <c r="D1751" s="1473" t="str">
        <f t="shared" si="294"/>
        <v>-</v>
      </c>
      <c r="E1751" s="1476">
        <f t="shared" si="294"/>
        <v>0</v>
      </c>
      <c r="F1751" s="1444">
        <f t="shared" si="295"/>
        <v>5.2</v>
      </c>
      <c r="G1751" s="1444">
        <f t="shared" si="296"/>
        <v>5.2</v>
      </c>
      <c r="H1751" s="1476">
        <f t="shared" si="297"/>
        <v>0</v>
      </c>
      <c r="I1751" s="1444">
        <v>0</v>
      </c>
      <c r="J1751" s="1444">
        <v>0</v>
      </c>
      <c r="K1751" s="1476"/>
      <c r="L1751" s="1476"/>
      <c r="M1751" s="1476">
        <f t="shared" si="290"/>
        <v>0</v>
      </c>
      <c r="N1751" s="1476">
        <f t="shared" si="298"/>
        <v>0</v>
      </c>
    </row>
    <row r="1752" spans="1:14" ht="31" outlineLevel="1">
      <c r="A1752" s="1455">
        <f t="shared" si="294"/>
        <v>3.3</v>
      </c>
      <c r="B1752" s="1455" t="str">
        <f t="shared" si="294"/>
        <v>Revamping, modification of outdoor ducting of Air ventilation system at 2x500MW BTPS, Bhusawal.</v>
      </c>
      <c r="C1752" s="1475">
        <f t="shared" si="294"/>
        <v>0</v>
      </c>
      <c r="D1752" s="1473" t="str">
        <f t="shared" si="294"/>
        <v>-</v>
      </c>
      <c r="E1752" s="1476">
        <f t="shared" si="294"/>
        <v>0</v>
      </c>
      <c r="F1752" s="1444">
        <f t="shared" si="295"/>
        <v>8.7200000000000006</v>
      </c>
      <c r="G1752" s="1444">
        <f t="shared" si="296"/>
        <v>8.7200000000000006</v>
      </c>
      <c r="H1752" s="1476">
        <f t="shared" si="297"/>
        <v>0</v>
      </c>
      <c r="I1752" s="1444">
        <v>0</v>
      </c>
      <c r="J1752" s="1444">
        <v>0</v>
      </c>
      <c r="K1752" s="1476"/>
      <c r="L1752" s="1476"/>
      <c r="M1752" s="1476">
        <f t="shared" si="290"/>
        <v>0</v>
      </c>
      <c r="N1752" s="1476">
        <f t="shared" si="298"/>
        <v>0</v>
      </c>
    </row>
    <row r="1753" spans="1:14" ht="15.5" outlineLevel="1">
      <c r="A1753" s="1455">
        <f t="shared" si="294"/>
        <v>3.4</v>
      </c>
      <c r="B1753" s="1455" t="str">
        <f t="shared" si="294"/>
        <v>Performance improvement of compressors</v>
      </c>
      <c r="C1753" s="1475">
        <f t="shared" si="294"/>
        <v>0</v>
      </c>
      <c r="D1753" s="1473" t="str">
        <f t="shared" si="294"/>
        <v>-</v>
      </c>
      <c r="E1753" s="1476">
        <f t="shared" si="294"/>
        <v>0</v>
      </c>
      <c r="F1753" s="1444">
        <f t="shared" si="295"/>
        <v>12.99</v>
      </c>
      <c r="G1753" s="1444">
        <f t="shared" si="296"/>
        <v>12.99</v>
      </c>
      <c r="H1753" s="1476">
        <f t="shared" si="297"/>
        <v>0</v>
      </c>
      <c r="I1753" s="1444">
        <v>0</v>
      </c>
      <c r="J1753" s="1444">
        <v>0</v>
      </c>
      <c r="K1753" s="1476"/>
      <c r="L1753" s="1476"/>
      <c r="M1753" s="1476">
        <f t="shared" si="290"/>
        <v>0</v>
      </c>
      <c r="N1753" s="1476">
        <f t="shared" si="298"/>
        <v>0</v>
      </c>
    </row>
    <row r="1754" spans="1:14" ht="15.5" outlineLevel="1">
      <c r="A1754" s="1455">
        <f t="shared" si="294"/>
        <v>3.5</v>
      </c>
      <c r="B1754" s="1455" t="str">
        <f t="shared" si="294"/>
        <v>Centralized Water Management System at BTPS, Deepnagar, Bhusawal</v>
      </c>
      <c r="C1754" s="1475">
        <f t="shared" si="294"/>
        <v>0</v>
      </c>
      <c r="D1754" s="1473" t="str">
        <f t="shared" si="294"/>
        <v>-</v>
      </c>
      <c r="E1754" s="1476">
        <f t="shared" si="294"/>
        <v>0</v>
      </c>
      <c r="F1754" s="1444">
        <f t="shared" si="295"/>
        <v>2.29</v>
      </c>
      <c r="G1754" s="1444">
        <f t="shared" si="296"/>
        <v>2.29</v>
      </c>
      <c r="H1754" s="1476">
        <f t="shared" si="297"/>
        <v>0</v>
      </c>
      <c r="I1754" s="1444">
        <v>0</v>
      </c>
      <c r="J1754" s="1444">
        <v>0</v>
      </c>
      <c r="K1754" s="1476"/>
      <c r="L1754" s="1476"/>
      <c r="M1754" s="1476">
        <f t="shared" si="290"/>
        <v>0</v>
      </c>
      <c r="N1754" s="1476">
        <f t="shared" si="298"/>
        <v>0</v>
      </c>
    </row>
    <row r="1755" spans="1:14" ht="31" outlineLevel="1">
      <c r="A1755" s="1455">
        <f t="shared" si="294"/>
        <v>3.6</v>
      </c>
      <c r="B1755" s="1455" t="str">
        <f t="shared" si="294"/>
        <v>Revamping and upgradation of Forbes Marshal make Steam &amp; Water Analysis System Installed at 2x500MW BTPS.</v>
      </c>
      <c r="C1755" s="1475">
        <f t="shared" si="294"/>
        <v>0</v>
      </c>
      <c r="D1755" s="1473" t="str">
        <f t="shared" si="294"/>
        <v>-</v>
      </c>
      <c r="E1755" s="1476">
        <f t="shared" si="294"/>
        <v>0</v>
      </c>
      <c r="F1755" s="1444">
        <f t="shared" si="295"/>
        <v>10.11</v>
      </c>
      <c r="G1755" s="1444">
        <f t="shared" si="296"/>
        <v>10.11</v>
      </c>
      <c r="H1755" s="1476">
        <f t="shared" si="297"/>
        <v>0</v>
      </c>
      <c r="I1755" s="1444">
        <v>0</v>
      </c>
      <c r="J1755" s="1444">
        <v>0</v>
      </c>
      <c r="K1755" s="1476"/>
      <c r="L1755" s="1476"/>
      <c r="M1755" s="1476">
        <f t="shared" si="290"/>
        <v>0</v>
      </c>
      <c r="N1755" s="1476">
        <f t="shared" si="298"/>
        <v>0</v>
      </c>
    </row>
    <row r="1756" spans="1:14" ht="31" outlineLevel="1">
      <c r="A1756" s="1458">
        <f t="shared" si="294"/>
        <v>4</v>
      </c>
      <c r="B1756" s="1459" t="str">
        <f t="shared" si="294"/>
        <v>Implementation of flexible operation solutions for technical minimum operation of 2x500MW, BTPS.</v>
      </c>
      <c r="C1756" s="1475">
        <f t="shared" si="294"/>
        <v>0</v>
      </c>
      <c r="D1756" s="1473" t="str">
        <f t="shared" si="294"/>
        <v>-</v>
      </c>
      <c r="E1756" s="1476">
        <f t="shared" si="294"/>
        <v>0</v>
      </c>
      <c r="F1756" s="1444">
        <f t="shared" si="295"/>
        <v>0</v>
      </c>
      <c r="G1756" s="1444">
        <f t="shared" si="296"/>
        <v>0</v>
      </c>
      <c r="H1756" s="1476">
        <f t="shared" si="297"/>
        <v>0</v>
      </c>
      <c r="I1756" s="1444">
        <v>0</v>
      </c>
      <c r="J1756" s="1444">
        <v>0</v>
      </c>
      <c r="K1756" s="1476"/>
      <c r="L1756" s="1476"/>
      <c r="M1756" s="1476">
        <f t="shared" si="290"/>
        <v>0</v>
      </c>
      <c r="N1756" s="1476">
        <f t="shared" si="298"/>
        <v>0</v>
      </c>
    </row>
    <row r="1757" spans="1:14" ht="31" outlineLevel="1">
      <c r="A1757" s="1455">
        <f t="shared" si="294"/>
        <v>4.0999999999999996</v>
      </c>
      <c r="B1757" s="1455" t="str">
        <f t="shared" si="294"/>
        <v>Implementation of flexible operation solutions for technical minimum operation of 2x500MW, BTPS.</v>
      </c>
      <c r="C1757" s="1475">
        <f t="shared" si="294"/>
        <v>0</v>
      </c>
      <c r="D1757" s="1473" t="str">
        <f t="shared" si="294"/>
        <v>-</v>
      </c>
      <c r="E1757" s="1476">
        <f t="shared" si="294"/>
        <v>0</v>
      </c>
      <c r="F1757" s="1444">
        <f t="shared" si="295"/>
        <v>50</v>
      </c>
      <c r="G1757" s="1444">
        <f t="shared" si="296"/>
        <v>50</v>
      </c>
      <c r="H1757" s="1476">
        <f t="shared" si="297"/>
        <v>0</v>
      </c>
      <c r="I1757" s="1444">
        <v>0</v>
      </c>
      <c r="J1757" s="1444">
        <v>0</v>
      </c>
      <c r="K1757" s="1476"/>
      <c r="L1757" s="1476"/>
      <c r="M1757" s="1476">
        <f t="shared" si="290"/>
        <v>0</v>
      </c>
      <c r="N1757" s="1476">
        <f t="shared" si="298"/>
        <v>0</v>
      </c>
    </row>
    <row r="1758" spans="1:14" ht="15.5" outlineLevel="1">
      <c r="A1758" s="1457">
        <f t="shared" si="294"/>
        <v>0</v>
      </c>
      <c r="B1758" s="1457" t="str">
        <f t="shared" si="294"/>
        <v xml:space="preserve">FY 2027-28 </v>
      </c>
      <c r="C1758" s="1442">
        <f t="shared" si="294"/>
        <v>0</v>
      </c>
      <c r="D1758" s="1443" t="str">
        <f t="shared" si="294"/>
        <v>-</v>
      </c>
      <c r="E1758" s="1444">
        <f t="shared" si="294"/>
        <v>0</v>
      </c>
      <c r="F1758" s="1444">
        <f t="shared" si="295"/>
        <v>0</v>
      </c>
      <c r="G1758" s="1444">
        <f t="shared" si="296"/>
        <v>0</v>
      </c>
      <c r="H1758" s="1444">
        <f t="shared" si="297"/>
        <v>0</v>
      </c>
      <c r="I1758" s="1444">
        <v>0</v>
      </c>
      <c r="J1758" s="1444">
        <v>0</v>
      </c>
      <c r="K1758" s="1444"/>
      <c r="L1758" s="1444"/>
      <c r="M1758" s="1444">
        <f t="shared" si="290"/>
        <v>0</v>
      </c>
      <c r="N1758" s="1444">
        <f t="shared" si="298"/>
        <v>0</v>
      </c>
    </row>
    <row r="1759" spans="1:14" ht="31" outlineLevel="1">
      <c r="A1759" s="1458">
        <f t="shared" si="294"/>
        <v>1</v>
      </c>
      <c r="B1759" s="1459" t="str">
        <f t="shared" si="294"/>
        <v>Supply,Installation and commissioning of Boiler performance and reliability improvement schemes at BTPS 2x500MW.</v>
      </c>
      <c r="C1759" s="1475">
        <f t="shared" si="294"/>
        <v>0</v>
      </c>
      <c r="D1759" s="1473" t="str">
        <f t="shared" si="294"/>
        <v>-</v>
      </c>
      <c r="E1759" s="1476">
        <f t="shared" si="294"/>
        <v>0</v>
      </c>
      <c r="F1759" s="1444">
        <f t="shared" si="295"/>
        <v>0</v>
      </c>
      <c r="G1759" s="1444">
        <f t="shared" si="296"/>
        <v>0</v>
      </c>
      <c r="H1759" s="1476">
        <f t="shared" si="297"/>
        <v>0</v>
      </c>
      <c r="I1759" s="1444">
        <v>0</v>
      </c>
      <c r="J1759" s="1444">
        <v>0</v>
      </c>
      <c r="K1759" s="1476"/>
      <c r="L1759" s="1476"/>
      <c r="M1759" s="1476">
        <f t="shared" ref="M1759:M1822" si="299">SUM(J1759:L1759)</f>
        <v>0</v>
      </c>
      <c r="N1759" s="1476">
        <f t="shared" si="298"/>
        <v>0</v>
      </c>
    </row>
    <row r="1760" spans="1:14" ht="31" outlineLevel="1">
      <c r="A1760" s="1455">
        <f t="shared" si="294"/>
        <v>1.1000000000000001</v>
      </c>
      <c r="B1760" s="1455" t="str">
        <f t="shared" si="294"/>
        <v>Procurement of  M/s Torishima, Japan make, 350 KW, 6.6KV, Boiler Circulating Water (BCW) Pump Motors at BTPS 2x500MW.</v>
      </c>
      <c r="C1760" s="1475">
        <f t="shared" si="294"/>
        <v>0</v>
      </c>
      <c r="D1760" s="1473" t="str">
        <f t="shared" si="294"/>
        <v>-</v>
      </c>
      <c r="E1760" s="1476">
        <f t="shared" si="294"/>
        <v>0</v>
      </c>
      <c r="F1760" s="1444">
        <f t="shared" si="295"/>
        <v>5.58</v>
      </c>
      <c r="G1760" s="1444">
        <f t="shared" si="296"/>
        <v>5.58</v>
      </c>
      <c r="H1760" s="1476">
        <f t="shared" si="297"/>
        <v>0</v>
      </c>
      <c r="I1760" s="1444">
        <v>0</v>
      </c>
      <c r="J1760" s="1444">
        <v>0</v>
      </c>
      <c r="K1760" s="1476"/>
      <c r="L1760" s="1476"/>
      <c r="M1760" s="1476">
        <f t="shared" si="299"/>
        <v>0</v>
      </c>
      <c r="N1760" s="1476">
        <f t="shared" si="298"/>
        <v>0</v>
      </c>
    </row>
    <row r="1761" spans="1:14" ht="31" outlineLevel="1">
      <c r="A1761" s="1455">
        <f t="shared" si="294"/>
        <v>1.2</v>
      </c>
      <c r="B1761" s="1455" t="str">
        <f t="shared" si="294"/>
        <v>Installation commissioning of Online DC Earth fault monitoring system at 220V DCDB at 500MW U-4&amp;5.</v>
      </c>
      <c r="C1761" s="1475">
        <f t="shared" si="294"/>
        <v>0</v>
      </c>
      <c r="D1761" s="1473" t="str">
        <f t="shared" si="294"/>
        <v>-</v>
      </c>
      <c r="E1761" s="1476">
        <f t="shared" si="294"/>
        <v>0</v>
      </c>
      <c r="F1761" s="1444">
        <f t="shared" si="295"/>
        <v>2.5</v>
      </c>
      <c r="G1761" s="1444">
        <f t="shared" si="296"/>
        <v>2.5</v>
      </c>
      <c r="H1761" s="1476">
        <f t="shared" si="297"/>
        <v>0</v>
      </c>
      <c r="I1761" s="1444">
        <v>0</v>
      </c>
      <c r="J1761" s="1444">
        <v>0</v>
      </c>
      <c r="K1761" s="1476"/>
      <c r="L1761" s="1476"/>
      <c r="M1761" s="1476">
        <f t="shared" si="299"/>
        <v>0</v>
      </c>
      <c r="N1761" s="1476">
        <f t="shared" si="298"/>
        <v>0</v>
      </c>
    </row>
    <row r="1762" spans="1:14" ht="31" outlineLevel="1">
      <c r="A1762" s="1455">
        <f t="shared" si="294"/>
        <v>1.3</v>
      </c>
      <c r="B1762" s="1455" t="str">
        <f t="shared" si="294"/>
        <v>Design,  supply, erection, comms. Of ID VFD &amp; AHP transformers for 2x500MW BTPS.</v>
      </c>
      <c r="C1762" s="1475">
        <f t="shared" si="294"/>
        <v>0</v>
      </c>
      <c r="D1762" s="1473" t="str">
        <f t="shared" si="294"/>
        <v>-</v>
      </c>
      <c r="E1762" s="1476">
        <f t="shared" si="294"/>
        <v>0</v>
      </c>
      <c r="F1762" s="1444">
        <f t="shared" si="295"/>
        <v>2</v>
      </c>
      <c r="G1762" s="1444">
        <f t="shared" si="296"/>
        <v>2</v>
      </c>
      <c r="H1762" s="1476">
        <f t="shared" si="297"/>
        <v>0</v>
      </c>
      <c r="I1762" s="1444">
        <v>0</v>
      </c>
      <c r="J1762" s="1444">
        <v>0</v>
      </c>
      <c r="K1762" s="1476"/>
      <c r="L1762" s="1476"/>
      <c r="M1762" s="1476">
        <f t="shared" si="299"/>
        <v>0</v>
      </c>
      <c r="N1762" s="1476">
        <f t="shared" si="298"/>
        <v>0</v>
      </c>
    </row>
    <row r="1763" spans="1:14" ht="31" outlineLevel="1">
      <c r="A1763" s="1455">
        <f t="shared" si="294"/>
        <v>1.4</v>
      </c>
      <c r="B1763" s="1455" t="str">
        <f t="shared" si="294"/>
        <v>Design,supply,installation and commissioning of Energy efficient  System for illumination at BTPS 2x500MW.</v>
      </c>
      <c r="C1763" s="1475">
        <f t="shared" si="294"/>
        <v>0</v>
      </c>
      <c r="D1763" s="1473" t="str">
        <f t="shared" si="294"/>
        <v>-</v>
      </c>
      <c r="E1763" s="1476">
        <f t="shared" si="294"/>
        <v>0</v>
      </c>
      <c r="F1763" s="1444">
        <f t="shared" si="295"/>
        <v>4</v>
      </c>
      <c r="G1763" s="1444">
        <f t="shared" si="296"/>
        <v>4</v>
      </c>
      <c r="H1763" s="1476">
        <f t="shared" si="297"/>
        <v>0</v>
      </c>
      <c r="I1763" s="1444">
        <v>0</v>
      </c>
      <c r="J1763" s="1444">
        <v>0</v>
      </c>
      <c r="K1763" s="1476"/>
      <c r="L1763" s="1476"/>
      <c r="M1763" s="1476">
        <f t="shared" si="299"/>
        <v>0</v>
      </c>
      <c r="N1763" s="1476">
        <f t="shared" si="298"/>
        <v>0</v>
      </c>
    </row>
    <row r="1764" spans="1:14" ht="31" outlineLevel="1">
      <c r="A1764" s="1455">
        <f t="shared" ref="A1764:E1779" si="300">A1534</f>
        <v>1.5</v>
      </c>
      <c r="B1764" s="1455" t="str">
        <f t="shared" si="300"/>
        <v>Procurement of  Main Gear unit assembly of electrical Actuators in 2x500MW BTPS</v>
      </c>
      <c r="C1764" s="1442">
        <f t="shared" si="300"/>
        <v>0</v>
      </c>
      <c r="D1764" s="1443" t="str">
        <f t="shared" si="300"/>
        <v>-</v>
      </c>
      <c r="E1764" s="1444">
        <f t="shared" si="300"/>
        <v>0</v>
      </c>
      <c r="F1764" s="1444">
        <f t="shared" si="295"/>
        <v>6</v>
      </c>
      <c r="G1764" s="1444">
        <f t="shared" si="296"/>
        <v>6</v>
      </c>
      <c r="H1764" s="1444">
        <f t="shared" si="297"/>
        <v>0</v>
      </c>
      <c r="I1764" s="1444">
        <v>0</v>
      </c>
      <c r="J1764" s="1444">
        <v>0</v>
      </c>
      <c r="K1764" s="1444"/>
      <c r="L1764" s="1444"/>
      <c r="M1764" s="1444">
        <f t="shared" si="299"/>
        <v>0</v>
      </c>
      <c r="N1764" s="1444">
        <f t="shared" si="298"/>
        <v>0</v>
      </c>
    </row>
    <row r="1765" spans="1:14" ht="31" outlineLevel="1">
      <c r="A1765" s="1455">
        <f t="shared" si="300"/>
        <v>1.6</v>
      </c>
      <c r="B1765" s="1455" t="str">
        <f t="shared" si="300"/>
        <v>Supply, erection, commissioning &amp; site testing of 360V, 750 AH Station UPS Battery Sets  along with accessories for Unit No.5 at BTPS 2x500MW.</v>
      </c>
      <c r="C1765" s="1475">
        <f t="shared" si="300"/>
        <v>0</v>
      </c>
      <c r="D1765" s="1473" t="str">
        <f t="shared" si="300"/>
        <v>-</v>
      </c>
      <c r="E1765" s="1476">
        <f t="shared" si="300"/>
        <v>0</v>
      </c>
      <c r="F1765" s="1444">
        <f t="shared" si="295"/>
        <v>4</v>
      </c>
      <c r="G1765" s="1444">
        <f t="shared" si="296"/>
        <v>4</v>
      </c>
      <c r="H1765" s="1476">
        <f t="shared" si="297"/>
        <v>0</v>
      </c>
      <c r="I1765" s="1444">
        <v>0</v>
      </c>
      <c r="J1765" s="1444">
        <v>0</v>
      </c>
      <c r="K1765" s="1476"/>
      <c r="L1765" s="1476"/>
      <c r="M1765" s="1476">
        <f t="shared" si="299"/>
        <v>0</v>
      </c>
      <c r="N1765" s="1476">
        <f t="shared" si="298"/>
        <v>0</v>
      </c>
    </row>
    <row r="1766" spans="1:14" ht="15.5" outlineLevel="1">
      <c r="A1766" s="1455">
        <f t="shared" si="300"/>
        <v>1.7</v>
      </c>
      <c r="B1766" s="1455" t="str">
        <f t="shared" si="300"/>
        <v xml:space="preserve">Upgradation of EWLI system  at Bhusawal TPS 2x500W </v>
      </c>
      <c r="C1766" s="1442">
        <f t="shared" si="300"/>
        <v>0</v>
      </c>
      <c r="D1766" s="1443" t="str">
        <f t="shared" si="300"/>
        <v>-</v>
      </c>
      <c r="E1766" s="1444">
        <f t="shared" si="300"/>
        <v>0</v>
      </c>
      <c r="F1766" s="1444">
        <f t="shared" si="295"/>
        <v>1</v>
      </c>
      <c r="G1766" s="1444">
        <f t="shared" si="296"/>
        <v>1</v>
      </c>
      <c r="H1766" s="1444">
        <f t="shared" si="297"/>
        <v>0</v>
      </c>
      <c r="I1766" s="1444">
        <v>0</v>
      </c>
      <c r="J1766" s="1444">
        <v>0</v>
      </c>
      <c r="K1766" s="1444"/>
      <c r="L1766" s="1444"/>
      <c r="M1766" s="1444">
        <f t="shared" si="299"/>
        <v>0</v>
      </c>
      <c r="N1766" s="1444">
        <f t="shared" si="298"/>
        <v>0</v>
      </c>
    </row>
    <row r="1767" spans="1:14" ht="46.5" outlineLevel="1">
      <c r="A1767" s="1458">
        <f t="shared" si="300"/>
        <v>2</v>
      </c>
      <c r="B1767" s="1459" t="str">
        <f t="shared" si="300"/>
        <v>Performance improvement of Bottom ash evacualtion system to reduce auxillary power consumption, water consumption &amp; environmental pollution at 2X500MW, Bhusawal TPS</v>
      </c>
      <c r="C1767" s="1475">
        <f t="shared" si="300"/>
        <v>0</v>
      </c>
      <c r="D1767" s="1473" t="str">
        <f t="shared" si="300"/>
        <v>-</v>
      </c>
      <c r="E1767" s="1476">
        <f t="shared" si="300"/>
        <v>0</v>
      </c>
      <c r="F1767" s="1444">
        <f t="shared" si="295"/>
        <v>0</v>
      </c>
      <c r="G1767" s="1444">
        <f t="shared" si="296"/>
        <v>0</v>
      </c>
      <c r="H1767" s="1476">
        <f t="shared" si="297"/>
        <v>0</v>
      </c>
      <c r="I1767" s="1444">
        <v>0</v>
      </c>
      <c r="J1767" s="1444">
        <v>0</v>
      </c>
      <c r="K1767" s="1476"/>
      <c r="L1767" s="1476"/>
      <c r="M1767" s="1476">
        <f t="shared" si="299"/>
        <v>0</v>
      </c>
      <c r="N1767" s="1476">
        <f t="shared" si="298"/>
        <v>0</v>
      </c>
    </row>
    <row r="1768" spans="1:14" ht="31" outlineLevel="1">
      <c r="A1768" s="1455">
        <f t="shared" si="300"/>
        <v>2.1</v>
      </c>
      <c r="B1768" s="1455" t="str">
        <f t="shared" si="300"/>
        <v>Modification of latest design AR 200/550 Ash slurry pump assembly including auxillaries at AHP, 2x500MW, BTPS.</v>
      </c>
      <c r="C1768" s="1442">
        <f t="shared" si="300"/>
        <v>0</v>
      </c>
      <c r="D1768" s="1443" t="str">
        <f t="shared" si="300"/>
        <v>-</v>
      </c>
      <c r="E1768" s="1444">
        <f t="shared" si="300"/>
        <v>0</v>
      </c>
      <c r="F1768" s="1444">
        <f t="shared" si="295"/>
        <v>4.6900000000000004</v>
      </c>
      <c r="G1768" s="1444">
        <f t="shared" si="296"/>
        <v>4.6900000000000004</v>
      </c>
      <c r="H1768" s="1444">
        <f t="shared" si="297"/>
        <v>0</v>
      </c>
      <c r="I1768" s="1444">
        <v>0</v>
      </c>
      <c r="J1768" s="1444">
        <v>0</v>
      </c>
      <c r="K1768" s="1444"/>
      <c r="L1768" s="1444"/>
      <c r="M1768" s="1444">
        <f t="shared" si="299"/>
        <v>0</v>
      </c>
      <c r="N1768" s="1444">
        <f t="shared" si="298"/>
        <v>0</v>
      </c>
    </row>
    <row r="1769" spans="1:14" ht="31" outlineLevel="1">
      <c r="A1769" s="1455">
        <f t="shared" si="300"/>
        <v>2.2000000000000002</v>
      </c>
      <c r="B1769" s="1455" t="str">
        <f t="shared" si="300"/>
        <v>Modification of single roll reversible clinker grinder system at AHP, 2x500MW, BTPS</v>
      </c>
      <c r="C1769" s="1475">
        <f t="shared" si="300"/>
        <v>0</v>
      </c>
      <c r="D1769" s="1473" t="str">
        <f t="shared" si="300"/>
        <v>-</v>
      </c>
      <c r="E1769" s="1476">
        <f t="shared" si="300"/>
        <v>0</v>
      </c>
      <c r="F1769" s="1444">
        <f t="shared" si="295"/>
        <v>3.09</v>
      </c>
      <c r="G1769" s="1444">
        <f t="shared" si="296"/>
        <v>3.09</v>
      </c>
      <c r="H1769" s="1476">
        <f t="shared" si="297"/>
        <v>0</v>
      </c>
      <c r="I1769" s="1444">
        <v>0</v>
      </c>
      <c r="J1769" s="1444">
        <v>0</v>
      </c>
      <c r="K1769" s="1476"/>
      <c r="L1769" s="1476"/>
      <c r="M1769" s="1476">
        <f t="shared" si="299"/>
        <v>0</v>
      </c>
      <c r="N1769" s="1476">
        <f t="shared" si="298"/>
        <v>0</v>
      </c>
    </row>
    <row r="1770" spans="1:14" ht="31" outlineLevel="1">
      <c r="A1770" s="1455">
        <f t="shared" si="300"/>
        <v>2.2999999999999998</v>
      </c>
      <c r="B1770" s="1455" t="str">
        <f t="shared" si="300"/>
        <v>Modification of bottom ash &amp; coarse ash slurry pipe line disposal system at AHP 2X500 MW BTPS</v>
      </c>
      <c r="C1770" s="1475">
        <f t="shared" si="300"/>
        <v>0</v>
      </c>
      <c r="D1770" s="1473" t="str">
        <f t="shared" si="300"/>
        <v>-</v>
      </c>
      <c r="E1770" s="1476">
        <f t="shared" si="300"/>
        <v>0</v>
      </c>
      <c r="F1770" s="1444">
        <f t="shared" si="295"/>
        <v>34.550000000000004</v>
      </c>
      <c r="G1770" s="1444">
        <f t="shared" si="296"/>
        <v>34.550000000000004</v>
      </c>
      <c r="H1770" s="1476">
        <f t="shared" si="297"/>
        <v>0</v>
      </c>
      <c r="I1770" s="1444">
        <v>0</v>
      </c>
      <c r="J1770" s="1444">
        <v>0</v>
      </c>
      <c r="K1770" s="1476"/>
      <c r="L1770" s="1476"/>
      <c r="M1770" s="1476">
        <f t="shared" si="299"/>
        <v>0</v>
      </c>
      <c r="N1770" s="1476">
        <f t="shared" si="298"/>
        <v>0</v>
      </c>
    </row>
    <row r="1771" spans="1:14" ht="15.5" outlineLevel="1">
      <c r="A1771" s="1458">
        <f t="shared" si="300"/>
        <v>3</v>
      </c>
      <c r="B1771" s="1459" t="str">
        <f t="shared" si="300"/>
        <v>Boiler Reliability &amp; Availability improvement at 2x500MW, Bhusawal TPS.</v>
      </c>
      <c r="C1771" s="1442">
        <f t="shared" si="300"/>
        <v>0</v>
      </c>
      <c r="D1771" s="1443" t="str">
        <f t="shared" si="300"/>
        <v>-</v>
      </c>
      <c r="E1771" s="1444">
        <f t="shared" si="300"/>
        <v>0</v>
      </c>
      <c r="F1771" s="1444">
        <f t="shared" si="295"/>
        <v>0</v>
      </c>
      <c r="G1771" s="1444">
        <f t="shared" si="296"/>
        <v>0</v>
      </c>
      <c r="H1771" s="1444">
        <f t="shared" si="297"/>
        <v>0</v>
      </c>
      <c r="I1771" s="1444">
        <v>0</v>
      </c>
      <c r="J1771" s="1444">
        <v>0</v>
      </c>
      <c r="K1771" s="1444"/>
      <c r="L1771" s="1444"/>
      <c r="M1771" s="1444">
        <f t="shared" si="299"/>
        <v>0</v>
      </c>
      <c r="N1771" s="1444">
        <f t="shared" si="298"/>
        <v>0</v>
      </c>
    </row>
    <row r="1772" spans="1:14" ht="15.5" outlineLevel="1">
      <c r="A1772" s="1455">
        <f t="shared" si="300"/>
        <v>3.1</v>
      </c>
      <c r="B1772" s="1455" t="str">
        <f t="shared" si="300"/>
        <v>Procurement of Boiler Coils (CRH &amp;HRH) at 2x500MW BTPS.</v>
      </c>
      <c r="C1772" s="1475">
        <f t="shared" si="300"/>
        <v>0</v>
      </c>
      <c r="D1772" s="1473" t="str">
        <f t="shared" si="300"/>
        <v>-</v>
      </c>
      <c r="E1772" s="1476">
        <f t="shared" si="300"/>
        <v>0</v>
      </c>
      <c r="F1772" s="1444">
        <f t="shared" si="295"/>
        <v>25</v>
      </c>
      <c r="G1772" s="1444">
        <f t="shared" si="296"/>
        <v>25</v>
      </c>
      <c r="H1772" s="1476">
        <f t="shared" si="297"/>
        <v>0</v>
      </c>
      <c r="I1772" s="1444">
        <v>0</v>
      </c>
      <c r="J1772" s="1444">
        <v>0</v>
      </c>
      <c r="K1772" s="1476"/>
      <c r="L1772" s="1476"/>
      <c r="M1772" s="1476">
        <f t="shared" si="299"/>
        <v>0</v>
      </c>
      <c r="N1772" s="1476">
        <f t="shared" si="298"/>
        <v>0</v>
      </c>
    </row>
    <row r="1773" spans="1:14" ht="15.5" outlineLevel="1">
      <c r="A1773" s="1455">
        <f t="shared" si="300"/>
        <v>3.2</v>
      </c>
      <c r="B1773" s="1455" t="str">
        <f t="shared" si="300"/>
        <v>Procurement of ID fan impeller with shaft at 2x500 MW BTPS.</v>
      </c>
      <c r="C1773" s="1475">
        <f t="shared" si="300"/>
        <v>0</v>
      </c>
      <c r="D1773" s="1473" t="str">
        <f t="shared" si="300"/>
        <v>-</v>
      </c>
      <c r="E1773" s="1476">
        <f t="shared" si="300"/>
        <v>0</v>
      </c>
      <c r="F1773" s="1444">
        <f t="shared" si="295"/>
        <v>15</v>
      </c>
      <c r="G1773" s="1444">
        <f t="shared" si="296"/>
        <v>15</v>
      </c>
      <c r="H1773" s="1476">
        <f t="shared" si="297"/>
        <v>0</v>
      </c>
      <c r="I1773" s="1444">
        <v>0</v>
      </c>
      <c r="J1773" s="1444">
        <v>0</v>
      </c>
      <c r="K1773" s="1476"/>
      <c r="L1773" s="1476"/>
      <c r="M1773" s="1476">
        <f t="shared" si="299"/>
        <v>0</v>
      </c>
      <c r="N1773" s="1476">
        <f t="shared" si="298"/>
        <v>0</v>
      </c>
    </row>
    <row r="1774" spans="1:14" ht="31" outlineLevel="1">
      <c r="A1774" s="1455">
        <f t="shared" si="300"/>
        <v>3.3</v>
      </c>
      <c r="B1774" s="1455" t="str">
        <f t="shared" si="300"/>
        <v>Procurement SH,RH,MS outlet valves with actuator and motor at 2x500 MW BTPS.</v>
      </c>
      <c r="C1774" s="1442">
        <f t="shared" si="300"/>
        <v>0</v>
      </c>
      <c r="D1774" s="1443" t="str">
        <f t="shared" si="300"/>
        <v>-</v>
      </c>
      <c r="E1774" s="1444">
        <f t="shared" si="300"/>
        <v>0</v>
      </c>
      <c r="F1774" s="1444">
        <f t="shared" si="295"/>
        <v>5</v>
      </c>
      <c r="G1774" s="1444">
        <f t="shared" si="296"/>
        <v>5</v>
      </c>
      <c r="H1774" s="1444">
        <f t="shared" si="297"/>
        <v>0</v>
      </c>
      <c r="I1774" s="1444">
        <v>0</v>
      </c>
      <c r="J1774" s="1444">
        <v>0</v>
      </c>
      <c r="K1774" s="1444"/>
      <c r="L1774" s="1444"/>
      <c r="M1774" s="1444">
        <f t="shared" si="299"/>
        <v>0</v>
      </c>
      <c r="N1774" s="1444">
        <f t="shared" si="298"/>
        <v>0</v>
      </c>
    </row>
    <row r="1775" spans="1:14" ht="15.5" outlineLevel="1">
      <c r="A1775" s="1458">
        <f t="shared" si="300"/>
        <v>4</v>
      </c>
      <c r="B1775" s="1459" t="str">
        <f t="shared" si="300"/>
        <v>CHP Infrastructure Development Schemes</v>
      </c>
      <c r="C1775" s="1475">
        <f t="shared" si="300"/>
        <v>0</v>
      </c>
      <c r="D1775" s="1473" t="str">
        <f t="shared" si="300"/>
        <v>-</v>
      </c>
      <c r="E1775" s="1476">
        <f t="shared" si="300"/>
        <v>0</v>
      </c>
      <c r="F1775" s="1444">
        <f t="shared" si="295"/>
        <v>0</v>
      </c>
      <c r="G1775" s="1444">
        <f t="shared" si="296"/>
        <v>0</v>
      </c>
      <c r="H1775" s="1476">
        <f t="shared" si="297"/>
        <v>0</v>
      </c>
      <c r="I1775" s="1444">
        <v>0</v>
      </c>
      <c r="J1775" s="1444">
        <v>0</v>
      </c>
      <c r="K1775" s="1476"/>
      <c r="L1775" s="1476"/>
      <c r="M1775" s="1476">
        <f t="shared" si="299"/>
        <v>0</v>
      </c>
      <c r="N1775" s="1476">
        <f t="shared" si="298"/>
        <v>0</v>
      </c>
    </row>
    <row r="1776" spans="1:14" ht="31" outlineLevel="1">
      <c r="A1776" s="1455">
        <f t="shared" si="300"/>
        <v>4.0999999999999996</v>
      </c>
      <c r="B1776" s="1455" t="str">
        <f t="shared" si="300"/>
        <v>Supply, installation and commissioning PLC system on a single platform to match with external aspect &amp; process improvement at CHP 2x500MW BTPS.</v>
      </c>
      <c r="C1776" s="1475">
        <f t="shared" si="300"/>
        <v>0</v>
      </c>
      <c r="D1776" s="1473" t="str">
        <f t="shared" si="300"/>
        <v>-</v>
      </c>
      <c r="E1776" s="1476">
        <f t="shared" si="300"/>
        <v>0</v>
      </c>
      <c r="F1776" s="1444">
        <f t="shared" si="295"/>
        <v>18.399999999999999</v>
      </c>
      <c r="G1776" s="1444">
        <f t="shared" si="296"/>
        <v>18.399999999999999</v>
      </c>
      <c r="H1776" s="1476">
        <f t="shared" si="297"/>
        <v>0</v>
      </c>
      <c r="I1776" s="1444">
        <v>0</v>
      </c>
      <c r="J1776" s="1444">
        <v>0</v>
      </c>
      <c r="K1776" s="1476"/>
      <c r="L1776" s="1476"/>
      <c r="M1776" s="1476">
        <f t="shared" si="299"/>
        <v>0</v>
      </c>
      <c r="N1776" s="1476">
        <f t="shared" si="298"/>
        <v>0</v>
      </c>
    </row>
    <row r="1777" spans="1:14" ht="31" outlineLevel="1">
      <c r="A1777" s="1455">
        <f t="shared" si="300"/>
        <v>4.2</v>
      </c>
      <c r="B1777" s="1455" t="str">
        <f t="shared" si="300"/>
        <v>Supply, installation, retrofitting and commissioning of HT breaker at HT Switchgear in CHP 2x500MW BTPS</v>
      </c>
      <c r="C1777" s="1475">
        <f t="shared" si="300"/>
        <v>0</v>
      </c>
      <c r="D1777" s="1473" t="str">
        <f t="shared" si="300"/>
        <v>-</v>
      </c>
      <c r="E1777" s="1476">
        <f t="shared" si="300"/>
        <v>0</v>
      </c>
      <c r="F1777" s="1444">
        <f t="shared" si="295"/>
        <v>6.9</v>
      </c>
      <c r="G1777" s="1444">
        <f t="shared" si="296"/>
        <v>6.9</v>
      </c>
      <c r="H1777" s="1476">
        <f t="shared" si="297"/>
        <v>0</v>
      </c>
      <c r="I1777" s="1444">
        <v>0</v>
      </c>
      <c r="J1777" s="1444">
        <v>0</v>
      </c>
      <c r="K1777" s="1476"/>
      <c r="L1777" s="1476"/>
      <c r="M1777" s="1476">
        <f t="shared" si="299"/>
        <v>0</v>
      </c>
      <c r="N1777" s="1476">
        <f t="shared" si="298"/>
        <v>0</v>
      </c>
    </row>
    <row r="1778" spans="1:14" ht="31" outlineLevel="1">
      <c r="A1778" s="1455">
        <f t="shared" si="300"/>
        <v>4.3</v>
      </c>
      <c r="B1778" s="1455" t="str">
        <f t="shared" si="300"/>
        <v>Supply, installation, retrofitting and commissioning of LT breaker at LT Switchgear in CHP 2x500MW BTPS.</v>
      </c>
      <c r="C1778" s="1475">
        <f t="shared" si="300"/>
        <v>0</v>
      </c>
      <c r="D1778" s="1473" t="str">
        <f t="shared" si="300"/>
        <v>-</v>
      </c>
      <c r="E1778" s="1476">
        <f t="shared" si="300"/>
        <v>0</v>
      </c>
      <c r="F1778" s="1444">
        <f t="shared" si="295"/>
        <v>4.4000000000000004</v>
      </c>
      <c r="G1778" s="1444">
        <f t="shared" si="296"/>
        <v>4.4000000000000004</v>
      </c>
      <c r="H1778" s="1476">
        <f t="shared" si="297"/>
        <v>0</v>
      </c>
      <c r="I1778" s="1444">
        <v>0</v>
      </c>
      <c r="J1778" s="1444">
        <v>0</v>
      </c>
      <c r="K1778" s="1476"/>
      <c r="L1778" s="1476"/>
      <c r="M1778" s="1476">
        <f t="shared" si="299"/>
        <v>0</v>
      </c>
      <c r="N1778" s="1476">
        <f t="shared" si="298"/>
        <v>0</v>
      </c>
    </row>
    <row r="1779" spans="1:14" ht="31" outlineLevel="1">
      <c r="A1779" s="1455">
        <f t="shared" si="300"/>
        <v>4.4000000000000004</v>
      </c>
      <c r="B1779" s="1455" t="str">
        <f t="shared" si="300"/>
        <v>Supply, Installation &amp; Commissioning of  Magnetic Separators at CHP 2x 500MW BTPS Deepnagar</v>
      </c>
      <c r="C1779" s="1475">
        <f t="shared" si="300"/>
        <v>0</v>
      </c>
      <c r="D1779" s="1473" t="str">
        <f t="shared" si="300"/>
        <v>-</v>
      </c>
      <c r="E1779" s="1476">
        <f t="shared" si="300"/>
        <v>0</v>
      </c>
      <c r="F1779" s="1444">
        <f t="shared" si="295"/>
        <v>3.73</v>
      </c>
      <c r="G1779" s="1444">
        <f t="shared" si="296"/>
        <v>3.73</v>
      </c>
      <c r="H1779" s="1476">
        <f t="shared" si="297"/>
        <v>0</v>
      </c>
      <c r="I1779" s="1444">
        <v>0</v>
      </c>
      <c r="J1779" s="1444">
        <v>0</v>
      </c>
      <c r="K1779" s="1476"/>
      <c r="L1779" s="1476"/>
      <c r="M1779" s="1476">
        <f t="shared" si="299"/>
        <v>0</v>
      </c>
      <c r="N1779" s="1476">
        <f t="shared" si="298"/>
        <v>0</v>
      </c>
    </row>
    <row r="1780" spans="1:14" ht="31" outlineLevel="1">
      <c r="A1780" s="1455">
        <f t="shared" ref="A1780:E1795" si="301">A1550</f>
        <v>4.5</v>
      </c>
      <c r="B1780" s="1455" t="str">
        <f t="shared" si="301"/>
        <v>Supply, Installation &amp; Commissioning Flameproof lighting at CHP 2x 500MW BTPS Deepnagar</v>
      </c>
      <c r="C1780" s="1475">
        <f t="shared" si="301"/>
        <v>0</v>
      </c>
      <c r="D1780" s="1473" t="str">
        <f t="shared" si="301"/>
        <v>-</v>
      </c>
      <c r="E1780" s="1476">
        <f t="shared" si="301"/>
        <v>0</v>
      </c>
      <c r="F1780" s="1444">
        <f t="shared" si="295"/>
        <v>10.47</v>
      </c>
      <c r="G1780" s="1444">
        <f t="shared" si="296"/>
        <v>10.47</v>
      </c>
      <c r="H1780" s="1476">
        <f t="shared" si="297"/>
        <v>0</v>
      </c>
      <c r="I1780" s="1444">
        <v>0</v>
      </c>
      <c r="J1780" s="1444">
        <v>0</v>
      </c>
      <c r="K1780" s="1476"/>
      <c r="L1780" s="1476"/>
      <c r="M1780" s="1476">
        <f t="shared" si="299"/>
        <v>0</v>
      </c>
      <c r="N1780" s="1476">
        <f t="shared" si="298"/>
        <v>0</v>
      </c>
    </row>
    <row r="1781" spans="1:14" ht="15.5" outlineLevel="1">
      <c r="A1781" s="1455">
        <f t="shared" si="301"/>
        <v>4.5999999999999996</v>
      </c>
      <c r="B1781" s="1455" t="str">
        <f t="shared" si="301"/>
        <v>Supply, Installation &amp; upgradation of HT /LT relay at CHP BTPS.</v>
      </c>
      <c r="C1781" s="1475">
        <f t="shared" si="301"/>
        <v>0</v>
      </c>
      <c r="D1781" s="1473" t="str">
        <f t="shared" si="301"/>
        <v>-</v>
      </c>
      <c r="E1781" s="1476">
        <f t="shared" si="301"/>
        <v>0</v>
      </c>
      <c r="F1781" s="1444">
        <f t="shared" si="295"/>
        <v>3</v>
      </c>
      <c r="G1781" s="1444">
        <f t="shared" si="296"/>
        <v>3</v>
      </c>
      <c r="H1781" s="1476">
        <f t="shared" si="297"/>
        <v>0</v>
      </c>
      <c r="I1781" s="1444">
        <v>0</v>
      </c>
      <c r="J1781" s="1444">
        <v>0</v>
      </c>
      <c r="K1781" s="1476"/>
      <c r="L1781" s="1476"/>
      <c r="M1781" s="1476">
        <f t="shared" si="299"/>
        <v>0</v>
      </c>
      <c r="N1781" s="1476">
        <f t="shared" si="298"/>
        <v>0</v>
      </c>
    </row>
    <row r="1782" spans="1:14" ht="15.5" outlineLevel="1">
      <c r="A1782" s="1458">
        <f t="shared" si="301"/>
        <v>5</v>
      </c>
      <c r="B1782" s="1459" t="str">
        <f t="shared" si="301"/>
        <v>Detail  Project report of improvement of Unloading in Coal handling Plant BTPS.</v>
      </c>
      <c r="C1782" s="1475">
        <f t="shared" si="301"/>
        <v>0</v>
      </c>
      <c r="D1782" s="1473" t="str">
        <f t="shared" si="301"/>
        <v>-</v>
      </c>
      <c r="E1782" s="1476">
        <f t="shared" si="301"/>
        <v>0</v>
      </c>
      <c r="F1782" s="1444">
        <f t="shared" si="295"/>
        <v>0</v>
      </c>
      <c r="G1782" s="1444">
        <f t="shared" si="296"/>
        <v>0</v>
      </c>
      <c r="H1782" s="1476">
        <f t="shared" si="297"/>
        <v>0</v>
      </c>
      <c r="I1782" s="1444">
        <v>0</v>
      </c>
      <c r="J1782" s="1444">
        <v>0</v>
      </c>
      <c r="K1782" s="1476"/>
      <c r="L1782" s="1476"/>
      <c r="M1782" s="1476">
        <f t="shared" si="299"/>
        <v>0</v>
      </c>
      <c r="N1782" s="1476">
        <f t="shared" si="298"/>
        <v>0</v>
      </c>
    </row>
    <row r="1783" spans="1:14" ht="15.5" outlineLevel="1">
      <c r="A1783" s="1455">
        <f t="shared" si="301"/>
        <v>5.0999999999999996</v>
      </c>
      <c r="B1783" s="1455" t="str">
        <f t="shared" si="301"/>
        <v>Procurement of 04 no of locomotives for Coal handling Plant BTPS.</v>
      </c>
      <c r="C1783" s="1475">
        <f t="shared" si="301"/>
        <v>0</v>
      </c>
      <c r="D1783" s="1473" t="str">
        <f t="shared" si="301"/>
        <v>-</v>
      </c>
      <c r="E1783" s="1476">
        <f t="shared" si="301"/>
        <v>0</v>
      </c>
      <c r="F1783" s="1444">
        <f t="shared" si="295"/>
        <v>13.68</v>
      </c>
      <c r="G1783" s="1444">
        <f t="shared" si="296"/>
        <v>13.68</v>
      </c>
      <c r="H1783" s="1476">
        <f t="shared" si="297"/>
        <v>0</v>
      </c>
      <c r="I1783" s="1444">
        <v>0</v>
      </c>
      <c r="J1783" s="1444">
        <v>0</v>
      </c>
      <c r="K1783" s="1476"/>
      <c r="L1783" s="1476"/>
      <c r="M1783" s="1476">
        <f t="shared" si="299"/>
        <v>0</v>
      </c>
      <c r="N1783" s="1476">
        <f t="shared" si="298"/>
        <v>0</v>
      </c>
    </row>
    <row r="1784" spans="1:14" ht="31" outlineLevel="1">
      <c r="A1784" s="1455">
        <f t="shared" si="301"/>
        <v>5.2</v>
      </c>
      <c r="B1784" s="1455" t="str">
        <f t="shared" si="301"/>
        <v>Design Supply Erection and Comission of Hour glass shape Coal diverting chutes with extra life wear resistant plates in CHP, BTPS.</v>
      </c>
      <c r="C1784" s="1475">
        <f t="shared" si="301"/>
        <v>0</v>
      </c>
      <c r="D1784" s="1473" t="str">
        <f t="shared" si="301"/>
        <v>-</v>
      </c>
      <c r="E1784" s="1476">
        <f t="shared" si="301"/>
        <v>0</v>
      </c>
      <c r="F1784" s="1444">
        <f t="shared" si="295"/>
        <v>5.67</v>
      </c>
      <c r="G1784" s="1444">
        <f t="shared" si="296"/>
        <v>5.67</v>
      </c>
      <c r="H1784" s="1476">
        <f t="shared" si="297"/>
        <v>0</v>
      </c>
      <c r="I1784" s="1444">
        <v>0</v>
      </c>
      <c r="J1784" s="1444">
        <v>0</v>
      </c>
      <c r="K1784" s="1476"/>
      <c r="L1784" s="1476"/>
      <c r="M1784" s="1476">
        <f t="shared" si="299"/>
        <v>0</v>
      </c>
      <c r="N1784" s="1476">
        <f t="shared" si="298"/>
        <v>0</v>
      </c>
    </row>
    <row r="1785" spans="1:14" ht="31" outlineLevel="1">
      <c r="A1785" s="1455">
        <f t="shared" si="301"/>
        <v>5.3</v>
      </c>
      <c r="B1785" s="1455" t="str">
        <f t="shared" si="301"/>
        <v>Design Supply Erection and Comission of Inverted Y Shape  Coal diverting chutes with extra life wear resistant plates in CHP, BTPS.</v>
      </c>
      <c r="C1785" s="1475">
        <f t="shared" si="301"/>
        <v>0</v>
      </c>
      <c r="D1785" s="1473" t="str">
        <f t="shared" si="301"/>
        <v>-</v>
      </c>
      <c r="E1785" s="1476">
        <f t="shared" si="301"/>
        <v>0</v>
      </c>
      <c r="F1785" s="1444">
        <f t="shared" si="295"/>
        <v>4.72</v>
      </c>
      <c r="G1785" s="1444">
        <f t="shared" si="296"/>
        <v>4.72</v>
      </c>
      <c r="H1785" s="1476">
        <f t="shared" si="297"/>
        <v>0</v>
      </c>
      <c r="I1785" s="1444">
        <v>0</v>
      </c>
      <c r="J1785" s="1444">
        <v>0</v>
      </c>
      <c r="K1785" s="1476"/>
      <c r="L1785" s="1476"/>
      <c r="M1785" s="1476">
        <f t="shared" si="299"/>
        <v>0</v>
      </c>
      <c r="N1785" s="1476">
        <f t="shared" si="298"/>
        <v>0</v>
      </c>
    </row>
    <row r="1786" spans="1:14" ht="31" outlineLevel="1">
      <c r="A1786" s="1455">
        <f t="shared" si="301"/>
        <v>5.4</v>
      </c>
      <c r="B1786" s="1455" t="str">
        <f t="shared" si="301"/>
        <v>Design Supply Erection and Comission of coal diverting chutes with extra life wear resistant plates in CHP BTPS.</v>
      </c>
      <c r="C1786" s="1475">
        <f t="shared" si="301"/>
        <v>0</v>
      </c>
      <c r="D1786" s="1473" t="str">
        <f t="shared" si="301"/>
        <v>-</v>
      </c>
      <c r="E1786" s="1476">
        <f t="shared" si="301"/>
        <v>0</v>
      </c>
      <c r="F1786" s="1444">
        <f t="shared" si="295"/>
        <v>4.72</v>
      </c>
      <c r="G1786" s="1444">
        <f t="shared" si="296"/>
        <v>4.72</v>
      </c>
      <c r="H1786" s="1476">
        <f t="shared" si="297"/>
        <v>0</v>
      </c>
      <c r="I1786" s="1444">
        <v>0</v>
      </c>
      <c r="J1786" s="1444">
        <v>0</v>
      </c>
      <c r="K1786" s="1476"/>
      <c r="L1786" s="1476"/>
      <c r="M1786" s="1476">
        <f t="shared" si="299"/>
        <v>0</v>
      </c>
      <c r="N1786" s="1476">
        <f t="shared" si="298"/>
        <v>0</v>
      </c>
    </row>
    <row r="1787" spans="1:14" ht="31" outlineLevel="1">
      <c r="A1787" s="1455">
        <f t="shared" si="301"/>
        <v>5.5</v>
      </c>
      <c r="B1787" s="1455" t="str">
        <f t="shared" si="301"/>
        <v>Work of Revamping and structural up-gradation of conveyor 104A&amp;B in Coal Handling Plant-BTPS.</v>
      </c>
      <c r="C1787" s="1475">
        <f t="shared" si="301"/>
        <v>0</v>
      </c>
      <c r="D1787" s="1473" t="str">
        <f t="shared" si="301"/>
        <v>-</v>
      </c>
      <c r="E1787" s="1476">
        <f t="shared" si="301"/>
        <v>0</v>
      </c>
      <c r="F1787" s="1444">
        <f t="shared" si="295"/>
        <v>7.1</v>
      </c>
      <c r="G1787" s="1444">
        <f t="shared" si="296"/>
        <v>7.1</v>
      </c>
      <c r="H1787" s="1476">
        <f t="shared" si="297"/>
        <v>0</v>
      </c>
      <c r="I1787" s="1444">
        <v>0</v>
      </c>
      <c r="J1787" s="1444">
        <v>0</v>
      </c>
      <c r="K1787" s="1476"/>
      <c r="L1787" s="1476"/>
      <c r="M1787" s="1476">
        <f t="shared" si="299"/>
        <v>0</v>
      </c>
      <c r="N1787" s="1476">
        <f t="shared" si="298"/>
        <v>0</v>
      </c>
    </row>
    <row r="1788" spans="1:14" ht="31" outlineLevel="1">
      <c r="A1788" s="1458">
        <f t="shared" si="301"/>
        <v>6</v>
      </c>
      <c r="B1788" s="1459" t="str">
        <f t="shared" si="301"/>
        <v>Supply and Installation of  reliability improvement schemes for HT/LT switchgears and auxilliaries at BTPS 2x500MW.</v>
      </c>
      <c r="C1788" s="1475">
        <f t="shared" si="301"/>
        <v>0</v>
      </c>
      <c r="D1788" s="1473" t="str">
        <f t="shared" si="301"/>
        <v>-</v>
      </c>
      <c r="E1788" s="1476">
        <f t="shared" si="301"/>
        <v>0</v>
      </c>
      <c r="F1788" s="1444">
        <f t="shared" si="295"/>
        <v>0</v>
      </c>
      <c r="G1788" s="1444">
        <f t="shared" si="296"/>
        <v>0</v>
      </c>
      <c r="H1788" s="1476">
        <f t="shared" si="297"/>
        <v>0</v>
      </c>
      <c r="I1788" s="1444">
        <v>0</v>
      </c>
      <c r="J1788" s="1444">
        <v>0</v>
      </c>
      <c r="K1788" s="1476"/>
      <c r="L1788" s="1476"/>
      <c r="M1788" s="1476">
        <f t="shared" si="299"/>
        <v>0</v>
      </c>
      <c r="N1788" s="1476">
        <f t="shared" si="298"/>
        <v>0</v>
      </c>
    </row>
    <row r="1789" spans="1:14" ht="15.5" outlineLevel="1">
      <c r="A1789" s="1455">
        <f t="shared" si="301"/>
        <v>6.1</v>
      </c>
      <c r="B1789" s="1455" t="str">
        <f t="shared" si="301"/>
        <v>Procurement of HT Motors of various ratings at 2x500MW.</v>
      </c>
      <c r="C1789" s="1475">
        <f t="shared" si="301"/>
        <v>0</v>
      </c>
      <c r="D1789" s="1473" t="str">
        <f t="shared" si="301"/>
        <v>-</v>
      </c>
      <c r="E1789" s="1476">
        <f t="shared" si="301"/>
        <v>0</v>
      </c>
      <c r="F1789" s="1444">
        <f t="shared" si="295"/>
        <v>4</v>
      </c>
      <c r="G1789" s="1444">
        <f t="shared" si="296"/>
        <v>4</v>
      </c>
      <c r="H1789" s="1476">
        <f t="shared" si="297"/>
        <v>0</v>
      </c>
      <c r="I1789" s="1444">
        <v>0</v>
      </c>
      <c r="J1789" s="1444">
        <v>0</v>
      </c>
      <c r="K1789" s="1476"/>
      <c r="L1789" s="1476"/>
      <c r="M1789" s="1476">
        <f t="shared" si="299"/>
        <v>0</v>
      </c>
      <c r="N1789" s="1476">
        <f t="shared" si="298"/>
        <v>0</v>
      </c>
    </row>
    <row r="1790" spans="1:14" ht="15.5" outlineLevel="1">
      <c r="A1790" s="1455">
        <f t="shared" si="301"/>
        <v>6.2</v>
      </c>
      <c r="B1790" s="1455" t="str">
        <f t="shared" si="301"/>
        <v>Procurement of Dry type transformers of varoius ratings at 2x500MW.</v>
      </c>
      <c r="C1790" s="1475">
        <f t="shared" si="301"/>
        <v>0</v>
      </c>
      <c r="D1790" s="1473" t="str">
        <f t="shared" si="301"/>
        <v>-</v>
      </c>
      <c r="E1790" s="1476">
        <f t="shared" si="301"/>
        <v>0</v>
      </c>
      <c r="F1790" s="1444">
        <f t="shared" si="295"/>
        <v>4</v>
      </c>
      <c r="G1790" s="1444">
        <f t="shared" si="296"/>
        <v>4</v>
      </c>
      <c r="H1790" s="1476">
        <f t="shared" si="297"/>
        <v>0</v>
      </c>
      <c r="I1790" s="1444">
        <v>0</v>
      </c>
      <c r="J1790" s="1444">
        <v>0</v>
      </c>
      <c r="K1790" s="1476"/>
      <c r="L1790" s="1476"/>
      <c r="M1790" s="1476">
        <f t="shared" si="299"/>
        <v>0</v>
      </c>
      <c r="N1790" s="1476">
        <f t="shared" si="298"/>
        <v>0</v>
      </c>
    </row>
    <row r="1791" spans="1:14" ht="15.5" outlineLevel="1">
      <c r="A1791" s="1455">
        <f t="shared" si="301"/>
        <v>6.3</v>
      </c>
      <c r="B1791" s="1455" t="str">
        <f t="shared" si="301"/>
        <v>Procurement of Inverter and converter trolleys of GEHO Pump at 2x500MW.</v>
      </c>
      <c r="C1791" s="1475">
        <f t="shared" si="301"/>
        <v>0</v>
      </c>
      <c r="D1791" s="1473" t="str">
        <f t="shared" si="301"/>
        <v>-</v>
      </c>
      <c r="E1791" s="1476">
        <f t="shared" si="301"/>
        <v>0</v>
      </c>
      <c r="F1791" s="1444">
        <f t="shared" si="295"/>
        <v>2</v>
      </c>
      <c r="G1791" s="1444">
        <f t="shared" si="296"/>
        <v>2</v>
      </c>
      <c r="H1791" s="1476">
        <f t="shared" si="297"/>
        <v>0</v>
      </c>
      <c r="I1791" s="1444">
        <v>0</v>
      </c>
      <c r="J1791" s="1444">
        <v>0</v>
      </c>
      <c r="K1791" s="1476"/>
      <c r="L1791" s="1476"/>
      <c r="M1791" s="1476">
        <f t="shared" si="299"/>
        <v>0</v>
      </c>
      <c r="N1791" s="1476">
        <f t="shared" si="298"/>
        <v>0</v>
      </c>
    </row>
    <row r="1792" spans="1:14" ht="31" outlineLevel="1">
      <c r="A1792" s="1455">
        <f t="shared" si="301"/>
        <v>6.4</v>
      </c>
      <c r="B1792" s="1455" t="str">
        <f t="shared" si="301"/>
        <v>Procurement of Vacuum Contactors of various ratings for  HT Switchgears  at BTPS 2x500MW.</v>
      </c>
      <c r="C1792" s="1475">
        <f t="shared" si="301"/>
        <v>0</v>
      </c>
      <c r="D1792" s="1473" t="str">
        <f t="shared" si="301"/>
        <v>-</v>
      </c>
      <c r="E1792" s="1476">
        <f t="shared" si="301"/>
        <v>0</v>
      </c>
      <c r="F1792" s="1444">
        <f t="shared" si="295"/>
        <v>2.5</v>
      </c>
      <c r="G1792" s="1444">
        <f t="shared" si="296"/>
        <v>2.5</v>
      </c>
      <c r="H1792" s="1476">
        <f t="shared" si="297"/>
        <v>0</v>
      </c>
      <c r="I1792" s="1444">
        <v>0</v>
      </c>
      <c r="J1792" s="1444">
        <v>0</v>
      </c>
      <c r="K1792" s="1476"/>
      <c r="L1792" s="1476"/>
      <c r="M1792" s="1476">
        <f t="shared" si="299"/>
        <v>0</v>
      </c>
      <c r="N1792" s="1476">
        <f t="shared" si="298"/>
        <v>0</v>
      </c>
    </row>
    <row r="1793" spans="1:14" ht="31" outlineLevel="1">
      <c r="A1793" s="1455">
        <f t="shared" si="301"/>
        <v>6.5</v>
      </c>
      <c r="B1793" s="1455" t="str">
        <f t="shared" si="301"/>
        <v>Supply, erection, commissioning &amp; site testing of 360V, 750 AH Station UPS Battery Sets  along with accessories for Unit No.4 at BTPS 2x500MW’.</v>
      </c>
      <c r="C1793" s="1475">
        <f t="shared" si="301"/>
        <v>0</v>
      </c>
      <c r="D1793" s="1473" t="str">
        <f t="shared" si="301"/>
        <v>-</v>
      </c>
      <c r="E1793" s="1476">
        <f t="shared" si="301"/>
        <v>0</v>
      </c>
      <c r="F1793" s="1444">
        <f t="shared" si="295"/>
        <v>4</v>
      </c>
      <c r="G1793" s="1444">
        <f t="shared" si="296"/>
        <v>4</v>
      </c>
      <c r="H1793" s="1476">
        <f t="shared" si="297"/>
        <v>0</v>
      </c>
      <c r="I1793" s="1444">
        <v>0</v>
      </c>
      <c r="J1793" s="1444">
        <v>0</v>
      </c>
      <c r="K1793" s="1476"/>
      <c r="L1793" s="1476"/>
      <c r="M1793" s="1476">
        <f t="shared" si="299"/>
        <v>0</v>
      </c>
      <c r="N1793" s="1476">
        <f t="shared" si="298"/>
        <v>0</v>
      </c>
    </row>
    <row r="1794" spans="1:14" ht="15.5" outlineLevel="1">
      <c r="A1794" s="1455">
        <f t="shared" si="301"/>
        <v>6.6</v>
      </c>
      <c r="B1794" s="1455" t="str">
        <f t="shared" si="301"/>
        <v>Updragation of Sox-Nox analyzer,PM analyzer, ETP analyzer at BTPS 2X500MW.</v>
      </c>
      <c r="C1794" s="1475">
        <f t="shared" si="301"/>
        <v>0</v>
      </c>
      <c r="D1794" s="1473" t="str">
        <f t="shared" si="301"/>
        <v>-</v>
      </c>
      <c r="E1794" s="1476">
        <f t="shared" si="301"/>
        <v>0</v>
      </c>
      <c r="F1794" s="1444">
        <f t="shared" si="295"/>
        <v>1.05</v>
      </c>
      <c r="G1794" s="1444">
        <f t="shared" si="296"/>
        <v>1.05</v>
      </c>
      <c r="H1794" s="1476">
        <f t="shared" si="297"/>
        <v>0</v>
      </c>
      <c r="I1794" s="1444">
        <v>0</v>
      </c>
      <c r="J1794" s="1444">
        <v>0</v>
      </c>
      <c r="K1794" s="1476"/>
      <c r="L1794" s="1476"/>
      <c r="M1794" s="1476">
        <f t="shared" si="299"/>
        <v>0</v>
      </c>
      <c r="N1794" s="1476">
        <f t="shared" si="298"/>
        <v>0</v>
      </c>
    </row>
    <row r="1795" spans="1:14" ht="15.5" outlineLevel="1">
      <c r="A1795" s="1455">
        <f t="shared" si="301"/>
        <v>6.7</v>
      </c>
      <c r="B1795" s="1455" t="str">
        <f t="shared" si="301"/>
        <v>Upgradation of O2 analyzer at BTPS 2X500MW</v>
      </c>
      <c r="C1795" s="1475">
        <f t="shared" si="301"/>
        <v>0</v>
      </c>
      <c r="D1795" s="1473" t="str">
        <f t="shared" si="301"/>
        <v>-</v>
      </c>
      <c r="E1795" s="1476">
        <f t="shared" si="301"/>
        <v>0</v>
      </c>
      <c r="F1795" s="1444">
        <f t="shared" si="295"/>
        <v>3.4</v>
      </c>
      <c r="G1795" s="1444">
        <f t="shared" si="296"/>
        <v>3.4</v>
      </c>
      <c r="H1795" s="1476">
        <f t="shared" si="297"/>
        <v>0</v>
      </c>
      <c r="I1795" s="1444">
        <v>0</v>
      </c>
      <c r="J1795" s="1444">
        <v>0</v>
      </c>
      <c r="K1795" s="1476"/>
      <c r="L1795" s="1476"/>
      <c r="M1795" s="1476">
        <f t="shared" si="299"/>
        <v>0</v>
      </c>
      <c r="N1795" s="1476">
        <f t="shared" si="298"/>
        <v>0</v>
      </c>
    </row>
    <row r="1796" spans="1:14" ht="31" outlineLevel="1">
      <c r="A1796" s="1455">
        <f t="shared" ref="A1796:E1811" si="302">A1566</f>
        <v>6.8</v>
      </c>
      <c r="B1796" s="1455" t="str">
        <f t="shared" si="302"/>
        <v>Revamping &amp; Upgradation Of Vibration Monitoring Rack From VM7 TO VM7B at BTPS 2X500MW</v>
      </c>
      <c r="C1796" s="1475">
        <f t="shared" si="302"/>
        <v>0</v>
      </c>
      <c r="D1796" s="1473" t="str">
        <f t="shared" si="302"/>
        <v>-</v>
      </c>
      <c r="E1796" s="1476">
        <f t="shared" si="302"/>
        <v>0</v>
      </c>
      <c r="F1796" s="1444">
        <f t="shared" si="295"/>
        <v>5</v>
      </c>
      <c r="G1796" s="1444">
        <f t="shared" si="296"/>
        <v>5</v>
      </c>
      <c r="H1796" s="1476">
        <f t="shared" si="297"/>
        <v>0</v>
      </c>
      <c r="I1796" s="1444">
        <v>0</v>
      </c>
      <c r="J1796" s="1444">
        <v>0</v>
      </c>
      <c r="K1796" s="1476"/>
      <c r="L1796" s="1476"/>
      <c r="M1796" s="1476">
        <f t="shared" si="299"/>
        <v>0</v>
      </c>
      <c r="N1796" s="1476">
        <f t="shared" si="298"/>
        <v>0</v>
      </c>
    </row>
    <row r="1797" spans="1:14" ht="15.5" outlineLevel="1">
      <c r="A1797" s="1455">
        <f t="shared" si="302"/>
        <v>6.9</v>
      </c>
      <c r="B1797" s="1455" t="str">
        <f t="shared" si="302"/>
        <v>Procurement &amp; Installation of High Mast towers in various location in BTPS</v>
      </c>
      <c r="C1797" s="1475">
        <f t="shared" si="302"/>
        <v>0</v>
      </c>
      <c r="D1797" s="1473" t="str">
        <f t="shared" si="302"/>
        <v>-</v>
      </c>
      <c r="E1797" s="1476">
        <f t="shared" si="302"/>
        <v>0</v>
      </c>
      <c r="F1797" s="1444">
        <f t="shared" si="295"/>
        <v>2</v>
      </c>
      <c r="G1797" s="1444">
        <f t="shared" si="296"/>
        <v>2</v>
      </c>
      <c r="H1797" s="1476">
        <f t="shared" si="297"/>
        <v>0</v>
      </c>
      <c r="I1797" s="1444">
        <v>0</v>
      </c>
      <c r="J1797" s="1444">
        <v>0</v>
      </c>
      <c r="K1797" s="1476"/>
      <c r="L1797" s="1476"/>
      <c r="M1797" s="1476">
        <f t="shared" si="299"/>
        <v>0</v>
      </c>
      <c r="N1797" s="1476">
        <f t="shared" si="298"/>
        <v>0</v>
      </c>
    </row>
    <row r="1798" spans="1:14" ht="31" outlineLevel="1">
      <c r="A1798" s="1455">
        <f t="shared" si="302"/>
        <v>6.1</v>
      </c>
      <c r="B1798" s="1455" t="str">
        <f t="shared" si="302"/>
        <v>Renovation and Modification of Colony Electric Supply System to improve availability and reliability of supply system at BTPS Colony, Deepnagar</v>
      </c>
      <c r="C1798" s="1475">
        <f t="shared" si="302"/>
        <v>0</v>
      </c>
      <c r="D1798" s="1473" t="str">
        <f t="shared" si="302"/>
        <v>-</v>
      </c>
      <c r="E1798" s="1476">
        <f t="shared" si="302"/>
        <v>0</v>
      </c>
      <c r="F1798" s="1444">
        <f t="shared" si="295"/>
        <v>15.85</v>
      </c>
      <c r="G1798" s="1444">
        <f t="shared" si="296"/>
        <v>15.85</v>
      </c>
      <c r="H1798" s="1476">
        <f t="shared" si="297"/>
        <v>0</v>
      </c>
      <c r="I1798" s="1444">
        <v>0</v>
      </c>
      <c r="J1798" s="1444">
        <v>0</v>
      </c>
      <c r="K1798" s="1476"/>
      <c r="L1798" s="1476"/>
      <c r="M1798" s="1476">
        <f t="shared" si="299"/>
        <v>0</v>
      </c>
      <c r="N1798" s="1476">
        <f t="shared" si="298"/>
        <v>0</v>
      </c>
    </row>
    <row r="1799" spans="1:14" ht="31" outlineLevel="1">
      <c r="A1799" s="1455">
        <f t="shared" si="302"/>
        <v>6.11</v>
      </c>
      <c r="B1799" s="1455" t="str">
        <f t="shared" si="302"/>
        <v>Work of  Overhauling repairs of U-5 350KW BCWP motor of M/s Torishima make at BTPS 2x500MW.</v>
      </c>
      <c r="C1799" s="1475">
        <f t="shared" si="302"/>
        <v>0</v>
      </c>
      <c r="D1799" s="1473" t="str">
        <f t="shared" si="302"/>
        <v>-</v>
      </c>
      <c r="E1799" s="1476">
        <f t="shared" si="302"/>
        <v>0</v>
      </c>
      <c r="F1799" s="1444">
        <f t="shared" si="295"/>
        <v>4</v>
      </c>
      <c r="G1799" s="1444">
        <f t="shared" si="296"/>
        <v>4</v>
      </c>
      <c r="H1799" s="1476">
        <f t="shared" si="297"/>
        <v>0</v>
      </c>
      <c r="I1799" s="1444">
        <v>0</v>
      </c>
      <c r="J1799" s="1444">
        <v>0</v>
      </c>
      <c r="K1799" s="1476"/>
      <c r="L1799" s="1476"/>
      <c r="M1799" s="1476">
        <f t="shared" si="299"/>
        <v>0</v>
      </c>
      <c r="N1799" s="1476">
        <f t="shared" si="298"/>
        <v>0</v>
      </c>
    </row>
    <row r="1800" spans="1:14" ht="15.5" outlineLevel="1">
      <c r="A1800" s="1457">
        <f t="shared" si="302"/>
        <v>0</v>
      </c>
      <c r="B1800" s="1457" t="str">
        <f t="shared" si="302"/>
        <v xml:space="preserve">FY 2028-29 </v>
      </c>
      <c r="C1800" s="1475">
        <f t="shared" si="302"/>
        <v>0</v>
      </c>
      <c r="D1800" s="1473" t="str">
        <f t="shared" si="302"/>
        <v>-</v>
      </c>
      <c r="E1800" s="1476">
        <f t="shared" si="302"/>
        <v>0</v>
      </c>
      <c r="F1800" s="1444">
        <f t="shared" si="295"/>
        <v>0</v>
      </c>
      <c r="G1800" s="1444">
        <f t="shared" si="296"/>
        <v>0</v>
      </c>
      <c r="H1800" s="1476">
        <f t="shared" si="297"/>
        <v>0</v>
      </c>
      <c r="I1800" s="1444">
        <v>0</v>
      </c>
      <c r="J1800" s="1444">
        <v>0</v>
      </c>
      <c r="K1800" s="1476"/>
      <c r="L1800" s="1476"/>
      <c r="M1800" s="1476">
        <f t="shared" si="299"/>
        <v>0</v>
      </c>
      <c r="N1800" s="1476">
        <f t="shared" si="298"/>
        <v>0</v>
      </c>
    </row>
    <row r="1801" spans="1:14" ht="31" outlineLevel="1">
      <c r="A1801" s="1458">
        <f t="shared" si="302"/>
        <v>1</v>
      </c>
      <c r="B1801" s="1459" t="str">
        <f t="shared" si="302"/>
        <v>APH baskets with main drive Gear box and lub oil skids with motor at 2x500MW BTPS</v>
      </c>
      <c r="C1801" s="1475">
        <f t="shared" si="302"/>
        <v>0</v>
      </c>
      <c r="D1801" s="1473" t="str">
        <f t="shared" si="302"/>
        <v>-</v>
      </c>
      <c r="E1801" s="1476">
        <f t="shared" si="302"/>
        <v>0</v>
      </c>
      <c r="F1801" s="1444">
        <f t="shared" si="295"/>
        <v>0</v>
      </c>
      <c r="G1801" s="1444">
        <f t="shared" si="296"/>
        <v>0</v>
      </c>
      <c r="H1801" s="1476">
        <f t="shared" si="297"/>
        <v>0</v>
      </c>
      <c r="I1801" s="1444">
        <v>0</v>
      </c>
      <c r="J1801" s="1444">
        <v>0</v>
      </c>
      <c r="K1801" s="1476"/>
      <c r="L1801" s="1476"/>
      <c r="M1801" s="1476">
        <f t="shared" si="299"/>
        <v>0</v>
      </c>
      <c r="N1801" s="1476">
        <f t="shared" si="298"/>
        <v>0</v>
      </c>
    </row>
    <row r="1802" spans="1:14" ht="31" outlineLevel="1">
      <c r="A1802" s="1455">
        <f t="shared" si="302"/>
        <v>1.1000000000000001</v>
      </c>
      <c r="B1802" s="1455" t="str">
        <f t="shared" si="302"/>
        <v>APH baskets with main drive Gear box and lub oil skids with motor at 2x500MW BTPS</v>
      </c>
      <c r="C1802" s="1475">
        <f t="shared" si="302"/>
        <v>0</v>
      </c>
      <c r="D1802" s="1473" t="str">
        <f t="shared" si="302"/>
        <v>-</v>
      </c>
      <c r="E1802" s="1476">
        <f t="shared" si="302"/>
        <v>0</v>
      </c>
      <c r="F1802" s="1444">
        <f t="shared" si="295"/>
        <v>50</v>
      </c>
      <c r="G1802" s="1444">
        <f t="shared" si="296"/>
        <v>50</v>
      </c>
      <c r="H1802" s="1476">
        <f t="shared" si="297"/>
        <v>0</v>
      </c>
      <c r="I1802" s="1444">
        <v>0</v>
      </c>
      <c r="J1802" s="1444">
        <v>0</v>
      </c>
      <c r="K1802" s="1476"/>
      <c r="L1802" s="1476"/>
      <c r="M1802" s="1476">
        <f t="shared" si="299"/>
        <v>0</v>
      </c>
      <c r="N1802" s="1476">
        <f t="shared" si="298"/>
        <v>0</v>
      </c>
    </row>
    <row r="1803" spans="1:14" ht="31" outlineLevel="1">
      <c r="A1803" s="1458">
        <f t="shared" si="302"/>
        <v>2</v>
      </c>
      <c r="B1803" s="1459" t="str">
        <f t="shared" si="302"/>
        <v>Detail Project Report for  Design, Engineering, Supply, Installation and commissioning of 1500TPH Stacker cum re-claimer in Coal Handling Plant-BTPS.</v>
      </c>
      <c r="C1803" s="1475">
        <f t="shared" si="302"/>
        <v>0</v>
      </c>
      <c r="D1803" s="1473" t="str">
        <f t="shared" si="302"/>
        <v>-</v>
      </c>
      <c r="E1803" s="1476">
        <f t="shared" si="302"/>
        <v>0</v>
      </c>
      <c r="F1803" s="1444">
        <f t="shared" si="295"/>
        <v>0</v>
      </c>
      <c r="G1803" s="1444">
        <f t="shared" si="296"/>
        <v>0</v>
      </c>
      <c r="H1803" s="1476">
        <f t="shared" si="297"/>
        <v>0</v>
      </c>
      <c r="I1803" s="1444">
        <v>0</v>
      </c>
      <c r="J1803" s="1444">
        <v>0</v>
      </c>
      <c r="K1803" s="1476"/>
      <c r="L1803" s="1476"/>
      <c r="M1803" s="1476">
        <f t="shared" si="299"/>
        <v>0</v>
      </c>
      <c r="N1803" s="1476">
        <f t="shared" si="298"/>
        <v>0</v>
      </c>
    </row>
    <row r="1804" spans="1:14" ht="31" outlineLevel="1">
      <c r="A1804" s="1455">
        <f t="shared" si="302"/>
        <v>2.1</v>
      </c>
      <c r="B1804" s="1455" t="str">
        <f t="shared" si="302"/>
        <v>Design, Engineering, Supply, Installation and commissioning of 1500TPH Stacker cum re-claimer in Coal Handling Plant-BTPS.</v>
      </c>
      <c r="C1804" s="1475">
        <f t="shared" si="302"/>
        <v>0</v>
      </c>
      <c r="D1804" s="1473" t="str">
        <f t="shared" si="302"/>
        <v>-</v>
      </c>
      <c r="E1804" s="1476">
        <f t="shared" si="302"/>
        <v>0</v>
      </c>
      <c r="F1804" s="1444">
        <f t="shared" si="295"/>
        <v>118</v>
      </c>
      <c r="G1804" s="1444">
        <f t="shared" si="296"/>
        <v>118</v>
      </c>
      <c r="H1804" s="1476">
        <f t="shared" si="297"/>
        <v>0</v>
      </c>
      <c r="I1804" s="1444">
        <v>0</v>
      </c>
      <c r="J1804" s="1444">
        <v>0</v>
      </c>
      <c r="K1804" s="1476"/>
      <c r="L1804" s="1476"/>
      <c r="M1804" s="1476">
        <f t="shared" si="299"/>
        <v>0</v>
      </c>
      <c r="N1804" s="1476">
        <f t="shared" si="298"/>
        <v>0</v>
      </c>
    </row>
    <row r="1805" spans="1:14" ht="15.5" outlineLevel="1">
      <c r="A1805" s="1458">
        <f t="shared" si="302"/>
        <v>3</v>
      </c>
      <c r="B1805" s="1459" t="str">
        <f t="shared" si="302"/>
        <v>Enhancement of Unloading &amp; Stacking Capacity of CHP.</v>
      </c>
      <c r="C1805" s="1475">
        <f t="shared" si="302"/>
        <v>0</v>
      </c>
      <c r="D1805" s="1473" t="str">
        <f t="shared" si="302"/>
        <v>-</v>
      </c>
      <c r="E1805" s="1476">
        <f t="shared" si="302"/>
        <v>0</v>
      </c>
      <c r="F1805" s="1444">
        <f t="shared" si="295"/>
        <v>0</v>
      </c>
      <c r="G1805" s="1444">
        <f t="shared" si="296"/>
        <v>0</v>
      </c>
      <c r="H1805" s="1476">
        <f t="shared" si="297"/>
        <v>0</v>
      </c>
      <c r="I1805" s="1444">
        <v>0</v>
      </c>
      <c r="J1805" s="1444">
        <v>0</v>
      </c>
      <c r="K1805" s="1476"/>
      <c r="L1805" s="1476"/>
      <c r="M1805" s="1476">
        <f t="shared" si="299"/>
        <v>0</v>
      </c>
      <c r="N1805" s="1476">
        <f t="shared" si="298"/>
        <v>0</v>
      </c>
    </row>
    <row r="1806" spans="1:14" ht="31" outlineLevel="1">
      <c r="A1806" s="1455">
        <f t="shared" si="302"/>
        <v>3.1</v>
      </c>
      <c r="B1806" s="1455" t="str">
        <f t="shared" si="302"/>
        <v>Design Supply errection &amp; Comissioning of Open Wagon Tippler along with stacking and reclaiming yard conveyors at CHP stack yard.</v>
      </c>
      <c r="C1806" s="1475">
        <f t="shared" si="302"/>
        <v>0</v>
      </c>
      <c r="D1806" s="1473" t="str">
        <f t="shared" si="302"/>
        <v>-</v>
      </c>
      <c r="E1806" s="1476">
        <f t="shared" si="302"/>
        <v>0</v>
      </c>
      <c r="F1806" s="1444">
        <f t="shared" si="295"/>
        <v>89</v>
      </c>
      <c r="G1806" s="1444">
        <f t="shared" si="296"/>
        <v>89</v>
      </c>
      <c r="H1806" s="1476">
        <f t="shared" si="297"/>
        <v>0</v>
      </c>
      <c r="I1806" s="1444">
        <v>0</v>
      </c>
      <c r="J1806" s="1444">
        <v>0</v>
      </c>
      <c r="K1806" s="1476"/>
      <c r="L1806" s="1476"/>
      <c r="M1806" s="1476">
        <f t="shared" si="299"/>
        <v>0</v>
      </c>
      <c r="N1806" s="1476">
        <f t="shared" si="298"/>
        <v>0</v>
      </c>
    </row>
    <row r="1807" spans="1:14" ht="15.5" outlineLevel="1">
      <c r="A1807" s="1457">
        <f t="shared" si="302"/>
        <v>0</v>
      </c>
      <c r="B1807" s="1457" t="str">
        <f t="shared" si="302"/>
        <v>FY 2029-30</v>
      </c>
      <c r="C1807" s="1475">
        <f t="shared" si="302"/>
        <v>0</v>
      </c>
      <c r="D1807" s="1473" t="str">
        <f t="shared" si="302"/>
        <v>-</v>
      </c>
      <c r="E1807" s="1476">
        <f t="shared" si="302"/>
        <v>0</v>
      </c>
      <c r="F1807" s="1444">
        <f t="shared" si="295"/>
        <v>0</v>
      </c>
      <c r="G1807" s="1444">
        <f t="shared" si="296"/>
        <v>0</v>
      </c>
      <c r="H1807" s="1476">
        <f t="shared" si="297"/>
        <v>0</v>
      </c>
      <c r="I1807" s="1444">
        <v>0</v>
      </c>
      <c r="J1807" s="1444">
        <v>0</v>
      </c>
      <c r="K1807" s="1476"/>
      <c r="L1807" s="1476"/>
      <c r="M1807" s="1476">
        <f t="shared" si="299"/>
        <v>0</v>
      </c>
      <c r="N1807" s="1476">
        <f t="shared" si="298"/>
        <v>0</v>
      </c>
    </row>
    <row r="1808" spans="1:14" ht="31" outlineLevel="1">
      <c r="A1808" s="1458">
        <f t="shared" si="302"/>
        <v>1</v>
      </c>
      <c r="B1808" s="1459" t="str">
        <f t="shared" si="302"/>
        <v>Coal Mill Performance Improvement and Life Enhancement of BHEL Make XRP-1043 Coal Mills in 2x500 MW BTPS.</v>
      </c>
      <c r="C1808" s="1475">
        <f t="shared" si="302"/>
        <v>0</v>
      </c>
      <c r="D1808" s="1473" t="str">
        <f t="shared" si="302"/>
        <v>-</v>
      </c>
      <c r="E1808" s="1476">
        <f t="shared" si="302"/>
        <v>0</v>
      </c>
      <c r="F1808" s="1444">
        <f t="shared" si="295"/>
        <v>0</v>
      </c>
      <c r="G1808" s="1444">
        <f t="shared" si="296"/>
        <v>0</v>
      </c>
      <c r="H1808" s="1476">
        <f t="shared" si="297"/>
        <v>0</v>
      </c>
      <c r="I1808" s="1444">
        <v>0</v>
      </c>
      <c r="J1808" s="1444">
        <v>0</v>
      </c>
      <c r="K1808" s="1476"/>
      <c r="L1808" s="1476"/>
      <c r="M1808" s="1476">
        <f t="shared" si="299"/>
        <v>0</v>
      </c>
      <c r="N1808" s="1476">
        <f t="shared" si="298"/>
        <v>0</v>
      </c>
    </row>
    <row r="1809" spans="1:14" ht="31" outlineLevel="1">
      <c r="A1809" s="1455">
        <f t="shared" si="302"/>
        <v>1.1000000000000001</v>
      </c>
      <c r="B1809" s="1455" t="str">
        <f t="shared" si="302"/>
        <v>Coal Mill Performance Improvement and Life Enhancement of BHEL Make XRP-1043 Coal Mills in 2x500 MW BTPS.</v>
      </c>
      <c r="C1809" s="1475">
        <f t="shared" si="302"/>
        <v>0</v>
      </c>
      <c r="D1809" s="1473" t="str">
        <f t="shared" si="302"/>
        <v>-</v>
      </c>
      <c r="E1809" s="1476">
        <f t="shared" si="302"/>
        <v>0</v>
      </c>
      <c r="F1809" s="1444">
        <f t="shared" si="295"/>
        <v>0</v>
      </c>
      <c r="G1809" s="1444">
        <f t="shared" si="296"/>
        <v>0</v>
      </c>
      <c r="H1809" s="1476">
        <f t="shared" si="297"/>
        <v>0</v>
      </c>
      <c r="I1809" s="1444">
        <v>70</v>
      </c>
      <c r="J1809" s="1444">
        <v>70</v>
      </c>
      <c r="K1809" s="1476"/>
      <c r="L1809" s="1476"/>
      <c r="M1809" s="1476">
        <f t="shared" si="299"/>
        <v>70</v>
      </c>
      <c r="N1809" s="1476">
        <f t="shared" si="298"/>
        <v>0</v>
      </c>
    </row>
    <row r="1810" spans="1:14" ht="15.5" outlineLevel="1">
      <c r="A1810" s="1458">
        <f t="shared" si="302"/>
        <v>2</v>
      </c>
      <c r="B1810" s="1459" t="str">
        <f t="shared" si="302"/>
        <v>Upgradation rail  track in CHP -BTPS</v>
      </c>
      <c r="C1810" s="1475">
        <f t="shared" si="302"/>
        <v>0</v>
      </c>
      <c r="D1810" s="1473" t="str">
        <f t="shared" si="302"/>
        <v>-</v>
      </c>
      <c r="E1810" s="1476">
        <f t="shared" si="302"/>
        <v>0</v>
      </c>
      <c r="F1810" s="1444">
        <f t="shared" si="295"/>
        <v>0</v>
      </c>
      <c r="G1810" s="1444">
        <f t="shared" si="296"/>
        <v>0</v>
      </c>
      <c r="H1810" s="1476">
        <f t="shared" si="297"/>
        <v>0</v>
      </c>
      <c r="I1810" s="1444">
        <v>0</v>
      </c>
      <c r="J1810" s="1444">
        <v>0</v>
      </c>
      <c r="K1810" s="1476"/>
      <c r="L1810" s="1476"/>
      <c r="M1810" s="1476">
        <f t="shared" si="299"/>
        <v>0</v>
      </c>
      <c r="N1810" s="1476">
        <f t="shared" si="298"/>
        <v>0</v>
      </c>
    </row>
    <row r="1811" spans="1:14" ht="15.5" outlineLevel="1">
      <c r="A1811" s="1455">
        <f t="shared" si="302"/>
        <v>2.1</v>
      </c>
      <c r="B1811" s="1455" t="str">
        <f t="shared" si="302"/>
        <v>Revamping and Upgradation of rail track from 52KG to 60KG in CHP-BTPS.</v>
      </c>
      <c r="C1811" s="1475">
        <f t="shared" si="302"/>
        <v>0</v>
      </c>
      <c r="D1811" s="1473" t="str">
        <f t="shared" si="302"/>
        <v>-</v>
      </c>
      <c r="E1811" s="1476">
        <f t="shared" si="302"/>
        <v>0</v>
      </c>
      <c r="F1811" s="1444">
        <f t="shared" si="295"/>
        <v>0</v>
      </c>
      <c r="G1811" s="1444">
        <f t="shared" si="296"/>
        <v>0</v>
      </c>
      <c r="H1811" s="1476">
        <f t="shared" si="297"/>
        <v>0</v>
      </c>
      <c r="I1811" s="1444">
        <v>75</v>
      </c>
      <c r="J1811" s="1444">
        <v>75</v>
      </c>
      <c r="K1811" s="1476"/>
      <c r="L1811" s="1476"/>
      <c r="M1811" s="1476">
        <f t="shared" si="299"/>
        <v>75</v>
      </c>
      <c r="N1811" s="1476">
        <f t="shared" si="298"/>
        <v>0</v>
      </c>
    </row>
    <row r="1812" spans="1:14" ht="15.5" outlineLevel="1">
      <c r="A1812" s="1455">
        <f t="shared" ref="A1812:E1827" si="303">A1582</f>
        <v>0</v>
      </c>
      <c r="B1812" s="1455">
        <f t="shared" si="303"/>
        <v>0</v>
      </c>
      <c r="C1812" s="1475">
        <f t="shared" si="303"/>
        <v>0</v>
      </c>
      <c r="D1812" s="1473" t="str">
        <f t="shared" si="303"/>
        <v>-</v>
      </c>
      <c r="E1812" s="1476">
        <f t="shared" si="303"/>
        <v>0</v>
      </c>
      <c r="F1812" s="1444">
        <f t="shared" ref="F1812:F1844" si="304">F1582+I1582</f>
        <v>0</v>
      </c>
      <c r="G1812" s="1444">
        <f t="shared" ref="G1812:G1844" si="305">G1582+M1582</f>
        <v>0</v>
      </c>
      <c r="H1812" s="1476">
        <f t="shared" si="297"/>
        <v>0</v>
      </c>
      <c r="I1812" s="1444">
        <v>0</v>
      </c>
      <c r="J1812" s="1444">
        <v>0</v>
      </c>
      <c r="K1812" s="1476"/>
      <c r="L1812" s="1476"/>
      <c r="M1812" s="1476">
        <f t="shared" si="299"/>
        <v>0</v>
      </c>
      <c r="N1812" s="1476">
        <f t="shared" si="298"/>
        <v>0</v>
      </c>
    </row>
    <row r="1813" spans="1:14" ht="15.5" outlineLevel="1">
      <c r="A1813" s="1456">
        <f t="shared" si="303"/>
        <v>0</v>
      </c>
      <c r="B1813" s="1456" t="str">
        <f t="shared" si="303"/>
        <v>B) Non-DPR Schemes</v>
      </c>
      <c r="C1813" s="1475">
        <f t="shared" si="303"/>
        <v>0</v>
      </c>
      <c r="D1813" s="1473" t="str">
        <f t="shared" si="303"/>
        <v>-</v>
      </c>
      <c r="E1813" s="1476">
        <f t="shared" si="303"/>
        <v>0</v>
      </c>
      <c r="F1813" s="1444">
        <f t="shared" si="304"/>
        <v>0</v>
      </c>
      <c r="G1813" s="1444">
        <f t="shared" si="305"/>
        <v>0</v>
      </c>
      <c r="H1813" s="1476">
        <f t="shared" si="297"/>
        <v>0</v>
      </c>
      <c r="I1813" s="1444">
        <v>0</v>
      </c>
      <c r="J1813" s="1444">
        <v>0</v>
      </c>
      <c r="K1813" s="1476"/>
      <c r="L1813" s="1476"/>
      <c r="M1813" s="1476">
        <f t="shared" si="299"/>
        <v>0</v>
      </c>
      <c r="N1813" s="1476">
        <f t="shared" si="298"/>
        <v>0</v>
      </c>
    </row>
    <row r="1814" spans="1:14" ht="15.5" outlineLevel="1">
      <c r="A1814" s="1454">
        <f t="shared" si="303"/>
        <v>1</v>
      </c>
      <c r="B1814" s="1454" t="str">
        <f t="shared" si="303"/>
        <v>Contract for modification of Wobbler feeder in CHP-2X500MW</v>
      </c>
      <c r="C1814" s="1475">
        <f t="shared" si="303"/>
        <v>0</v>
      </c>
      <c r="D1814" s="1473" t="str">
        <f t="shared" si="303"/>
        <v>-</v>
      </c>
      <c r="E1814" s="1476">
        <f t="shared" si="303"/>
        <v>0</v>
      </c>
      <c r="F1814" s="1444">
        <f t="shared" si="304"/>
        <v>1.473342572</v>
      </c>
      <c r="G1814" s="1444">
        <f t="shared" si="305"/>
        <v>1.473342572</v>
      </c>
      <c r="H1814" s="1476">
        <f t="shared" si="297"/>
        <v>0</v>
      </c>
      <c r="I1814" s="1444">
        <v>0</v>
      </c>
      <c r="J1814" s="1444">
        <v>0</v>
      </c>
      <c r="K1814" s="1476"/>
      <c r="L1814" s="1476"/>
      <c r="M1814" s="1476">
        <f t="shared" si="299"/>
        <v>0</v>
      </c>
      <c r="N1814" s="1476">
        <f t="shared" si="298"/>
        <v>0</v>
      </c>
    </row>
    <row r="1815" spans="1:14" ht="15.5" outlineLevel="1">
      <c r="A1815" s="1454">
        <f t="shared" si="303"/>
        <v>2</v>
      </c>
      <c r="B1815" s="1454" t="str">
        <f t="shared" si="303"/>
        <v>Contract for Revamping of Apron Feeder in CHP-2X500MW</v>
      </c>
      <c r="C1815" s="1475">
        <f t="shared" si="303"/>
        <v>0</v>
      </c>
      <c r="D1815" s="1473" t="str">
        <f t="shared" si="303"/>
        <v>-</v>
      </c>
      <c r="E1815" s="1476">
        <f t="shared" si="303"/>
        <v>0</v>
      </c>
      <c r="F1815" s="1444">
        <f t="shared" si="304"/>
        <v>2.3246000000000002</v>
      </c>
      <c r="G1815" s="1444">
        <f t="shared" si="305"/>
        <v>2.3246000000000002</v>
      </c>
      <c r="H1815" s="1476">
        <f t="shared" si="297"/>
        <v>0</v>
      </c>
      <c r="I1815" s="1444">
        <v>0</v>
      </c>
      <c r="J1815" s="1444">
        <v>0</v>
      </c>
      <c r="K1815" s="1476"/>
      <c r="L1815" s="1476"/>
      <c r="M1815" s="1476">
        <f t="shared" si="299"/>
        <v>0</v>
      </c>
      <c r="N1815" s="1476">
        <f t="shared" si="298"/>
        <v>0</v>
      </c>
    </row>
    <row r="1816" spans="1:14" ht="31" outlineLevel="1">
      <c r="A1816" s="1454">
        <f t="shared" si="303"/>
        <v>3</v>
      </c>
      <c r="B1816" s="1454" t="str">
        <f t="shared" si="303"/>
        <v> Procurement of double lip skirt sealing &amp; tracking idler in CHP at 2x500MW, BTPS</v>
      </c>
      <c r="C1816" s="1475">
        <f t="shared" si="303"/>
        <v>0</v>
      </c>
      <c r="D1816" s="1473" t="str">
        <f t="shared" si="303"/>
        <v>-</v>
      </c>
      <c r="E1816" s="1476">
        <f t="shared" si="303"/>
        <v>0</v>
      </c>
      <c r="F1816" s="1444">
        <f t="shared" si="304"/>
        <v>0.57024680000000005</v>
      </c>
      <c r="G1816" s="1444">
        <f t="shared" si="305"/>
        <v>0.57024680000000005</v>
      </c>
      <c r="H1816" s="1476">
        <f t="shared" si="297"/>
        <v>0</v>
      </c>
      <c r="I1816" s="1444">
        <v>0</v>
      </c>
      <c r="J1816" s="1444">
        <v>0</v>
      </c>
      <c r="K1816" s="1476"/>
      <c r="L1816" s="1476"/>
      <c r="M1816" s="1476">
        <f t="shared" si="299"/>
        <v>0</v>
      </c>
      <c r="N1816" s="1476">
        <f t="shared" si="298"/>
        <v>0</v>
      </c>
    </row>
    <row r="1817" spans="1:14" ht="15.5" outlineLevel="1">
      <c r="A1817" s="1454">
        <f t="shared" si="303"/>
        <v>4</v>
      </c>
      <c r="B1817" s="1454" t="str">
        <f t="shared" si="303"/>
        <v>Supply, erection &amp; commissioning of vibrating feeder in CHP at 2x500MW, BTPS</v>
      </c>
      <c r="C1817" s="1475">
        <f t="shared" si="303"/>
        <v>0</v>
      </c>
      <c r="D1817" s="1473" t="str">
        <f t="shared" si="303"/>
        <v>-</v>
      </c>
      <c r="E1817" s="1476">
        <f t="shared" si="303"/>
        <v>0</v>
      </c>
      <c r="F1817" s="1444">
        <f t="shared" si="304"/>
        <v>0.57796400000000003</v>
      </c>
      <c r="G1817" s="1444">
        <f t="shared" si="305"/>
        <v>0.57796400000000003</v>
      </c>
      <c r="H1817" s="1476">
        <f t="shared" si="297"/>
        <v>0</v>
      </c>
      <c r="I1817" s="1444">
        <v>0</v>
      </c>
      <c r="J1817" s="1444">
        <v>0</v>
      </c>
      <c r="K1817" s="1476"/>
      <c r="L1817" s="1476"/>
      <c r="M1817" s="1476">
        <f t="shared" si="299"/>
        <v>0</v>
      </c>
      <c r="N1817" s="1476">
        <f t="shared" si="298"/>
        <v>0</v>
      </c>
    </row>
    <row r="1818" spans="1:14" ht="15.5" outlineLevel="1">
      <c r="A1818" s="1454">
        <f t="shared" si="303"/>
        <v>5</v>
      </c>
      <c r="B1818" s="1454" t="str">
        <f t="shared" si="303"/>
        <v xml:space="preserve"> Coal chutes with extra life wear resistance plates in CHP at 2X500MW</v>
      </c>
      <c r="C1818" s="1475">
        <f t="shared" si="303"/>
        <v>0</v>
      </c>
      <c r="D1818" s="1473" t="str">
        <f t="shared" si="303"/>
        <v>-</v>
      </c>
      <c r="E1818" s="1476">
        <f t="shared" si="303"/>
        <v>0</v>
      </c>
      <c r="F1818" s="1444">
        <f t="shared" si="304"/>
        <v>2.0319305000000001</v>
      </c>
      <c r="G1818" s="1444">
        <f t="shared" si="305"/>
        <v>2.0319305000000001</v>
      </c>
      <c r="H1818" s="1476">
        <f t="shared" si="297"/>
        <v>0</v>
      </c>
      <c r="I1818" s="1444">
        <v>0</v>
      </c>
      <c r="J1818" s="1444">
        <v>0</v>
      </c>
      <c r="K1818" s="1476"/>
      <c r="L1818" s="1476"/>
      <c r="M1818" s="1476">
        <f t="shared" si="299"/>
        <v>0</v>
      </c>
      <c r="N1818" s="1476">
        <f t="shared" si="298"/>
        <v>0</v>
      </c>
    </row>
    <row r="1819" spans="1:14" ht="31" outlineLevel="1">
      <c r="A1819" s="1454">
        <f t="shared" si="303"/>
        <v>6</v>
      </c>
      <c r="B1819" s="1454" t="str">
        <f t="shared" si="303"/>
        <v xml:space="preserve">Epoxy Painting upto all height to structural steel work in main plant boiler side area and CHP area </v>
      </c>
      <c r="C1819" s="1475">
        <f t="shared" si="303"/>
        <v>0</v>
      </c>
      <c r="D1819" s="1473" t="str">
        <f t="shared" si="303"/>
        <v>-</v>
      </c>
      <c r="E1819" s="1476">
        <f t="shared" si="303"/>
        <v>0</v>
      </c>
      <c r="F1819" s="1444">
        <f t="shared" si="304"/>
        <v>5.8625346629999999</v>
      </c>
      <c r="G1819" s="1444">
        <f t="shared" si="305"/>
        <v>5.8625346629999999</v>
      </c>
      <c r="H1819" s="1476">
        <f t="shared" si="297"/>
        <v>0</v>
      </c>
      <c r="I1819" s="1444">
        <v>0</v>
      </c>
      <c r="J1819" s="1444">
        <v>0</v>
      </c>
      <c r="K1819" s="1476"/>
      <c r="L1819" s="1476"/>
      <c r="M1819" s="1476">
        <f t="shared" si="299"/>
        <v>0</v>
      </c>
      <c r="N1819" s="1476">
        <f t="shared" si="298"/>
        <v>0</v>
      </c>
    </row>
    <row r="1820" spans="1:14" ht="15.5" outlineLevel="1">
      <c r="A1820" s="1454">
        <f t="shared" si="303"/>
        <v>7</v>
      </c>
      <c r="B1820" s="1454" t="str">
        <f t="shared" si="303"/>
        <v xml:space="preserve"> Rectification of Belt feeder &amp; Gravity Take-up  in CHP-2X500MW.</v>
      </c>
      <c r="C1820" s="1475">
        <f t="shared" si="303"/>
        <v>0</v>
      </c>
      <c r="D1820" s="1473" t="str">
        <f t="shared" si="303"/>
        <v>-</v>
      </c>
      <c r="E1820" s="1476">
        <f t="shared" si="303"/>
        <v>0</v>
      </c>
      <c r="F1820" s="1444">
        <f t="shared" si="304"/>
        <v>1.6478699999999999</v>
      </c>
      <c r="G1820" s="1444">
        <f t="shared" si="305"/>
        <v>1.6478699999999999</v>
      </c>
      <c r="H1820" s="1476">
        <f t="shared" si="297"/>
        <v>0</v>
      </c>
      <c r="I1820" s="1444">
        <v>0</v>
      </c>
      <c r="J1820" s="1444">
        <v>0</v>
      </c>
      <c r="K1820" s="1476"/>
      <c r="L1820" s="1476"/>
      <c r="M1820" s="1476">
        <f t="shared" si="299"/>
        <v>0</v>
      </c>
      <c r="N1820" s="1476">
        <f t="shared" si="298"/>
        <v>0</v>
      </c>
    </row>
    <row r="1821" spans="1:14" ht="15.5" outlineLevel="1">
      <c r="A1821" s="1454">
        <f t="shared" si="303"/>
        <v>8</v>
      </c>
      <c r="B1821" s="1454" t="str">
        <f t="shared" si="303"/>
        <v>Coal diverting chutes in CHP at 2X500MW.</v>
      </c>
      <c r="C1821" s="1475">
        <f t="shared" si="303"/>
        <v>0</v>
      </c>
      <c r="D1821" s="1473" t="str">
        <f t="shared" si="303"/>
        <v>-</v>
      </c>
      <c r="E1821" s="1476">
        <f t="shared" si="303"/>
        <v>0</v>
      </c>
      <c r="F1821" s="1444">
        <f t="shared" si="304"/>
        <v>2.218399056</v>
      </c>
      <c r="G1821" s="1444">
        <f t="shared" si="305"/>
        <v>2.218399056</v>
      </c>
      <c r="H1821" s="1476">
        <f t="shared" si="297"/>
        <v>0</v>
      </c>
      <c r="I1821" s="1444">
        <v>0</v>
      </c>
      <c r="J1821" s="1444">
        <v>0</v>
      </c>
      <c r="K1821" s="1476"/>
      <c r="L1821" s="1476"/>
      <c r="M1821" s="1476">
        <f t="shared" si="299"/>
        <v>0</v>
      </c>
      <c r="N1821" s="1476">
        <f t="shared" si="298"/>
        <v>0</v>
      </c>
    </row>
    <row r="1822" spans="1:14" ht="31" outlineLevel="1">
      <c r="A1822" s="1454">
        <f t="shared" si="303"/>
        <v>9</v>
      </c>
      <c r="B1822" s="1454" t="str">
        <f t="shared" si="303"/>
        <v>Supply of Conveyor Pulleys with Ceramic lagging at CHP-2X500MW, BTPS, Bhusawal</v>
      </c>
      <c r="C1822" s="1475">
        <f t="shared" si="303"/>
        <v>0</v>
      </c>
      <c r="D1822" s="1473" t="str">
        <f t="shared" si="303"/>
        <v>-</v>
      </c>
      <c r="E1822" s="1476">
        <f t="shared" si="303"/>
        <v>0</v>
      </c>
      <c r="F1822" s="1444">
        <f t="shared" si="304"/>
        <v>0.58051280000000005</v>
      </c>
      <c r="G1822" s="1444">
        <f t="shared" si="305"/>
        <v>0.58051280000000005</v>
      </c>
      <c r="H1822" s="1476">
        <f t="shared" si="297"/>
        <v>0</v>
      </c>
      <c r="I1822" s="1444">
        <v>0</v>
      </c>
      <c r="J1822" s="1444">
        <v>0</v>
      </c>
      <c r="K1822" s="1476"/>
      <c r="L1822" s="1476"/>
      <c r="M1822" s="1476">
        <f t="shared" si="299"/>
        <v>0</v>
      </c>
      <c r="N1822" s="1476">
        <f t="shared" si="298"/>
        <v>0</v>
      </c>
    </row>
    <row r="1823" spans="1:14" ht="31" outlineLevel="1">
      <c r="A1823" s="1454">
        <f t="shared" si="303"/>
        <v>10</v>
      </c>
      <c r="B1823" s="1454" t="str">
        <f t="shared" si="303"/>
        <v xml:space="preserve">Non-DPR Project Report for  Design, Supply,Erection &amp; Commissioning of High Performance Energy Chain System for Side Arm Charger at 2x500 at CHP </v>
      </c>
      <c r="C1823" s="1475">
        <f t="shared" si="303"/>
        <v>0</v>
      </c>
      <c r="D1823" s="1473" t="str">
        <f t="shared" si="303"/>
        <v>-</v>
      </c>
      <c r="E1823" s="1476">
        <f t="shared" si="303"/>
        <v>0</v>
      </c>
      <c r="F1823" s="1444">
        <f t="shared" si="304"/>
        <v>1.50150162</v>
      </c>
      <c r="G1823" s="1444">
        <f t="shared" si="305"/>
        <v>1.50150162</v>
      </c>
      <c r="H1823" s="1476">
        <f t="shared" si="297"/>
        <v>0</v>
      </c>
      <c r="I1823" s="1444">
        <v>0</v>
      </c>
      <c r="J1823" s="1444">
        <v>0</v>
      </c>
      <c r="K1823" s="1476"/>
      <c r="L1823" s="1476"/>
      <c r="M1823" s="1476">
        <f t="shared" ref="M1823:M1844" si="306">SUM(J1823:L1823)</f>
        <v>0</v>
      </c>
      <c r="N1823" s="1476">
        <f t="shared" si="298"/>
        <v>0</v>
      </c>
    </row>
    <row r="1824" spans="1:14" ht="31" outlineLevel="1">
      <c r="A1824" s="1454">
        <f t="shared" si="303"/>
        <v>11</v>
      </c>
      <c r="B1824" s="1454" t="str">
        <f t="shared" si="303"/>
        <v>Implementation of Energy Conservation Demonstration Project in buildings of BTPS 2x500MW</v>
      </c>
      <c r="C1824" s="1475">
        <f t="shared" si="303"/>
        <v>0</v>
      </c>
      <c r="D1824" s="1473" t="str">
        <f t="shared" si="303"/>
        <v>-</v>
      </c>
      <c r="E1824" s="1476">
        <f t="shared" si="303"/>
        <v>0</v>
      </c>
      <c r="F1824" s="1444">
        <f t="shared" si="304"/>
        <v>0</v>
      </c>
      <c r="G1824" s="1444">
        <f t="shared" si="305"/>
        <v>0</v>
      </c>
      <c r="H1824" s="1476">
        <f t="shared" si="297"/>
        <v>0</v>
      </c>
      <c r="I1824" s="1444">
        <v>0</v>
      </c>
      <c r="J1824" s="1444">
        <v>0</v>
      </c>
      <c r="K1824" s="1476"/>
      <c r="L1824" s="1476"/>
      <c r="M1824" s="1476">
        <f t="shared" si="306"/>
        <v>0</v>
      </c>
      <c r="N1824" s="1476">
        <f t="shared" si="298"/>
        <v>0</v>
      </c>
    </row>
    <row r="1825" spans="1:14" ht="15.5" outlineLevel="1">
      <c r="A1825" s="1454">
        <f t="shared" si="303"/>
        <v>12</v>
      </c>
      <c r="B1825" s="1454" t="str">
        <f t="shared" si="303"/>
        <v>Installation of Fire &amp; Explosion Prevention system at Bhusawal 500MW Unit-4.</v>
      </c>
      <c r="C1825" s="1475">
        <f t="shared" si="303"/>
        <v>0</v>
      </c>
      <c r="D1825" s="1473" t="str">
        <f t="shared" si="303"/>
        <v>-</v>
      </c>
      <c r="E1825" s="1476">
        <f t="shared" si="303"/>
        <v>0</v>
      </c>
      <c r="F1825" s="1444">
        <f t="shared" si="304"/>
        <v>2.4539</v>
      </c>
      <c r="G1825" s="1444">
        <f t="shared" si="305"/>
        <v>2.4539</v>
      </c>
      <c r="H1825" s="1476">
        <f t="shared" si="297"/>
        <v>0</v>
      </c>
      <c r="I1825" s="1444">
        <v>0</v>
      </c>
      <c r="J1825" s="1444">
        <v>0</v>
      </c>
      <c r="K1825" s="1476"/>
      <c r="L1825" s="1476"/>
      <c r="M1825" s="1476">
        <f t="shared" si="306"/>
        <v>0</v>
      </c>
      <c r="N1825" s="1476">
        <f t="shared" si="298"/>
        <v>0</v>
      </c>
    </row>
    <row r="1826" spans="1:14" ht="15.5" outlineLevel="1">
      <c r="A1826" s="1454">
        <f t="shared" si="303"/>
        <v>13</v>
      </c>
      <c r="B1826" s="1454" t="str">
        <f t="shared" si="303"/>
        <v>Fixtures &amp; Fitting (10801)</v>
      </c>
      <c r="C1826" s="1475">
        <f t="shared" si="303"/>
        <v>0</v>
      </c>
      <c r="D1826" s="1473" t="str">
        <f t="shared" si="303"/>
        <v>-</v>
      </c>
      <c r="E1826" s="1476">
        <f t="shared" si="303"/>
        <v>0</v>
      </c>
      <c r="F1826" s="1444">
        <f t="shared" si="304"/>
        <v>0.21333523199999999</v>
      </c>
      <c r="G1826" s="1444">
        <f t="shared" si="305"/>
        <v>0.21333523199999999</v>
      </c>
      <c r="H1826" s="1476">
        <f t="shared" si="297"/>
        <v>0</v>
      </c>
      <c r="I1826" s="1444">
        <v>0</v>
      </c>
      <c r="J1826" s="1444">
        <v>0</v>
      </c>
      <c r="K1826" s="1476"/>
      <c r="L1826" s="1476"/>
      <c r="M1826" s="1476">
        <f t="shared" si="306"/>
        <v>0</v>
      </c>
      <c r="N1826" s="1476">
        <f t="shared" si="298"/>
        <v>0</v>
      </c>
    </row>
    <row r="1827" spans="1:14" ht="15.5" outlineLevel="1">
      <c r="A1827" s="1454">
        <f t="shared" si="303"/>
        <v>14</v>
      </c>
      <c r="B1827" s="1454" t="str">
        <f t="shared" si="303"/>
        <v>Office equpment (10901)</v>
      </c>
      <c r="C1827" s="1475">
        <f t="shared" si="303"/>
        <v>0</v>
      </c>
      <c r="D1827" s="1473" t="str">
        <f t="shared" si="303"/>
        <v>-</v>
      </c>
      <c r="E1827" s="1476">
        <f t="shared" si="303"/>
        <v>0</v>
      </c>
      <c r="F1827" s="1444">
        <f t="shared" si="304"/>
        <v>0.22996406</v>
      </c>
      <c r="G1827" s="1444">
        <f t="shared" si="305"/>
        <v>0.22996406</v>
      </c>
      <c r="H1827" s="1476">
        <f t="shared" si="297"/>
        <v>0</v>
      </c>
      <c r="I1827" s="1444">
        <v>0</v>
      </c>
      <c r="J1827" s="1444">
        <v>0</v>
      </c>
      <c r="K1827" s="1476"/>
      <c r="L1827" s="1476"/>
      <c r="M1827" s="1476">
        <f t="shared" si="306"/>
        <v>0</v>
      </c>
      <c r="N1827" s="1476">
        <f t="shared" si="298"/>
        <v>0</v>
      </c>
    </row>
    <row r="1828" spans="1:14" ht="15.5" outlineLevel="1">
      <c r="A1828" s="1454">
        <f t="shared" ref="A1828:E1843" si="307">A1598</f>
        <v>15</v>
      </c>
      <c r="B1828" s="1454" t="str">
        <f t="shared" si="307"/>
        <v>150 W &amp; 40 W LED FIXTURES AT TG HOUSE BUILDING 2X500MW</v>
      </c>
      <c r="C1828" s="1475">
        <f t="shared" si="307"/>
        <v>0</v>
      </c>
      <c r="D1828" s="1473" t="str">
        <f t="shared" si="307"/>
        <v>-</v>
      </c>
      <c r="E1828" s="1476">
        <f t="shared" si="307"/>
        <v>0</v>
      </c>
      <c r="F1828" s="1444">
        <f t="shared" si="304"/>
        <v>0.5280705</v>
      </c>
      <c r="G1828" s="1444">
        <f t="shared" si="305"/>
        <v>0.2780705</v>
      </c>
      <c r="H1828" s="1476">
        <f t="shared" si="297"/>
        <v>0.25</v>
      </c>
      <c r="I1828" s="1444">
        <v>0</v>
      </c>
      <c r="J1828" s="1444">
        <v>0</v>
      </c>
      <c r="K1828" s="1476"/>
      <c r="L1828" s="1476"/>
      <c r="M1828" s="1476">
        <f t="shared" si="306"/>
        <v>0</v>
      </c>
      <c r="N1828" s="1476">
        <f t="shared" si="298"/>
        <v>0.25</v>
      </c>
    </row>
    <row r="1829" spans="1:14" ht="15.5" outlineLevel="1">
      <c r="A1829" s="1454">
        <f t="shared" si="307"/>
        <v>16</v>
      </c>
      <c r="B1829" s="1454" t="str">
        <f t="shared" si="307"/>
        <v>JUMBO DEESERT AIR COOLERS FOR POWER TRANSFORERS</v>
      </c>
      <c r="C1829" s="1475">
        <f t="shared" si="307"/>
        <v>0</v>
      </c>
      <c r="D1829" s="1473" t="str">
        <f t="shared" si="307"/>
        <v>-</v>
      </c>
      <c r="E1829" s="1476">
        <f t="shared" si="307"/>
        <v>0</v>
      </c>
      <c r="F1829" s="1444">
        <f t="shared" si="304"/>
        <v>0.1014328</v>
      </c>
      <c r="G1829" s="1444">
        <f t="shared" si="305"/>
        <v>0.1014328</v>
      </c>
      <c r="H1829" s="1476">
        <f t="shared" si="297"/>
        <v>0</v>
      </c>
      <c r="I1829" s="1444">
        <v>0</v>
      </c>
      <c r="J1829" s="1444">
        <v>0</v>
      </c>
      <c r="K1829" s="1476"/>
      <c r="L1829" s="1476"/>
      <c r="M1829" s="1476">
        <f t="shared" si="306"/>
        <v>0</v>
      </c>
      <c r="N1829" s="1476">
        <f t="shared" si="298"/>
        <v>0</v>
      </c>
    </row>
    <row r="1830" spans="1:14" ht="15.5" outlineLevel="1">
      <c r="A1830" s="1454">
        <f t="shared" si="307"/>
        <v>17</v>
      </c>
      <c r="B1830" s="1454" t="str">
        <f t="shared" si="307"/>
        <v>GEN ASSET (ALMIRAH,TABLE &amp; CHAIR) (10801)</v>
      </c>
      <c r="C1830" s="1475">
        <f t="shared" si="307"/>
        <v>0</v>
      </c>
      <c r="D1830" s="1473" t="str">
        <f t="shared" si="307"/>
        <v>-</v>
      </c>
      <c r="E1830" s="1476">
        <f t="shared" si="307"/>
        <v>0</v>
      </c>
      <c r="F1830" s="1444">
        <f t="shared" si="304"/>
        <v>0.23453750000000001</v>
      </c>
      <c r="G1830" s="1444">
        <f t="shared" si="305"/>
        <v>0.23453750000000001</v>
      </c>
      <c r="H1830" s="1476">
        <f t="shared" si="297"/>
        <v>0</v>
      </c>
      <c r="I1830" s="1444">
        <v>0</v>
      </c>
      <c r="J1830" s="1444">
        <v>0</v>
      </c>
      <c r="K1830" s="1476"/>
      <c r="L1830" s="1476"/>
      <c r="M1830" s="1476">
        <f t="shared" si="306"/>
        <v>0</v>
      </c>
      <c r="N1830" s="1476">
        <f t="shared" si="298"/>
        <v>0</v>
      </c>
    </row>
    <row r="1831" spans="1:14" ht="15.5" outlineLevel="1">
      <c r="A1831" s="1454">
        <f t="shared" si="307"/>
        <v>18</v>
      </c>
      <c r="B1831" s="1454" t="str">
        <f t="shared" si="307"/>
        <v>LAPTOP, 50 INCH TV,PRINTER,PROJECTOR,DESKTOP,UPS &amp; ETS. (10901)</v>
      </c>
      <c r="C1831" s="1475">
        <f t="shared" si="307"/>
        <v>0</v>
      </c>
      <c r="D1831" s="1473" t="str">
        <f t="shared" si="307"/>
        <v>-</v>
      </c>
      <c r="E1831" s="1476">
        <f t="shared" si="307"/>
        <v>0</v>
      </c>
      <c r="F1831" s="1444">
        <f t="shared" si="304"/>
        <v>0.55035469999999997</v>
      </c>
      <c r="G1831" s="1444">
        <f t="shared" si="305"/>
        <v>0.55035469999999997</v>
      </c>
      <c r="H1831" s="1476">
        <f t="shared" si="297"/>
        <v>0</v>
      </c>
      <c r="I1831" s="1444">
        <v>0</v>
      </c>
      <c r="J1831" s="1444">
        <v>0</v>
      </c>
      <c r="K1831" s="1476"/>
      <c r="L1831" s="1476"/>
      <c r="M1831" s="1476">
        <f t="shared" si="306"/>
        <v>0</v>
      </c>
      <c r="N1831" s="1476">
        <f t="shared" si="298"/>
        <v>0</v>
      </c>
    </row>
    <row r="1832" spans="1:14" ht="15.5" outlineLevel="1">
      <c r="A1832" s="1454">
        <f t="shared" si="307"/>
        <v>19</v>
      </c>
      <c r="B1832" s="1454" t="str">
        <f t="shared" si="307"/>
        <v>RESTAURANT EQUIP COMPOSTING MACHINE</v>
      </c>
      <c r="C1832" s="1475">
        <f t="shared" si="307"/>
        <v>0</v>
      </c>
      <c r="D1832" s="1473" t="str">
        <f t="shared" si="307"/>
        <v>-</v>
      </c>
      <c r="E1832" s="1476">
        <f t="shared" si="307"/>
        <v>0</v>
      </c>
      <c r="F1832" s="1444">
        <f t="shared" si="304"/>
        <v>5.0490047999999996E-2</v>
      </c>
      <c r="G1832" s="1444">
        <f t="shared" si="305"/>
        <v>5.0490047999999996E-2</v>
      </c>
      <c r="H1832" s="1476">
        <f t="shared" ref="H1832:H1844" si="308">F1832-G1832</f>
        <v>0</v>
      </c>
      <c r="I1832" s="1444">
        <v>0</v>
      </c>
      <c r="J1832" s="1444">
        <v>0</v>
      </c>
      <c r="K1832" s="1476"/>
      <c r="L1832" s="1476"/>
      <c r="M1832" s="1476">
        <f t="shared" si="306"/>
        <v>0</v>
      </c>
      <c r="N1832" s="1476"/>
    </row>
    <row r="1833" spans="1:14" ht="15.5" outlineLevel="1">
      <c r="A1833" s="1454">
        <f t="shared" si="307"/>
        <v>20</v>
      </c>
      <c r="B1833" s="1454" t="str">
        <f t="shared" si="307"/>
        <v>OFFICE TABLE,STORGE RACK,FAN</v>
      </c>
      <c r="C1833" s="1475">
        <f t="shared" si="307"/>
        <v>0</v>
      </c>
      <c r="D1833" s="1473" t="str">
        <f t="shared" si="307"/>
        <v>-</v>
      </c>
      <c r="E1833" s="1476">
        <f t="shared" si="307"/>
        <v>0</v>
      </c>
      <c r="F1833" s="1444">
        <f t="shared" si="304"/>
        <v>0.57868969999999997</v>
      </c>
      <c r="G1833" s="1444">
        <f t="shared" si="305"/>
        <v>0.57868969999999997</v>
      </c>
      <c r="H1833" s="1476">
        <f t="shared" si="308"/>
        <v>0</v>
      </c>
      <c r="I1833" s="1444">
        <v>0</v>
      </c>
      <c r="J1833" s="1444">
        <v>0</v>
      </c>
      <c r="K1833" s="1476"/>
      <c r="L1833" s="1476"/>
      <c r="M1833" s="1476">
        <f t="shared" si="306"/>
        <v>0</v>
      </c>
      <c r="N1833" s="1476"/>
    </row>
    <row r="1834" spans="1:14" ht="15.5" outlineLevel="1">
      <c r="A1834" s="1454">
        <f t="shared" si="307"/>
        <v>21</v>
      </c>
      <c r="B1834" s="1454" t="str">
        <f t="shared" si="307"/>
        <v>CAMERAS</v>
      </c>
      <c r="C1834" s="1475">
        <f t="shared" si="307"/>
        <v>0</v>
      </c>
      <c r="D1834" s="1473" t="str">
        <f t="shared" si="307"/>
        <v>-</v>
      </c>
      <c r="E1834" s="1476">
        <f t="shared" si="307"/>
        <v>0</v>
      </c>
      <c r="F1834" s="1444">
        <f t="shared" si="304"/>
        <v>3.8467899999999999E-2</v>
      </c>
      <c r="G1834" s="1444">
        <f t="shared" si="305"/>
        <v>3.8467899999999999E-2</v>
      </c>
      <c r="H1834" s="1476">
        <f t="shared" si="308"/>
        <v>0</v>
      </c>
      <c r="I1834" s="1444">
        <v>0</v>
      </c>
      <c r="J1834" s="1444">
        <v>0</v>
      </c>
      <c r="K1834" s="1476"/>
      <c r="L1834" s="1476"/>
      <c r="M1834" s="1476">
        <f t="shared" si="306"/>
        <v>0</v>
      </c>
      <c r="N1834" s="1476"/>
    </row>
    <row r="1835" spans="1:14" ht="15.5" outlineLevel="1">
      <c r="A1835" s="1454">
        <f t="shared" si="307"/>
        <v>22</v>
      </c>
      <c r="B1835" s="1454" t="str">
        <f t="shared" si="307"/>
        <v>VELHALA ASH BUND RD WORK</v>
      </c>
      <c r="C1835" s="1475">
        <f t="shared" si="307"/>
        <v>0</v>
      </c>
      <c r="D1835" s="1473" t="str">
        <f t="shared" si="307"/>
        <v>-</v>
      </c>
      <c r="E1835" s="1476">
        <f t="shared" si="307"/>
        <v>0</v>
      </c>
      <c r="F1835" s="1444">
        <f t="shared" si="304"/>
        <v>2.4644665859999999</v>
      </c>
      <c r="G1835" s="1444">
        <f t="shared" si="305"/>
        <v>2.4644665859999999</v>
      </c>
      <c r="H1835" s="1476">
        <f t="shared" si="308"/>
        <v>0</v>
      </c>
      <c r="I1835" s="1444">
        <v>0</v>
      </c>
      <c r="J1835" s="1444">
        <v>0</v>
      </c>
      <c r="K1835" s="1476"/>
      <c r="L1835" s="1476"/>
      <c r="M1835" s="1476">
        <f t="shared" si="306"/>
        <v>0</v>
      </c>
      <c r="N1835" s="1476"/>
    </row>
    <row r="1836" spans="1:14" ht="15.5" outlineLevel="1">
      <c r="A1836" s="1454">
        <f t="shared" si="307"/>
        <v>23</v>
      </c>
      <c r="B1836" s="1454" t="str">
        <f t="shared" si="307"/>
        <v>CONCERETE ROAD FROM DIESEL PUMP TO 500MW FACTORY G</v>
      </c>
      <c r="C1836" s="1475">
        <f t="shared" si="307"/>
        <v>0</v>
      </c>
      <c r="D1836" s="1473" t="str">
        <f t="shared" si="307"/>
        <v>-</v>
      </c>
      <c r="E1836" s="1476">
        <f t="shared" si="307"/>
        <v>0</v>
      </c>
      <c r="F1836" s="1444">
        <f t="shared" si="304"/>
        <v>0.98448907899999993</v>
      </c>
      <c r="G1836" s="1444">
        <f t="shared" si="305"/>
        <v>0.98448907899999993</v>
      </c>
      <c r="H1836" s="1476">
        <f t="shared" si="308"/>
        <v>0</v>
      </c>
      <c r="I1836" s="1444">
        <v>0</v>
      </c>
      <c r="J1836" s="1444">
        <v>0</v>
      </c>
      <c r="K1836" s="1476"/>
      <c r="L1836" s="1476"/>
      <c r="M1836" s="1476">
        <f t="shared" si="306"/>
        <v>0</v>
      </c>
      <c r="N1836" s="1476"/>
    </row>
    <row r="1837" spans="1:14" ht="15.5" outlineLevel="1">
      <c r="A1837" s="1454">
        <f t="shared" si="307"/>
        <v>24</v>
      </c>
      <c r="B1837" s="1454" t="str">
        <f t="shared" si="307"/>
        <v>Admin Building</v>
      </c>
      <c r="C1837" s="1475">
        <f t="shared" si="307"/>
        <v>0</v>
      </c>
      <c r="D1837" s="1473" t="str">
        <f t="shared" si="307"/>
        <v>-</v>
      </c>
      <c r="E1837" s="1476">
        <f t="shared" si="307"/>
        <v>0</v>
      </c>
      <c r="F1837" s="1444">
        <f t="shared" si="304"/>
        <v>5.1749999999999997E-2</v>
      </c>
      <c r="G1837" s="1444">
        <f t="shared" si="305"/>
        <v>0</v>
      </c>
      <c r="H1837" s="1476">
        <f t="shared" si="308"/>
        <v>5.1749999999999997E-2</v>
      </c>
      <c r="I1837" s="1444">
        <v>0</v>
      </c>
      <c r="J1837" s="1444">
        <v>0</v>
      </c>
      <c r="K1837" s="1476"/>
      <c r="L1837" s="1476"/>
      <c r="M1837" s="1476">
        <f t="shared" si="306"/>
        <v>0</v>
      </c>
      <c r="N1837" s="1476"/>
    </row>
    <row r="1838" spans="1:14" ht="15.5" outlineLevel="1">
      <c r="A1838" s="1455">
        <f t="shared" si="307"/>
        <v>25</v>
      </c>
      <c r="B1838" s="1455" t="str">
        <f t="shared" si="307"/>
        <v>Furniture &amp; Fixture</v>
      </c>
      <c r="C1838" s="1475">
        <f t="shared" si="307"/>
        <v>0</v>
      </c>
      <c r="D1838" s="1473" t="str">
        <f t="shared" si="307"/>
        <v>-</v>
      </c>
      <c r="E1838" s="1476">
        <f t="shared" si="307"/>
        <v>0</v>
      </c>
      <c r="F1838" s="1444">
        <f t="shared" si="304"/>
        <v>0.13712089999999999</v>
      </c>
      <c r="G1838" s="1444">
        <f t="shared" si="305"/>
        <v>0.13712089999999999</v>
      </c>
      <c r="H1838" s="1476">
        <f t="shared" si="308"/>
        <v>0</v>
      </c>
      <c r="I1838" s="1444">
        <v>0</v>
      </c>
      <c r="J1838" s="1444">
        <v>0</v>
      </c>
      <c r="K1838" s="1476"/>
      <c r="L1838" s="1476"/>
      <c r="M1838" s="1476">
        <f t="shared" si="306"/>
        <v>0</v>
      </c>
      <c r="N1838" s="1476"/>
    </row>
    <row r="1839" spans="1:14" ht="15.5" outlineLevel="1">
      <c r="A1839" s="1455">
        <f t="shared" si="307"/>
        <v>26</v>
      </c>
      <c r="B1839" s="1455" t="str">
        <f t="shared" si="307"/>
        <v>Office Equipment</v>
      </c>
      <c r="C1839" s="1475">
        <f t="shared" si="307"/>
        <v>0</v>
      </c>
      <c r="D1839" s="1473" t="str">
        <f t="shared" si="307"/>
        <v>-</v>
      </c>
      <c r="E1839" s="1476">
        <f t="shared" si="307"/>
        <v>0</v>
      </c>
      <c r="F1839" s="1444">
        <f t="shared" si="304"/>
        <v>0.14423554</v>
      </c>
      <c r="G1839" s="1444">
        <f t="shared" si="305"/>
        <v>0.14423554</v>
      </c>
      <c r="H1839" s="1476">
        <f t="shared" si="308"/>
        <v>0</v>
      </c>
      <c r="I1839" s="1444">
        <v>0</v>
      </c>
      <c r="J1839" s="1444">
        <v>0</v>
      </c>
      <c r="K1839" s="1476"/>
      <c r="L1839" s="1476"/>
      <c r="M1839" s="1476">
        <f t="shared" si="306"/>
        <v>0</v>
      </c>
      <c r="N1839" s="1476"/>
    </row>
    <row r="1840" spans="1:14" ht="15.5" outlineLevel="1">
      <c r="A1840" s="1455">
        <f t="shared" si="307"/>
        <v>27</v>
      </c>
      <c r="B1840" s="1455" t="str">
        <f t="shared" si="307"/>
        <v>Furniture &amp; Fixture</v>
      </c>
      <c r="C1840" s="1475">
        <f t="shared" si="307"/>
        <v>0</v>
      </c>
      <c r="D1840" s="1473" t="str">
        <f t="shared" si="307"/>
        <v>-</v>
      </c>
      <c r="E1840" s="1476">
        <f t="shared" si="307"/>
        <v>0</v>
      </c>
      <c r="F1840" s="1444">
        <f t="shared" si="304"/>
        <v>7.3968300000000001E-2</v>
      </c>
      <c r="G1840" s="1444">
        <f t="shared" si="305"/>
        <v>7.3968300000000001E-2</v>
      </c>
      <c r="H1840" s="1476">
        <f t="shared" si="308"/>
        <v>0</v>
      </c>
      <c r="I1840" s="1444">
        <v>0</v>
      </c>
      <c r="J1840" s="1444">
        <v>0</v>
      </c>
      <c r="K1840" s="1476"/>
      <c r="L1840" s="1476"/>
      <c r="M1840" s="1476">
        <f t="shared" si="306"/>
        <v>0</v>
      </c>
      <c r="N1840" s="1476"/>
    </row>
    <row r="1841" spans="1:14" ht="15.5" outlineLevel="1">
      <c r="A1841" s="1455">
        <f t="shared" si="307"/>
        <v>28</v>
      </c>
      <c r="B1841" s="1455" t="str">
        <f t="shared" si="307"/>
        <v>Office Equipment</v>
      </c>
      <c r="C1841" s="1475">
        <f t="shared" si="307"/>
        <v>0</v>
      </c>
      <c r="D1841" s="1473" t="str">
        <f t="shared" si="307"/>
        <v>-</v>
      </c>
      <c r="E1841" s="1476">
        <f t="shared" si="307"/>
        <v>0</v>
      </c>
      <c r="F1841" s="1444">
        <f t="shared" si="304"/>
        <v>0.15890559299999998</v>
      </c>
      <c r="G1841" s="1444">
        <f t="shared" si="305"/>
        <v>0.15890559299999998</v>
      </c>
      <c r="H1841" s="1476">
        <f t="shared" si="308"/>
        <v>0</v>
      </c>
      <c r="I1841" s="1444">
        <v>0</v>
      </c>
      <c r="J1841" s="1444">
        <v>0</v>
      </c>
      <c r="K1841" s="1476"/>
      <c r="L1841" s="1476"/>
      <c r="M1841" s="1476">
        <f t="shared" si="306"/>
        <v>0</v>
      </c>
      <c r="N1841" s="1476"/>
    </row>
    <row r="1842" spans="1:14" ht="31" outlineLevel="1">
      <c r="A1842" s="1455">
        <f t="shared" si="307"/>
        <v>29</v>
      </c>
      <c r="B1842" s="1455" t="str">
        <f t="shared" si="307"/>
        <v>Work of repairs of 350 KW BCWP-4B &amp; BCWP-5B motor of M/s. Torishima make at BTPS 2x500 MW</v>
      </c>
      <c r="C1842" s="1475">
        <f t="shared" si="307"/>
        <v>0</v>
      </c>
      <c r="D1842" s="1473" t="str">
        <f t="shared" si="307"/>
        <v>-</v>
      </c>
      <c r="E1842" s="1476">
        <f t="shared" si="307"/>
        <v>0</v>
      </c>
      <c r="F1842" s="1444">
        <f t="shared" si="304"/>
        <v>4.8465386759999998</v>
      </c>
      <c r="G1842" s="1444">
        <f t="shared" si="305"/>
        <v>4.8465386759999998</v>
      </c>
      <c r="H1842" s="1476">
        <f t="shared" si="308"/>
        <v>0</v>
      </c>
      <c r="I1842" s="1444">
        <v>0</v>
      </c>
      <c r="J1842" s="1444">
        <v>0</v>
      </c>
      <c r="K1842" s="1476"/>
      <c r="L1842" s="1476"/>
      <c r="M1842" s="1476">
        <f t="shared" si="306"/>
        <v>0</v>
      </c>
      <c r="N1842" s="1476"/>
    </row>
    <row r="1843" spans="1:14" ht="15.5" outlineLevel="1">
      <c r="A1843" s="1455">
        <f t="shared" si="307"/>
        <v>30</v>
      </c>
      <c r="B1843" s="1455" t="str">
        <f t="shared" si="307"/>
        <v>ABC Powder Type and Foam Type Composite Fire Extinguisher</v>
      </c>
      <c r="C1843" s="1475">
        <f t="shared" si="307"/>
        <v>0</v>
      </c>
      <c r="D1843" s="1473" t="str">
        <f t="shared" si="307"/>
        <v>-</v>
      </c>
      <c r="E1843" s="1476">
        <f t="shared" si="307"/>
        <v>0</v>
      </c>
      <c r="F1843" s="1444">
        <f t="shared" si="304"/>
        <v>0.58547995599999991</v>
      </c>
      <c r="G1843" s="1444">
        <f t="shared" si="305"/>
        <v>0.58547995599999991</v>
      </c>
      <c r="H1843" s="1476">
        <f t="shared" si="308"/>
        <v>0</v>
      </c>
      <c r="I1843" s="1444">
        <v>0</v>
      </c>
      <c r="J1843" s="1444">
        <v>0</v>
      </c>
      <c r="K1843" s="1476"/>
      <c r="L1843" s="1476"/>
      <c r="M1843" s="1476">
        <f t="shared" si="306"/>
        <v>0</v>
      </c>
      <c r="N1843" s="1476"/>
    </row>
    <row r="1844" spans="1:14" ht="16" outlineLevel="1" thickBot="1">
      <c r="A1844" s="1455">
        <f t="shared" ref="A1844:E1844" si="309">A1614</f>
        <v>31</v>
      </c>
      <c r="B1844" s="1455" t="str">
        <f t="shared" si="309"/>
        <v>Withdrawal of capex from Project (LD - Passenger Lifts)</v>
      </c>
      <c r="C1844" s="1475">
        <f t="shared" si="309"/>
        <v>0</v>
      </c>
      <c r="D1844" s="1473" t="str">
        <f t="shared" si="309"/>
        <v>-</v>
      </c>
      <c r="E1844" s="1476">
        <f t="shared" si="309"/>
        <v>0</v>
      </c>
      <c r="F1844" s="1444">
        <f t="shared" si="304"/>
        <v>0</v>
      </c>
      <c r="G1844" s="1444">
        <f t="shared" si="305"/>
        <v>-0.138988</v>
      </c>
      <c r="H1844" s="1476">
        <f t="shared" si="308"/>
        <v>0.138988</v>
      </c>
      <c r="I1844" s="1444">
        <v>0</v>
      </c>
      <c r="J1844" s="1444">
        <v>0</v>
      </c>
      <c r="K1844" s="1476"/>
      <c r="L1844" s="1476"/>
      <c r="M1844" s="1476">
        <f t="shared" si="306"/>
        <v>0</v>
      </c>
      <c r="N1844" s="1476"/>
    </row>
    <row r="1845" spans="1:14" ht="15.5" thickBot="1">
      <c r="A1845" s="1379"/>
      <c r="B1845" s="1484" t="str">
        <f>B1615</f>
        <v>Total</v>
      </c>
      <c r="C1845" s="1380"/>
      <c r="D1845" s="1381"/>
      <c r="E1845" s="1485"/>
      <c r="F1845" s="1485">
        <f>SUM(F1620:F1844)</f>
        <v>2218.4104532496599</v>
      </c>
      <c r="G1845" s="1485">
        <f t="shared" ref="G1845:N1845" si="310">SUM(G1620:G1844)</f>
        <v>2467.3196935786586</v>
      </c>
      <c r="H1845" s="1485">
        <f t="shared" si="310"/>
        <v>-248.90924032899994</v>
      </c>
      <c r="I1845" s="1485">
        <f t="shared" si="310"/>
        <v>145</v>
      </c>
      <c r="J1845" s="1485">
        <f t="shared" si="310"/>
        <v>145</v>
      </c>
      <c r="K1845" s="1485">
        <f t="shared" si="310"/>
        <v>0</v>
      </c>
      <c r="L1845" s="1485">
        <f t="shared" si="310"/>
        <v>0</v>
      </c>
      <c r="M1845" s="1485">
        <f t="shared" si="310"/>
        <v>145</v>
      </c>
      <c r="N1845" s="1485">
        <f t="shared" si="310"/>
        <v>-249.09997832899995</v>
      </c>
    </row>
  </sheetData>
  <mergeCells count="11">
    <mergeCell ref="F4:F6"/>
    <mergeCell ref="A4:A6"/>
    <mergeCell ref="B4:B6"/>
    <mergeCell ref="C4:C6"/>
    <mergeCell ref="D4:D6"/>
    <mergeCell ref="E4:E6"/>
    <mergeCell ref="G4:G6"/>
    <mergeCell ref="H4:H6"/>
    <mergeCell ref="I4:I6"/>
    <mergeCell ref="J4:M5"/>
    <mergeCell ref="N4:N6"/>
  </mergeCells>
  <conditionalFormatting sqref="C10:C236">
    <cfRule type="containsText" dxfId="71" priority="71" operator="containsText" text="DPR not submitted">
      <formula>NOT(ISERROR(SEARCH("DPR not submitted",C10)))</formula>
    </cfRule>
    <cfRule type="containsText" dxfId="70" priority="72" operator="containsText" text="Yet to be approved">
      <formula>NOT(ISERROR(SEARCH("Yet to be approved",C10)))</formula>
    </cfRule>
  </conditionalFormatting>
  <conditionalFormatting sqref="C240:C291">
    <cfRule type="containsText" dxfId="69" priority="69" operator="containsText" text="DPR not submitted">
      <formula>NOT(ISERROR(SEARCH("DPR not submitted",C240)))</formula>
    </cfRule>
    <cfRule type="containsText" dxfId="68" priority="70" operator="containsText" text="Yet to be approved">
      <formula>NOT(ISERROR(SEARCH("Yet to be approved",C240)))</formula>
    </cfRule>
  </conditionalFormatting>
  <conditionalFormatting sqref="C295">
    <cfRule type="containsText" dxfId="67" priority="67" operator="containsText" text="DPR not submitted">
      <formula>NOT(ISERROR(SEARCH("DPR not submitted",C295)))</formula>
    </cfRule>
    <cfRule type="containsText" dxfId="66" priority="68" operator="containsText" text="Yet to be approved">
      <formula>NOT(ISERROR(SEARCH("Yet to be approved",C295)))</formula>
    </cfRule>
  </conditionalFormatting>
  <conditionalFormatting sqref="C297">
    <cfRule type="containsText" dxfId="65" priority="65" operator="containsText" text="DPR not submitted">
      <formula>NOT(ISERROR(SEARCH("DPR not submitted",C297)))</formula>
    </cfRule>
    <cfRule type="containsText" dxfId="64" priority="66" operator="containsText" text="Yet to be approved">
      <formula>NOT(ISERROR(SEARCH("Yet to be approved",C297)))</formula>
    </cfRule>
  </conditionalFormatting>
  <conditionalFormatting sqref="C302">
    <cfRule type="containsText" dxfId="63" priority="63" operator="containsText" text="DPR not submitted">
      <formula>NOT(ISERROR(SEARCH("DPR not submitted",C302)))</formula>
    </cfRule>
    <cfRule type="containsText" dxfId="62" priority="64" operator="containsText" text="Yet to be approved">
      <formula>NOT(ISERROR(SEARCH("Yet to be approved",C302)))</formula>
    </cfRule>
  </conditionalFormatting>
  <conditionalFormatting sqref="C305:C464">
    <cfRule type="containsText" dxfId="61" priority="61" operator="containsText" text="DPR not submitted">
      <formula>NOT(ISERROR(SEARCH("DPR not submitted",C305)))</formula>
    </cfRule>
    <cfRule type="containsText" dxfId="60" priority="62" operator="containsText" text="Yet to be approved">
      <formula>NOT(ISERROR(SEARCH("Yet to be approved",C305)))</formula>
    </cfRule>
  </conditionalFormatting>
  <conditionalFormatting sqref="C470:C521">
    <cfRule type="containsText" dxfId="59" priority="59" operator="containsText" text="DPR not submitted">
      <formula>NOT(ISERROR(SEARCH("DPR not submitted",C470)))</formula>
    </cfRule>
    <cfRule type="containsText" dxfId="58" priority="60" operator="containsText" text="Yet to be approved">
      <formula>NOT(ISERROR(SEARCH("Yet to be approved",C470)))</formula>
    </cfRule>
  </conditionalFormatting>
  <conditionalFormatting sqref="C525">
    <cfRule type="containsText" dxfId="57" priority="57" operator="containsText" text="DPR not submitted">
      <formula>NOT(ISERROR(SEARCH("DPR not submitted",C525)))</formula>
    </cfRule>
    <cfRule type="containsText" dxfId="56" priority="58" operator="containsText" text="Yet to be approved">
      <formula>NOT(ISERROR(SEARCH("Yet to be approved",C525)))</formula>
    </cfRule>
  </conditionalFormatting>
  <conditionalFormatting sqref="C527">
    <cfRule type="containsText" dxfId="55" priority="55" operator="containsText" text="DPR not submitted">
      <formula>NOT(ISERROR(SEARCH("DPR not submitted",C527)))</formula>
    </cfRule>
    <cfRule type="containsText" dxfId="54" priority="56" operator="containsText" text="Yet to be approved">
      <formula>NOT(ISERROR(SEARCH("Yet to be approved",C527)))</formula>
    </cfRule>
  </conditionalFormatting>
  <conditionalFormatting sqref="C532">
    <cfRule type="containsText" dxfId="53" priority="53" operator="containsText" text="DPR not submitted">
      <formula>NOT(ISERROR(SEARCH("DPR not submitted",C532)))</formula>
    </cfRule>
    <cfRule type="containsText" dxfId="52" priority="54" operator="containsText" text="Yet to be approved">
      <formula>NOT(ISERROR(SEARCH("Yet to be approved",C532)))</formula>
    </cfRule>
  </conditionalFormatting>
  <conditionalFormatting sqref="C535:C694">
    <cfRule type="containsText" dxfId="51" priority="51" operator="containsText" text="DPR not submitted">
      <formula>NOT(ISERROR(SEARCH("DPR not submitted",C535)))</formula>
    </cfRule>
    <cfRule type="containsText" dxfId="50" priority="52" operator="containsText" text="Yet to be approved">
      <formula>NOT(ISERROR(SEARCH("Yet to be approved",C535)))</formula>
    </cfRule>
  </conditionalFormatting>
  <conditionalFormatting sqref="C700:C751">
    <cfRule type="containsText" dxfId="49" priority="49" operator="containsText" text="DPR not submitted">
      <formula>NOT(ISERROR(SEARCH("DPR not submitted",C700)))</formula>
    </cfRule>
    <cfRule type="containsText" dxfId="48" priority="50" operator="containsText" text="Yet to be approved">
      <formula>NOT(ISERROR(SEARCH("Yet to be approved",C700)))</formula>
    </cfRule>
  </conditionalFormatting>
  <conditionalFormatting sqref="C755">
    <cfRule type="containsText" dxfId="47" priority="47" operator="containsText" text="DPR not submitted">
      <formula>NOT(ISERROR(SEARCH("DPR not submitted",C755)))</formula>
    </cfRule>
    <cfRule type="containsText" dxfId="46" priority="48" operator="containsText" text="Yet to be approved">
      <formula>NOT(ISERROR(SEARCH("Yet to be approved",C755)))</formula>
    </cfRule>
  </conditionalFormatting>
  <conditionalFormatting sqref="C757">
    <cfRule type="containsText" dxfId="45" priority="45" operator="containsText" text="DPR not submitted">
      <formula>NOT(ISERROR(SEARCH("DPR not submitted",C757)))</formula>
    </cfRule>
    <cfRule type="containsText" dxfId="44" priority="46" operator="containsText" text="Yet to be approved">
      <formula>NOT(ISERROR(SEARCH("Yet to be approved",C757)))</formula>
    </cfRule>
  </conditionalFormatting>
  <conditionalFormatting sqref="C762">
    <cfRule type="containsText" dxfId="43" priority="43" operator="containsText" text="DPR not submitted">
      <formula>NOT(ISERROR(SEARCH("DPR not submitted",C762)))</formula>
    </cfRule>
    <cfRule type="containsText" dxfId="42" priority="44" operator="containsText" text="Yet to be approved">
      <formula>NOT(ISERROR(SEARCH("Yet to be approved",C762)))</formula>
    </cfRule>
  </conditionalFormatting>
  <conditionalFormatting sqref="C765:C924">
    <cfRule type="containsText" dxfId="41" priority="41" operator="containsText" text="DPR not submitted">
      <formula>NOT(ISERROR(SEARCH("DPR not submitted",C765)))</formula>
    </cfRule>
    <cfRule type="containsText" dxfId="40" priority="42" operator="containsText" text="Yet to be approved">
      <formula>NOT(ISERROR(SEARCH("Yet to be approved",C765)))</formula>
    </cfRule>
  </conditionalFormatting>
  <conditionalFormatting sqref="C930:C981">
    <cfRule type="containsText" dxfId="39" priority="39" operator="containsText" text="DPR not submitted">
      <formula>NOT(ISERROR(SEARCH("DPR not submitted",C930)))</formula>
    </cfRule>
    <cfRule type="containsText" dxfId="38" priority="40" operator="containsText" text="Yet to be approved">
      <formula>NOT(ISERROR(SEARCH("Yet to be approved",C930)))</formula>
    </cfRule>
  </conditionalFormatting>
  <conditionalFormatting sqref="C985">
    <cfRule type="containsText" dxfId="37" priority="37" operator="containsText" text="DPR not submitted">
      <formula>NOT(ISERROR(SEARCH("DPR not submitted",C985)))</formula>
    </cfRule>
    <cfRule type="containsText" dxfId="36" priority="38" operator="containsText" text="Yet to be approved">
      <formula>NOT(ISERROR(SEARCH("Yet to be approved",C985)))</formula>
    </cfRule>
  </conditionalFormatting>
  <conditionalFormatting sqref="C987">
    <cfRule type="containsText" dxfId="35" priority="35" operator="containsText" text="DPR not submitted">
      <formula>NOT(ISERROR(SEARCH("DPR not submitted",C987)))</formula>
    </cfRule>
    <cfRule type="containsText" dxfId="34" priority="36" operator="containsText" text="Yet to be approved">
      <formula>NOT(ISERROR(SEARCH("Yet to be approved",C987)))</formula>
    </cfRule>
  </conditionalFormatting>
  <conditionalFormatting sqref="C992">
    <cfRule type="containsText" dxfId="33" priority="33" operator="containsText" text="DPR not submitted">
      <formula>NOT(ISERROR(SEARCH("DPR not submitted",C992)))</formula>
    </cfRule>
    <cfRule type="containsText" dxfId="32" priority="34" operator="containsText" text="Yet to be approved">
      <formula>NOT(ISERROR(SEARCH("Yet to be approved",C992)))</formula>
    </cfRule>
  </conditionalFormatting>
  <conditionalFormatting sqref="C995:C1154">
    <cfRule type="containsText" dxfId="31" priority="31" operator="containsText" text="DPR not submitted">
      <formula>NOT(ISERROR(SEARCH("DPR not submitted",C995)))</formula>
    </cfRule>
    <cfRule type="containsText" dxfId="30" priority="32" operator="containsText" text="Yet to be approved">
      <formula>NOT(ISERROR(SEARCH("Yet to be approved",C995)))</formula>
    </cfRule>
  </conditionalFormatting>
  <conditionalFormatting sqref="C1160:C1211">
    <cfRule type="containsText" dxfId="29" priority="29" operator="containsText" text="DPR not submitted">
      <formula>NOT(ISERROR(SEARCH("DPR not submitted",C1160)))</formula>
    </cfRule>
    <cfRule type="containsText" dxfId="28" priority="30" operator="containsText" text="Yet to be approved">
      <formula>NOT(ISERROR(SEARCH("Yet to be approved",C1160)))</formula>
    </cfRule>
  </conditionalFormatting>
  <conditionalFormatting sqref="C1215">
    <cfRule type="containsText" dxfId="27" priority="27" operator="containsText" text="DPR not submitted">
      <formula>NOT(ISERROR(SEARCH("DPR not submitted",C1215)))</formula>
    </cfRule>
    <cfRule type="containsText" dxfId="26" priority="28" operator="containsText" text="Yet to be approved">
      <formula>NOT(ISERROR(SEARCH("Yet to be approved",C1215)))</formula>
    </cfRule>
  </conditionalFormatting>
  <conditionalFormatting sqref="C1217">
    <cfRule type="containsText" dxfId="25" priority="25" operator="containsText" text="DPR not submitted">
      <formula>NOT(ISERROR(SEARCH("DPR not submitted",C1217)))</formula>
    </cfRule>
    <cfRule type="containsText" dxfId="24" priority="26" operator="containsText" text="Yet to be approved">
      <formula>NOT(ISERROR(SEARCH("Yet to be approved",C1217)))</formula>
    </cfRule>
  </conditionalFormatting>
  <conditionalFormatting sqref="C1222">
    <cfRule type="containsText" dxfId="23" priority="23" operator="containsText" text="DPR not submitted">
      <formula>NOT(ISERROR(SEARCH("DPR not submitted",C1222)))</formula>
    </cfRule>
    <cfRule type="containsText" dxfId="22" priority="24" operator="containsText" text="Yet to be approved">
      <formula>NOT(ISERROR(SEARCH("Yet to be approved",C1222)))</formula>
    </cfRule>
  </conditionalFormatting>
  <conditionalFormatting sqref="C1225:C1384">
    <cfRule type="containsText" dxfId="21" priority="21" operator="containsText" text="DPR not submitted">
      <formula>NOT(ISERROR(SEARCH("DPR not submitted",C1225)))</formula>
    </cfRule>
    <cfRule type="containsText" dxfId="20" priority="22" operator="containsText" text="Yet to be approved">
      <formula>NOT(ISERROR(SEARCH("Yet to be approved",C1225)))</formula>
    </cfRule>
  </conditionalFormatting>
  <conditionalFormatting sqref="C1390:C1441">
    <cfRule type="containsText" dxfId="19" priority="19" operator="containsText" text="DPR not submitted">
      <formula>NOT(ISERROR(SEARCH("DPR not submitted",C1390)))</formula>
    </cfRule>
    <cfRule type="containsText" dxfId="18" priority="20" operator="containsText" text="Yet to be approved">
      <formula>NOT(ISERROR(SEARCH("Yet to be approved",C1390)))</formula>
    </cfRule>
  </conditionalFormatting>
  <conditionalFormatting sqref="C1445">
    <cfRule type="containsText" dxfId="17" priority="17" operator="containsText" text="DPR not submitted">
      <formula>NOT(ISERROR(SEARCH("DPR not submitted",C1445)))</formula>
    </cfRule>
    <cfRule type="containsText" dxfId="16" priority="18" operator="containsText" text="Yet to be approved">
      <formula>NOT(ISERROR(SEARCH("Yet to be approved",C1445)))</formula>
    </cfRule>
  </conditionalFormatting>
  <conditionalFormatting sqref="C1447">
    <cfRule type="containsText" dxfId="15" priority="15" operator="containsText" text="DPR not submitted">
      <formula>NOT(ISERROR(SEARCH("DPR not submitted",C1447)))</formula>
    </cfRule>
    <cfRule type="containsText" dxfId="14" priority="16" operator="containsText" text="Yet to be approved">
      <formula>NOT(ISERROR(SEARCH("Yet to be approved",C1447)))</formula>
    </cfRule>
  </conditionalFormatting>
  <conditionalFormatting sqref="C1452">
    <cfRule type="containsText" dxfId="13" priority="13" operator="containsText" text="DPR not submitted">
      <formula>NOT(ISERROR(SEARCH("DPR not submitted",C1452)))</formula>
    </cfRule>
    <cfRule type="containsText" dxfId="12" priority="14" operator="containsText" text="Yet to be approved">
      <formula>NOT(ISERROR(SEARCH("Yet to be approved",C1452)))</formula>
    </cfRule>
  </conditionalFormatting>
  <conditionalFormatting sqref="C1455:C1614">
    <cfRule type="containsText" dxfId="11" priority="11" operator="containsText" text="DPR not submitted">
      <formula>NOT(ISERROR(SEARCH("DPR not submitted",C1455)))</formula>
    </cfRule>
    <cfRule type="containsText" dxfId="10" priority="12" operator="containsText" text="Yet to be approved">
      <formula>NOT(ISERROR(SEARCH("Yet to be approved",C1455)))</formula>
    </cfRule>
  </conditionalFormatting>
  <conditionalFormatting sqref="C1620:C1671">
    <cfRule type="containsText" dxfId="9" priority="9" operator="containsText" text="DPR not submitted">
      <formula>NOT(ISERROR(SEARCH("DPR not submitted",C1620)))</formula>
    </cfRule>
    <cfRule type="containsText" dxfId="8" priority="10" operator="containsText" text="Yet to be approved">
      <formula>NOT(ISERROR(SEARCH("Yet to be approved",C1620)))</formula>
    </cfRule>
  </conditionalFormatting>
  <conditionalFormatting sqref="C1675">
    <cfRule type="containsText" dxfId="7" priority="7" operator="containsText" text="DPR not submitted">
      <formula>NOT(ISERROR(SEARCH("DPR not submitted",C1675)))</formula>
    </cfRule>
    <cfRule type="containsText" dxfId="6" priority="8" operator="containsText" text="Yet to be approved">
      <formula>NOT(ISERROR(SEARCH("Yet to be approved",C1675)))</formula>
    </cfRule>
  </conditionalFormatting>
  <conditionalFormatting sqref="C1677">
    <cfRule type="containsText" dxfId="5" priority="5" operator="containsText" text="DPR not submitted">
      <formula>NOT(ISERROR(SEARCH("DPR not submitted",C1677)))</formula>
    </cfRule>
    <cfRule type="containsText" dxfId="4" priority="6" operator="containsText" text="Yet to be approved">
      <formula>NOT(ISERROR(SEARCH("Yet to be approved",C1677)))</formula>
    </cfRule>
  </conditionalFormatting>
  <conditionalFormatting sqref="C1682">
    <cfRule type="containsText" dxfId="3" priority="3" operator="containsText" text="DPR not submitted">
      <formula>NOT(ISERROR(SEARCH("DPR not submitted",C1682)))</formula>
    </cfRule>
    <cfRule type="containsText" dxfId="2" priority="4" operator="containsText" text="Yet to be approved">
      <formula>NOT(ISERROR(SEARCH("Yet to be approved",C1682)))</formula>
    </cfRule>
  </conditionalFormatting>
  <conditionalFormatting sqref="C1685:C1844">
    <cfRule type="containsText" dxfId="1" priority="1" operator="containsText" text="DPR not submitted">
      <formula>NOT(ISERROR(SEARCH("DPR not submitted",C1685)))</formula>
    </cfRule>
    <cfRule type="containsText" dxfId="0" priority="2" operator="containsText" text="Yet to be approved">
      <formula>NOT(ISERROR(SEARCH("Yet to be approved",C1685)))</formula>
    </cfRule>
  </conditionalFormatting>
  <pageMargins left="0.39370078740157483" right="0.39370078740157483" top="0.39370078740157483" bottom="0.39370078740157483" header="0.23622047244094491" footer="0.23622047244094491"/>
  <pageSetup paperSize="9" scale="47" fitToHeight="50" orientation="landscape" blackAndWhite="1" r:id="rId1"/>
  <headerFooter alignWithMargins="0">
    <oddHeader>&amp;F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topLeftCell="A31" zoomScale="70" zoomScaleNormal="70" workbookViewId="0">
      <selection activeCell="D57" sqref="D57"/>
    </sheetView>
  </sheetViews>
  <sheetFormatPr defaultColWidth="9.453125" defaultRowHeight="14"/>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c r="B1" s="53"/>
    </row>
    <row r="2" spans="1:23">
      <c r="B2" s="53"/>
    </row>
    <row r="3" spans="1:23">
      <c r="B3" s="53"/>
    </row>
    <row r="4" spans="1:23">
      <c r="B4" s="19"/>
      <c r="I4" s="18"/>
      <c r="J4" s="18"/>
      <c r="K4" s="929" t="str">
        <f>Index!B2</f>
        <v xml:space="preserve">      Maharashtra State Power Generation Company Ltd.</v>
      </c>
      <c r="L4" s="929"/>
      <c r="M4" s="18"/>
      <c r="N4" s="18"/>
      <c r="O4" s="18"/>
      <c r="P4" s="18"/>
      <c r="Q4" s="18"/>
      <c r="R4" s="18"/>
    </row>
    <row r="5" spans="1:23">
      <c r="B5" s="19"/>
      <c r="I5" s="65"/>
      <c r="J5" s="65"/>
      <c r="K5" s="929" t="str">
        <f>Index!B3</f>
        <v>MYT Petition Formats for Bhusawal Units 4&amp;5</v>
      </c>
      <c r="L5" s="929"/>
      <c r="M5" s="65"/>
      <c r="N5" s="65"/>
      <c r="O5" s="65"/>
      <c r="P5" s="65"/>
      <c r="Q5" s="65"/>
      <c r="R5" s="65"/>
    </row>
    <row r="6" spans="1:23">
      <c r="B6" s="18"/>
      <c r="I6" s="66"/>
      <c r="J6" s="67"/>
      <c r="K6" s="130" t="s">
        <v>1391</v>
      </c>
      <c r="L6" s="72"/>
      <c r="M6" s="67"/>
      <c r="N6" s="19"/>
      <c r="O6" s="18"/>
      <c r="P6" s="18"/>
      <c r="Q6" s="18"/>
      <c r="R6" s="18"/>
    </row>
    <row r="7" spans="1:23">
      <c r="C7" s="19"/>
      <c r="D7" s="19"/>
      <c r="E7" s="19"/>
      <c r="F7" s="19"/>
      <c r="G7" s="19"/>
      <c r="H7" s="19"/>
      <c r="J7" s="6"/>
      <c r="M7" s="6"/>
      <c r="N7" s="6"/>
    </row>
    <row r="8" spans="1:23">
      <c r="A8" s="5" t="s">
        <v>266</v>
      </c>
      <c r="B8" s="937" t="s">
        <v>267</v>
      </c>
      <c r="C8" s="937"/>
      <c r="D8" s="937"/>
      <c r="E8" s="937"/>
      <c r="F8" s="937"/>
      <c r="G8" s="937"/>
      <c r="H8" s="937"/>
      <c r="I8" s="1"/>
      <c r="J8" s="44"/>
      <c r="K8" s="1"/>
      <c r="L8" s="1"/>
      <c r="M8" s="44"/>
      <c r="N8" s="44"/>
      <c r="O8" s="1"/>
      <c r="P8" s="1"/>
      <c r="Q8" s="1"/>
      <c r="R8" s="250"/>
    </row>
    <row r="9" spans="1:23">
      <c r="B9" s="255"/>
      <c r="C9" s="8"/>
      <c r="D9" s="8"/>
      <c r="E9" s="8"/>
      <c r="F9" s="8"/>
      <c r="G9" s="8"/>
      <c r="H9" s="8"/>
      <c r="I9" s="1"/>
      <c r="J9" s="44"/>
      <c r="K9" s="1"/>
      <c r="L9" s="1"/>
      <c r="M9" s="256" t="s">
        <v>10</v>
      </c>
      <c r="N9" s="44"/>
      <c r="O9" s="1"/>
      <c r="P9" s="1"/>
      <c r="Q9" s="1"/>
    </row>
    <row r="10" spans="1:23" ht="15.75" customHeight="1">
      <c r="B10" s="1719" t="s">
        <v>341</v>
      </c>
      <c r="C10" s="1719" t="s">
        <v>37</v>
      </c>
      <c r="D10" s="1839" t="s">
        <v>509</v>
      </c>
      <c r="E10" s="1839"/>
      <c r="F10" s="1839"/>
      <c r="G10" s="1839"/>
      <c r="H10" s="1839"/>
      <c r="I10" s="1839" t="s">
        <v>510</v>
      </c>
      <c r="J10" s="1839"/>
      <c r="K10" s="1839"/>
      <c r="L10" s="1839"/>
      <c r="M10" s="1839"/>
      <c r="N10" s="1835" t="s">
        <v>511</v>
      </c>
      <c r="O10" s="1835"/>
      <c r="P10" s="1835"/>
      <c r="Q10" s="1835"/>
      <c r="R10" s="1835"/>
      <c r="S10" s="1835" t="s">
        <v>947</v>
      </c>
      <c r="T10" s="1835"/>
      <c r="U10" s="1835"/>
      <c r="V10" s="1835"/>
      <c r="W10" s="1835"/>
    </row>
    <row r="11" spans="1:23" ht="15.75" customHeight="1">
      <c r="B11" s="1719"/>
      <c r="C11" s="1719"/>
      <c r="D11" s="1841" t="s">
        <v>7</v>
      </c>
      <c r="E11" s="1842"/>
      <c r="F11" s="1842"/>
      <c r="G11" s="1842"/>
      <c r="H11" s="1842"/>
      <c r="I11" s="1841" t="s">
        <v>7</v>
      </c>
      <c r="J11" s="1842"/>
      <c r="K11" s="1842"/>
      <c r="L11" s="1842"/>
      <c r="M11" s="1842"/>
      <c r="N11" s="1841" t="s">
        <v>12</v>
      </c>
      <c r="O11" s="1842"/>
      <c r="P11" s="1842"/>
      <c r="Q11" s="1842"/>
      <c r="R11" s="1842"/>
      <c r="S11" s="1839" t="s">
        <v>21</v>
      </c>
      <c r="T11" s="1840"/>
      <c r="U11" s="1840"/>
      <c r="V11" s="1840"/>
      <c r="W11" s="1840"/>
    </row>
    <row r="12" spans="1:23" s="35" customFormat="1" ht="42">
      <c r="B12" s="1719"/>
      <c r="C12" s="1719"/>
      <c r="D12" s="932" t="s">
        <v>268</v>
      </c>
      <c r="E12" s="932" t="s">
        <v>269</v>
      </c>
      <c r="F12" s="932" t="s">
        <v>270</v>
      </c>
      <c r="G12" s="932" t="s">
        <v>555</v>
      </c>
      <c r="H12" s="932" t="s">
        <v>271</v>
      </c>
      <c r="I12" s="932" t="s">
        <v>268</v>
      </c>
      <c r="J12" s="932" t="s">
        <v>269</v>
      </c>
      <c r="K12" s="932" t="s">
        <v>270</v>
      </c>
      <c r="L12" s="932" t="s">
        <v>555</v>
      </c>
      <c r="M12" s="932" t="s">
        <v>271</v>
      </c>
      <c r="N12" s="938" t="s">
        <v>268</v>
      </c>
      <c r="O12" s="938" t="s">
        <v>269</v>
      </c>
      <c r="P12" s="938" t="s">
        <v>270</v>
      </c>
      <c r="Q12" s="932" t="s">
        <v>555</v>
      </c>
      <c r="R12" s="938" t="s">
        <v>271</v>
      </c>
      <c r="S12" s="938" t="s">
        <v>268</v>
      </c>
      <c r="T12" s="938" t="s">
        <v>269</v>
      </c>
      <c r="U12" s="938" t="s">
        <v>270</v>
      </c>
      <c r="V12" s="932" t="s">
        <v>555</v>
      </c>
      <c r="W12" s="938" t="s">
        <v>271</v>
      </c>
    </row>
    <row r="13" spans="1:23" s="36" customFormat="1" ht="28">
      <c r="B13" s="257"/>
      <c r="C13" s="257"/>
      <c r="D13" s="257" t="s">
        <v>81</v>
      </c>
      <c r="E13" s="257" t="s">
        <v>82</v>
      </c>
      <c r="F13" s="257" t="s">
        <v>462</v>
      </c>
      <c r="G13" s="257" t="s">
        <v>392</v>
      </c>
      <c r="H13" s="257" t="s">
        <v>556</v>
      </c>
      <c r="I13" s="257" t="s">
        <v>410</v>
      </c>
      <c r="J13" s="257" t="s">
        <v>512</v>
      </c>
      <c r="K13" s="257" t="s">
        <v>411</v>
      </c>
      <c r="L13" s="257" t="s">
        <v>412</v>
      </c>
      <c r="M13" s="257" t="s">
        <v>621</v>
      </c>
      <c r="N13" s="257" t="s">
        <v>557</v>
      </c>
      <c r="O13" s="257" t="s">
        <v>622</v>
      </c>
      <c r="P13" s="257" t="s">
        <v>558</v>
      </c>
      <c r="Q13" s="257" t="s">
        <v>559</v>
      </c>
      <c r="R13" s="257" t="s">
        <v>1031</v>
      </c>
      <c r="S13" s="257" t="s">
        <v>560</v>
      </c>
      <c r="T13" s="257" t="s">
        <v>561</v>
      </c>
      <c r="U13" s="257" t="s">
        <v>623</v>
      </c>
      <c r="V13" s="257" t="s">
        <v>562</v>
      </c>
      <c r="W13" s="257" t="s">
        <v>1032</v>
      </c>
    </row>
    <row r="14" spans="1:23" s="418" customFormat="1">
      <c r="B14" s="464">
        <v>1</v>
      </c>
      <c r="C14" s="466" t="s">
        <v>810</v>
      </c>
      <c r="D14" s="877">
        <f>'F5'!D14</f>
        <v>12.275</v>
      </c>
      <c r="E14" s="877">
        <f>'F5'!E14</f>
        <v>0</v>
      </c>
      <c r="F14" s="877">
        <f>'F5'!F14</f>
        <v>0</v>
      </c>
      <c r="G14" s="877">
        <f>'F5'!G14</f>
        <v>0</v>
      </c>
      <c r="H14" s="877">
        <f>D14+E14-F14-G14</f>
        <v>12.275</v>
      </c>
      <c r="I14" s="851">
        <f>H14</f>
        <v>12.275</v>
      </c>
      <c r="J14" s="877">
        <f>'F5'!J14</f>
        <v>0</v>
      </c>
      <c r="K14" s="877">
        <f>'F5'!K14</f>
        <v>0</v>
      </c>
      <c r="L14" s="877">
        <f>'F5'!L14</f>
        <v>0</v>
      </c>
      <c r="M14" s="851">
        <f>I14+J14-K14-L14</f>
        <v>12.275</v>
      </c>
      <c r="N14" s="877">
        <f t="shared" ref="N14:N30" si="0">M14</f>
        <v>12.275</v>
      </c>
      <c r="O14" s="877">
        <f>'F5'!O14</f>
        <v>0</v>
      </c>
      <c r="P14" s="877">
        <f>'F5'!P14</f>
        <v>0</v>
      </c>
      <c r="Q14" s="877">
        <f>'F5'!Q14</f>
        <v>0</v>
      </c>
      <c r="R14" s="877">
        <f>N14+O14-P14-Q14</f>
        <v>12.275</v>
      </c>
      <c r="S14" s="851">
        <f>'F5'!S14+'F5.1 (N)'!D16</f>
        <v>12.275</v>
      </c>
      <c r="T14" s="877">
        <f>'F5'!T14+'F5.1 (N)'!E16</f>
        <v>0</v>
      </c>
      <c r="U14" s="877">
        <f>'F5'!U14+'F5.1 (N)'!F16</f>
        <v>0</v>
      </c>
      <c r="V14" s="877">
        <f>'F5'!V14+'F5.1 (N)'!G16</f>
        <v>0</v>
      </c>
      <c r="W14" s="851">
        <f>S14+T14-U14-V14</f>
        <v>12.275</v>
      </c>
    </row>
    <row r="15" spans="1:23" s="418" customFormat="1">
      <c r="B15" s="464">
        <f>B14+1</f>
        <v>2</v>
      </c>
      <c r="C15" s="466" t="s">
        <v>811</v>
      </c>
      <c r="D15" s="877">
        <f>'F5'!D15</f>
        <v>321.48509353080374</v>
      </c>
      <c r="E15" s="877">
        <f>'F5'!E15</f>
        <v>0</v>
      </c>
      <c r="F15" s="877">
        <f>'F5'!F15</f>
        <v>0</v>
      </c>
      <c r="G15" s="877">
        <f>'F5'!G15</f>
        <v>0</v>
      </c>
      <c r="H15" s="877">
        <f t="shared" ref="H15:H30" si="1">D15+E15-F15-G15</f>
        <v>321.48509353080374</v>
      </c>
      <c r="I15" s="851">
        <f t="shared" ref="I15:I30" si="2">H15</f>
        <v>321.48509353080374</v>
      </c>
      <c r="J15" s="877">
        <f>'F5'!J15</f>
        <v>0</v>
      </c>
      <c r="K15" s="877">
        <f>'F5'!K15</f>
        <v>0</v>
      </c>
      <c r="L15" s="877">
        <f>'F5'!L15</f>
        <v>0</v>
      </c>
      <c r="M15" s="851">
        <f t="shared" ref="M15:M30" si="3">I15+J15-K15-L15</f>
        <v>321.48509353080374</v>
      </c>
      <c r="N15" s="877">
        <f t="shared" si="0"/>
        <v>321.48509353080374</v>
      </c>
      <c r="O15" s="877">
        <f>'F5'!O15</f>
        <v>0</v>
      </c>
      <c r="P15" s="877">
        <f>'F5'!P15</f>
        <v>0</v>
      </c>
      <c r="Q15" s="877">
        <f>'F5'!Q15</f>
        <v>0</v>
      </c>
      <c r="R15" s="877">
        <f t="shared" ref="R15:R30" si="4">N15+O15-P15-Q15</f>
        <v>321.48509353080374</v>
      </c>
      <c r="S15" s="851">
        <f>'F5'!S15+'F5.1 (N)'!D17</f>
        <v>321.48509353080374</v>
      </c>
      <c r="T15" s="877">
        <f>'F5'!T15+'F5.1 (N)'!E17</f>
        <v>0</v>
      </c>
      <c r="U15" s="877">
        <f>'F5'!U15+'F5.1 (N)'!F17</f>
        <v>0</v>
      </c>
      <c r="V15" s="877">
        <f>'F5'!V15+'F5.1 (N)'!G17</f>
        <v>0</v>
      </c>
      <c r="W15" s="851">
        <f t="shared" ref="W15:W30" si="5">S15+T15-U15-V15</f>
        <v>321.48509353080374</v>
      </c>
    </row>
    <row r="16" spans="1:23" s="418" customFormat="1">
      <c r="B16" s="464">
        <f t="shared" ref="B16:B30" si="6">B15+1</f>
        <v>3</v>
      </c>
      <c r="C16" s="466" t="s">
        <v>812</v>
      </c>
      <c r="D16" s="877">
        <f>'F5'!D16</f>
        <v>0</v>
      </c>
      <c r="E16" s="877">
        <f>'F5'!E16</f>
        <v>0</v>
      </c>
      <c r="F16" s="877">
        <f>'F5'!F16</f>
        <v>0</v>
      </c>
      <c r="G16" s="877">
        <f>'F5'!G16</f>
        <v>0</v>
      </c>
      <c r="H16" s="877">
        <f t="shared" si="1"/>
        <v>0</v>
      </c>
      <c r="I16" s="851">
        <f t="shared" si="2"/>
        <v>0</v>
      </c>
      <c r="J16" s="877">
        <f>'F5'!J16</f>
        <v>0</v>
      </c>
      <c r="K16" s="877">
        <f>'F5'!K16</f>
        <v>0</v>
      </c>
      <c r="L16" s="877">
        <f>'F5'!L16</f>
        <v>0</v>
      </c>
      <c r="M16" s="851">
        <f t="shared" si="3"/>
        <v>0</v>
      </c>
      <c r="N16" s="877">
        <f t="shared" si="0"/>
        <v>0</v>
      </c>
      <c r="O16" s="877">
        <f>'F5'!O16</f>
        <v>0</v>
      </c>
      <c r="P16" s="877">
        <f>'F5'!P16</f>
        <v>0</v>
      </c>
      <c r="Q16" s="877">
        <f>'F5'!Q16</f>
        <v>0</v>
      </c>
      <c r="R16" s="877">
        <f t="shared" si="4"/>
        <v>0</v>
      </c>
      <c r="S16" s="851">
        <f>'F5'!S16+'F5.1 (N)'!D18</f>
        <v>0</v>
      </c>
      <c r="T16" s="877">
        <f>'F5'!T16+'F5.1 (N)'!E18</f>
        <v>10</v>
      </c>
      <c r="U16" s="877">
        <f>'F5'!U16+'F5.1 (N)'!F18</f>
        <v>0</v>
      </c>
      <c r="V16" s="877">
        <f>'F5'!V16+'F5.1 (N)'!G18</f>
        <v>0</v>
      </c>
      <c r="W16" s="851">
        <f t="shared" si="5"/>
        <v>10</v>
      </c>
    </row>
    <row r="17" spans="2:23" s="418" customFormat="1">
      <c r="B17" s="464">
        <f t="shared" si="6"/>
        <v>4</v>
      </c>
      <c r="C17" s="466" t="s">
        <v>813</v>
      </c>
      <c r="D17" s="877">
        <f>'F5'!D17</f>
        <v>345.29</v>
      </c>
      <c r="E17" s="877">
        <f>'F5'!E17</f>
        <v>0</v>
      </c>
      <c r="F17" s="877">
        <f>'F5'!F17</f>
        <v>0</v>
      </c>
      <c r="G17" s="877">
        <f>'F5'!G17</f>
        <v>0</v>
      </c>
      <c r="H17" s="877">
        <f t="shared" si="1"/>
        <v>345.29</v>
      </c>
      <c r="I17" s="851">
        <f t="shared" si="2"/>
        <v>345.29</v>
      </c>
      <c r="J17" s="877">
        <f>'F5'!J17</f>
        <v>0</v>
      </c>
      <c r="K17" s="877">
        <f>'F5'!K17</f>
        <v>0</v>
      </c>
      <c r="L17" s="877">
        <f>'F5'!L17</f>
        <v>0</v>
      </c>
      <c r="M17" s="851">
        <f t="shared" si="3"/>
        <v>345.29</v>
      </c>
      <c r="N17" s="877">
        <f t="shared" si="0"/>
        <v>345.29</v>
      </c>
      <c r="O17" s="877">
        <f>'F5'!O17</f>
        <v>0</v>
      </c>
      <c r="P17" s="877">
        <f>'F5'!P17</f>
        <v>0</v>
      </c>
      <c r="Q17" s="877">
        <f>'F5'!Q17</f>
        <v>0</v>
      </c>
      <c r="R17" s="877">
        <f t="shared" si="4"/>
        <v>345.29</v>
      </c>
      <c r="S17" s="851">
        <f>'F5'!S17+'F5.1 (N)'!D19</f>
        <v>345.29</v>
      </c>
      <c r="T17" s="877">
        <f>'F5'!T17+'F5.1 (N)'!E19</f>
        <v>0</v>
      </c>
      <c r="U17" s="877">
        <f>'F5'!U17+'F5.1 (N)'!F19</f>
        <v>0</v>
      </c>
      <c r="V17" s="877">
        <f>'F5'!V17+'F5.1 (N)'!G19</f>
        <v>0</v>
      </c>
      <c r="W17" s="851">
        <f t="shared" si="5"/>
        <v>345.29</v>
      </c>
    </row>
    <row r="18" spans="2:23" s="418" customFormat="1">
      <c r="B18" s="464">
        <f t="shared" si="6"/>
        <v>5</v>
      </c>
      <c r="C18" s="466" t="s">
        <v>814</v>
      </c>
      <c r="D18" s="877">
        <f>'F5'!D18</f>
        <v>373.89469099427981</v>
      </c>
      <c r="E18" s="877">
        <f>'F5'!E18</f>
        <v>1.6870836</v>
      </c>
      <c r="F18" s="877">
        <f>'F5'!F18</f>
        <v>0</v>
      </c>
      <c r="G18" s="877">
        <f>'F5'!G18</f>
        <v>0</v>
      </c>
      <c r="H18" s="877">
        <f t="shared" si="1"/>
        <v>375.58177459427981</v>
      </c>
      <c r="I18" s="851">
        <f t="shared" si="2"/>
        <v>375.58177459427981</v>
      </c>
      <c r="J18" s="877">
        <f>'F5'!J18</f>
        <v>3.18</v>
      </c>
      <c r="K18" s="877">
        <f>'F5'!K18</f>
        <v>0</v>
      </c>
      <c r="L18" s="877">
        <f>'F5'!L18</f>
        <v>0</v>
      </c>
      <c r="M18" s="851">
        <f t="shared" si="3"/>
        <v>378.76177459427981</v>
      </c>
      <c r="N18" s="877">
        <f t="shared" si="0"/>
        <v>378.76177459427981</v>
      </c>
      <c r="O18" s="877">
        <f>'F5'!O18</f>
        <v>0</v>
      </c>
      <c r="P18" s="877">
        <f>'F5'!P18</f>
        <v>0</v>
      </c>
      <c r="Q18" s="877">
        <f>'F5'!Q18</f>
        <v>0</v>
      </c>
      <c r="R18" s="877">
        <f t="shared" si="4"/>
        <v>378.76177459427981</v>
      </c>
      <c r="S18" s="851">
        <f>'F5'!S18+'F5.1 (N)'!D20</f>
        <v>378.76177459427981</v>
      </c>
      <c r="T18" s="877">
        <f>'F5'!T18+'F5.1 (N)'!E20</f>
        <v>2.1999999999999997</v>
      </c>
      <c r="U18" s="877">
        <f>'F5'!U18+'F5.1 (N)'!F20</f>
        <v>0</v>
      </c>
      <c r="V18" s="877">
        <f>'F5'!V18+'F5.1 (N)'!G20</f>
        <v>0</v>
      </c>
      <c r="W18" s="851">
        <f t="shared" si="5"/>
        <v>380.9617745942798</v>
      </c>
    </row>
    <row r="19" spans="2:23" s="11" customFormat="1">
      <c r="B19" s="464">
        <f t="shared" si="6"/>
        <v>6</v>
      </c>
      <c r="C19" s="466" t="s">
        <v>256</v>
      </c>
      <c r="D19" s="877">
        <f>'F5'!D19</f>
        <v>5626.2006263786525</v>
      </c>
      <c r="E19" s="877">
        <f>'F5'!E19</f>
        <v>9.7662618000000005</v>
      </c>
      <c r="F19" s="877">
        <f>'F5'!F19</f>
        <v>0</v>
      </c>
      <c r="G19" s="877">
        <f>'F5'!G19</f>
        <v>0</v>
      </c>
      <c r="H19" s="877">
        <f t="shared" si="1"/>
        <v>5635.9668881786529</v>
      </c>
      <c r="I19" s="851">
        <f t="shared" si="2"/>
        <v>5635.9668881786529</v>
      </c>
      <c r="J19" s="877">
        <f>'F5'!J19</f>
        <v>13.17</v>
      </c>
      <c r="K19" s="877">
        <f>'F5'!K19</f>
        <v>0</v>
      </c>
      <c r="L19" s="877">
        <f>'F5'!L19</f>
        <v>0</v>
      </c>
      <c r="M19" s="851">
        <f t="shared" si="3"/>
        <v>5649.136888178653</v>
      </c>
      <c r="N19" s="877">
        <f t="shared" si="0"/>
        <v>5649.136888178653</v>
      </c>
      <c r="O19" s="877">
        <f>'F5'!O19</f>
        <v>24.414801000000001</v>
      </c>
      <c r="P19" s="877">
        <f>'F5'!P19</f>
        <v>0</v>
      </c>
      <c r="Q19" s="877">
        <f>'F5'!Q19</f>
        <v>0</v>
      </c>
      <c r="R19" s="877">
        <f t="shared" si="4"/>
        <v>5673.5516891786529</v>
      </c>
      <c r="S19" s="851">
        <f>'F5'!S19+'F5.1 (N)'!D21</f>
        <v>5673.5516891786529</v>
      </c>
      <c r="T19" s="877">
        <f>'F5'!T19+'F5.1 (N)'!E21</f>
        <v>46.709999999999994</v>
      </c>
      <c r="U19" s="877">
        <f>'F5'!U19+'F5.1 (N)'!F21</f>
        <v>0</v>
      </c>
      <c r="V19" s="877">
        <f>'F5'!V19+'F5.1 (N)'!G21</f>
        <v>0</v>
      </c>
      <c r="W19" s="851">
        <f t="shared" si="5"/>
        <v>5720.2616891786529</v>
      </c>
    </row>
    <row r="20" spans="2:23" s="11" customFormat="1">
      <c r="B20" s="464">
        <f t="shared" si="6"/>
        <v>7</v>
      </c>
      <c r="C20" s="466" t="s">
        <v>815</v>
      </c>
      <c r="D20" s="877">
        <f>'F5'!D20</f>
        <v>4.9693332146388194</v>
      </c>
      <c r="E20" s="877">
        <f>'F5'!E20</f>
        <v>0</v>
      </c>
      <c r="F20" s="877">
        <f>'F5'!F20</f>
        <v>0</v>
      </c>
      <c r="G20" s="877">
        <f>'F5'!G20</f>
        <v>0</v>
      </c>
      <c r="H20" s="877">
        <f t="shared" si="1"/>
        <v>4.9693332146388194</v>
      </c>
      <c r="I20" s="851">
        <f t="shared" si="2"/>
        <v>4.9693332146388194</v>
      </c>
      <c r="J20" s="877">
        <f>'F5'!J20</f>
        <v>0</v>
      </c>
      <c r="K20" s="877">
        <f>'F5'!K20</f>
        <v>0</v>
      </c>
      <c r="L20" s="877">
        <f>'F5'!L20</f>
        <v>0</v>
      </c>
      <c r="M20" s="851">
        <f t="shared" si="3"/>
        <v>4.9693332146388194</v>
      </c>
      <c r="N20" s="877">
        <f t="shared" si="0"/>
        <v>4.9693332146388194</v>
      </c>
      <c r="O20" s="877">
        <f>'F5'!O20</f>
        <v>0</v>
      </c>
      <c r="P20" s="877">
        <f>'F5'!P20</f>
        <v>0</v>
      </c>
      <c r="Q20" s="877">
        <f>'F5'!Q20</f>
        <v>0</v>
      </c>
      <c r="R20" s="877">
        <f t="shared" si="4"/>
        <v>4.9693332146388194</v>
      </c>
      <c r="S20" s="851">
        <f>'F5'!S20+'F5.1 (N)'!D22</f>
        <v>4.9693332146388194</v>
      </c>
      <c r="T20" s="877">
        <f>'F5'!T20+'F5.1 (N)'!E22</f>
        <v>0</v>
      </c>
      <c r="U20" s="877">
        <f>'F5'!U20+'F5.1 (N)'!F22</f>
        <v>0</v>
      </c>
      <c r="V20" s="877">
        <f>'F5'!V20+'F5.1 (N)'!G22</f>
        <v>0</v>
      </c>
      <c r="W20" s="851">
        <f t="shared" si="5"/>
        <v>4.9693332146388194</v>
      </c>
    </row>
    <row r="21" spans="2:23" s="11" customFormat="1">
      <c r="B21" s="464">
        <f t="shared" si="6"/>
        <v>8</v>
      </c>
      <c r="C21" s="466" t="s">
        <v>816</v>
      </c>
      <c r="D21" s="877">
        <f>'F5'!D21</f>
        <v>0.10170083185564693</v>
      </c>
      <c r="E21" s="877">
        <f>'F5'!E21</f>
        <v>0</v>
      </c>
      <c r="F21" s="877">
        <f>'F5'!F21</f>
        <v>0</v>
      </c>
      <c r="G21" s="877">
        <f>'F5'!G21</f>
        <v>0</v>
      </c>
      <c r="H21" s="877">
        <f t="shared" si="1"/>
        <v>0.10170083185564693</v>
      </c>
      <c r="I21" s="851">
        <f t="shared" si="2"/>
        <v>0.10170083185564693</v>
      </c>
      <c r="J21" s="877">
        <f>'F5'!J21</f>
        <v>0</v>
      </c>
      <c r="K21" s="877">
        <f>'F5'!K21</f>
        <v>0</v>
      </c>
      <c r="L21" s="877">
        <f>'F5'!L21</f>
        <v>0</v>
      </c>
      <c r="M21" s="851">
        <f t="shared" si="3"/>
        <v>0.10170083185564693</v>
      </c>
      <c r="N21" s="877">
        <f t="shared" si="0"/>
        <v>0.10170083185564693</v>
      </c>
      <c r="O21" s="877">
        <f>'F5'!O21</f>
        <v>0</v>
      </c>
      <c r="P21" s="877">
        <f>'F5'!P21</f>
        <v>0</v>
      </c>
      <c r="Q21" s="877">
        <f>'F5'!Q21</f>
        <v>0</v>
      </c>
      <c r="R21" s="877">
        <f t="shared" si="4"/>
        <v>0.10170083185564693</v>
      </c>
      <c r="S21" s="851">
        <f>'F5'!S21+'F5.1 (N)'!D23</f>
        <v>0.10170083185564693</v>
      </c>
      <c r="T21" s="877">
        <f>'F5'!T21+'F5.1 (N)'!E23</f>
        <v>0</v>
      </c>
      <c r="U21" s="877">
        <f>'F5'!U21+'F5.1 (N)'!F23</f>
        <v>0</v>
      </c>
      <c r="V21" s="877">
        <f>'F5'!V21+'F5.1 (N)'!G23</f>
        <v>0</v>
      </c>
      <c r="W21" s="851">
        <f t="shared" si="5"/>
        <v>0.10170083185564693</v>
      </c>
    </row>
    <row r="22" spans="2:23" s="11" customFormat="1">
      <c r="B22" s="464">
        <f t="shared" si="6"/>
        <v>9</v>
      </c>
      <c r="C22" s="466" t="s">
        <v>817</v>
      </c>
      <c r="D22" s="877">
        <f>'F5'!D22</f>
        <v>48.46</v>
      </c>
      <c r="E22" s="877">
        <f>'F5'!E22</f>
        <v>0</v>
      </c>
      <c r="F22" s="877">
        <f>'F5'!F22</f>
        <v>0</v>
      </c>
      <c r="G22" s="877">
        <f>'F5'!G22</f>
        <v>0</v>
      </c>
      <c r="H22" s="877">
        <f t="shared" si="1"/>
        <v>48.46</v>
      </c>
      <c r="I22" s="851">
        <f t="shared" si="2"/>
        <v>48.46</v>
      </c>
      <c r="J22" s="877">
        <f>'F5'!J22</f>
        <v>0</v>
      </c>
      <c r="K22" s="877">
        <f>'F5'!K22</f>
        <v>0</v>
      </c>
      <c r="L22" s="877">
        <f>'F5'!L22</f>
        <v>0</v>
      </c>
      <c r="M22" s="851">
        <f t="shared" si="3"/>
        <v>48.46</v>
      </c>
      <c r="N22" s="877">
        <f t="shared" si="0"/>
        <v>48.46</v>
      </c>
      <c r="O22" s="877">
        <f>'F5'!O22</f>
        <v>0</v>
      </c>
      <c r="P22" s="877">
        <f>'F5'!P22</f>
        <v>0</v>
      </c>
      <c r="Q22" s="877">
        <f>'F5'!Q22</f>
        <v>0</v>
      </c>
      <c r="R22" s="877">
        <f t="shared" si="4"/>
        <v>48.46</v>
      </c>
      <c r="S22" s="851">
        <f>'F5'!S22+'F5.1 (N)'!D24</f>
        <v>48.46</v>
      </c>
      <c r="T22" s="877">
        <f>'F5'!T22+'F5.1 (N)'!E24</f>
        <v>0</v>
      </c>
      <c r="U22" s="877">
        <f>'F5'!U22+'F5.1 (N)'!F24</f>
        <v>0</v>
      </c>
      <c r="V22" s="877">
        <f>'F5'!V22+'F5.1 (N)'!G24</f>
        <v>0</v>
      </c>
      <c r="W22" s="851">
        <f t="shared" si="5"/>
        <v>48.46</v>
      </c>
    </row>
    <row r="23" spans="2:23" s="11" customFormat="1">
      <c r="B23" s="464">
        <f t="shared" si="6"/>
        <v>10</v>
      </c>
      <c r="C23" s="466" t="s">
        <v>259</v>
      </c>
      <c r="D23" s="877">
        <f>'F5'!D23</f>
        <v>3.316447936174451</v>
      </c>
      <c r="E23" s="877">
        <f>'F5'!E23</f>
        <v>2.1846524</v>
      </c>
      <c r="F23" s="877">
        <f>'F5'!F23</f>
        <v>0</v>
      </c>
      <c r="G23" s="877">
        <f>'F5'!G23</f>
        <v>0</v>
      </c>
      <c r="H23" s="877">
        <f t="shared" si="1"/>
        <v>5.501100336174451</v>
      </c>
      <c r="I23" s="851">
        <f t="shared" si="2"/>
        <v>5.501100336174451</v>
      </c>
      <c r="J23" s="877">
        <f>'F5'!J23</f>
        <v>0</v>
      </c>
      <c r="K23" s="877">
        <f>'F5'!K23</f>
        <v>0</v>
      </c>
      <c r="L23" s="877">
        <f>'F5'!L23</f>
        <v>0</v>
      </c>
      <c r="M23" s="851">
        <f t="shared" si="3"/>
        <v>5.501100336174451</v>
      </c>
      <c r="N23" s="877">
        <f t="shared" si="0"/>
        <v>5.501100336174451</v>
      </c>
      <c r="O23" s="877">
        <f>'F5'!O23</f>
        <v>0</v>
      </c>
      <c r="P23" s="877">
        <f>'F5'!P23</f>
        <v>0</v>
      </c>
      <c r="Q23" s="877">
        <f>'F5'!Q23</f>
        <v>0</v>
      </c>
      <c r="R23" s="877">
        <f t="shared" si="4"/>
        <v>5.501100336174451</v>
      </c>
      <c r="S23" s="851">
        <f>'F5'!S23+'F5.1 (N)'!D25</f>
        <v>5.501100336174451</v>
      </c>
      <c r="T23" s="877">
        <f>'F5'!T23+'F5.1 (N)'!E25</f>
        <v>0</v>
      </c>
      <c r="U23" s="877">
        <f>'F5'!U23+'F5.1 (N)'!F25</f>
        <v>0</v>
      </c>
      <c r="V23" s="877">
        <f>'F5'!V23+'F5.1 (N)'!G25</f>
        <v>0</v>
      </c>
      <c r="W23" s="851">
        <f t="shared" si="5"/>
        <v>5.501100336174451</v>
      </c>
    </row>
    <row r="24" spans="2:23" s="11" customFormat="1">
      <c r="B24" s="464">
        <f t="shared" si="6"/>
        <v>11</v>
      </c>
      <c r="C24" s="466" t="s">
        <v>260</v>
      </c>
      <c r="D24" s="877">
        <f>'F5'!D24</f>
        <v>2.8259988727632823</v>
      </c>
      <c r="E24" s="877">
        <f>'F5'!E24</f>
        <v>0.13712089999999999</v>
      </c>
      <c r="F24" s="877">
        <f>'F5'!F24</f>
        <v>0</v>
      </c>
      <c r="G24" s="877">
        <f>'F5'!G24</f>
        <v>0</v>
      </c>
      <c r="H24" s="877">
        <f t="shared" si="1"/>
        <v>2.9631197727632825</v>
      </c>
      <c r="I24" s="851">
        <f t="shared" si="2"/>
        <v>2.9631197727632825</v>
      </c>
      <c r="J24" s="877">
        <f>'F5'!J24</f>
        <v>7.3968300000000001E-2</v>
      </c>
      <c r="K24" s="877">
        <f>'F5'!K24</f>
        <v>0</v>
      </c>
      <c r="L24" s="877">
        <f>'F5'!L24</f>
        <v>0</v>
      </c>
      <c r="M24" s="851">
        <f t="shared" si="3"/>
        <v>3.0370880727632827</v>
      </c>
      <c r="N24" s="877">
        <f t="shared" si="0"/>
        <v>3.0370880727632827</v>
      </c>
      <c r="O24" s="877">
        <f>'F5'!O24</f>
        <v>0</v>
      </c>
      <c r="P24" s="877">
        <f>'F5'!P24</f>
        <v>0</v>
      </c>
      <c r="Q24" s="877">
        <f>'F5'!Q24</f>
        <v>0</v>
      </c>
      <c r="R24" s="877">
        <f t="shared" si="4"/>
        <v>3.0370880727632827</v>
      </c>
      <c r="S24" s="851">
        <f>'F5'!S24+'F5.1 (N)'!D26</f>
        <v>3.0370880727632827</v>
      </c>
      <c r="T24" s="877">
        <f>'F5'!T24+'F5.1 (N)'!E26</f>
        <v>0</v>
      </c>
      <c r="U24" s="877">
        <f>'F5'!U24+'F5.1 (N)'!F26</f>
        <v>0</v>
      </c>
      <c r="V24" s="877">
        <f>'F5'!V24+'F5.1 (N)'!G26</f>
        <v>0</v>
      </c>
      <c r="W24" s="851">
        <f t="shared" si="5"/>
        <v>3.0370880727632827</v>
      </c>
    </row>
    <row r="25" spans="2:23" s="11" customFormat="1">
      <c r="B25" s="464">
        <f t="shared" si="6"/>
        <v>12</v>
      </c>
      <c r="C25" s="466" t="s">
        <v>261</v>
      </c>
      <c r="D25" s="877">
        <f>'F5'!D25</f>
        <v>1.0908373254655983</v>
      </c>
      <c r="E25" s="877">
        <f>'F5'!E25</f>
        <v>0</v>
      </c>
      <c r="F25" s="877">
        <f>'F5'!F25</f>
        <v>0</v>
      </c>
      <c r="G25" s="877">
        <f>'F5'!G25</f>
        <v>0</v>
      </c>
      <c r="H25" s="877">
        <f t="shared" si="1"/>
        <v>1.0908373254655983</v>
      </c>
      <c r="I25" s="851">
        <f t="shared" si="2"/>
        <v>1.0908373254655983</v>
      </c>
      <c r="J25" s="877">
        <f>'F5'!J25</f>
        <v>0</v>
      </c>
      <c r="K25" s="877">
        <f>'F5'!K25</f>
        <v>0</v>
      </c>
      <c r="L25" s="877">
        <f>'F5'!L25</f>
        <v>0</v>
      </c>
      <c r="M25" s="851">
        <f t="shared" si="3"/>
        <v>1.0908373254655983</v>
      </c>
      <c r="N25" s="877">
        <f t="shared" si="0"/>
        <v>1.0908373254655983</v>
      </c>
      <c r="O25" s="877">
        <f>'F5'!O25</f>
        <v>0</v>
      </c>
      <c r="P25" s="877">
        <f>'F5'!P25</f>
        <v>0</v>
      </c>
      <c r="Q25" s="877">
        <f>'F5'!Q25</f>
        <v>0</v>
      </c>
      <c r="R25" s="877">
        <f t="shared" si="4"/>
        <v>1.0908373254655983</v>
      </c>
      <c r="S25" s="851">
        <f>'F5'!S25+'F5.1 (N)'!D27</f>
        <v>1.0908373254655983</v>
      </c>
      <c r="T25" s="877">
        <f>'F5'!T25+'F5.1 (N)'!E27</f>
        <v>0</v>
      </c>
      <c r="U25" s="877">
        <f>'F5'!U25+'F5.1 (N)'!F27</f>
        <v>0</v>
      </c>
      <c r="V25" s="877">
        <f>'F5'!V25+'F5.1 (N)'!G27</f>
        <v>0</v>
      </c>
      <c r="W25" s="851">
        <f t="shared" si="5"/>
        <v>1.0908373254655983</v>
      </c>
    </row>
    <row r="26" spans="2:23" s="11" customFormat="1">
      <c r="B26" s="464">
        <f t="shared" si="6"/>
        <v>13</v>
      </c>
      <c r="C26" s="466" t="s">
        <v>865</v>
      </c>
      <c r="D26" s="877">
        <f>'F5'!D26</f>
        <v>0</v>
      </c>
      <c r="E26" s="877">
        <f>'F5'!E26</f>
        <v>0</v>
      </c>
      <c r="F26" s="877">
        <f>'F5'!F26</f>
        <v>0</v>
      </c>
      <c r="G26" s="877">
        <f>'F5'!G26</f>
        <v>0</v>
      </c>
      <c r="H26" s="877">
        <f t="shared" si="1"/>
        <v>0</v>
      </c>
      <c r="I26" s="851">
        <f t="shared" si="2"/>
        <v>0</v>
      </c>
      <c r="J26" s="877">
        <f>'F5'!J26</f>
        <v>0</v>
      </c>
      <c r="K26" s="877">
        <f>'F5'!K26</f>
        <v>0</v>
      </c>
      <c r="L26" s="877">
        <f>'F5'!L26</f>
        <v>0</v>
      </c>
      <c r="M26" s="851">
        <f t="shared" si="3"/>
        <v>0</v>
      </c>
      <c r="N26" s="877">
        <f t="shared" si="0"/>
        <v>0</v>
      </c>
      <c r="O26" s="877">
        <f>'F5'!O26</f>
        <v>0</v>
      </c>
      <c r="P26" s="877">
        <f>'F5'!P26</f>
        <v>0</v>
      </c>
      <c r="Q26" s="877">
        <f>'F5'!Q26</f>
        <v>0</v>
      </c>
      <c r="R26" s="877">
        <f t="shared" si="4"/>
        <v>0</v>
      </c>
      <c r="S26" s="851">
        <f>'F5'!S26+'F5.1 (N)'!D28</f>
        <v>0</v>
      </c>
      <c r="T26" s="877">
        <f>'F5'!T26+'F5.1 (N)'!E28</f>
        <v>0</v>
      </c>
      <c r="U26" s="877">
        <f>'F5'!U26+'F5.1 (N)'!F28</f>
        <v>0</v>
      </c>
      <c r="V26" s="877">
        <f>'F5'!V26+'F5.1 (N)'!G28</f>
        <v>0</v>
      </c>
      <c r="W26" s="851">
        <f t="shared" si="5"/>
        <v>0</v>
      </c>
    </row>
    <row r="27" spans="2:23" s="11" customFormat="1">
      <c r="B27" s="464">
        <f t="shared" si="6"/>
        <v>14</v>
      </c>
      <c r="C27" s="466" t="s">
        <v>866</v>
      </c>
      <c r="D27" s="877">
        <f>'F5'!D27</f>
        <v>0</v>
      </c>
      <c r="E27" s="877">
        <f>'F5'!E27</f>
        <v>0.14423554</v>
      </c>
      <c r="F27" s="877">
        <f>'F5'!F27</f>
        <v>0.30060954500000003</v>
      </c>
      <c r="G27" s="877">
        <f>'F5'!G27</f>
        <v>0</v>
      </c>
      <c r="H27" s="877">
        <f t="shared" si="1"/>
        <v>-0.15637400500000004</v>
      </c>
      <c r="I27" s="851">
        <f t="shared" si="2"/>
        <v>-0.15637400500000004</v>
      </c>
      <c r="J27" s="877">
        <f>'F5'!J27</f>
        <v>0.15890559299999998</v>
      </c>
      <c r="K27" s="877">
        <f>'F5'!K27</f>
        <v>0</v>
      </c>
      <c r="L27" s="877">
        <f>'F5'!L27</f>
        <v>0</v>
      </c>
      <c r="M27" s="851">
        <f t="shared" si="3"/>
        <v>2.5315879999999458E-3</v>
      </c>
      <c r="N27" s="877">
        <f t="shared" si="0"/>
        <v>2.5315879999999458E-3</v>
      </c>
      <c r="O27" s="877">
        <f>'F5'!O27</f>
        <v>0</v>
      </c>
      <c r="P27" s="877">
        <f>'F5'!P27</f>
        <v>0</v>
      </c>
      <c r="Q27" s="877">
        <f>'F5'!Q27</f>
        <v>0</v>
      </c>
      <c r="R27" s="877">
        <f t="shared" si="4"/>
        <v>2.5315879999999458E-3</v>
      </c>
      <c r="S27" s="851">
        <f>'F5'!S27+'F5.1 (N)'!D29</f>
        <v>2.5315879999999458E-3</v>
      </c>
      <c r="T27" s="877">
        <f>'F5'!T27+'F5.1 (N)'!E29</f>
        <v>0</v>
      </c>
      <c r="U27" s="877">
        <f>'F5'!U27+'F5.1 (N)'!F29</f>
        <v>0</v>
      </c>
      <c r="V27" s="877">
        <f>'F5'!V27+'F5.1 (N)'!G29</f>
        <v>0</v>
      </c>
      <c r="W27" s="851">
        <f t="shared" si="5"/>
        <v>2.5315879999999458E-3</v>
      </c>
    </row>
    <row r="28" spans="2:23" s="11" customFormat="1">
      <c r="B28" s="464">
        <f t="shared" si="6"/>
        <v>15</v>
      </c>
      <c r="C28" s="466" t="s">
        <v>867</v>
      </c>
      <c r="D28" s="877">
        <f>'F5'!D28</f>
        <v>0</v>
      </c>
      <c r="E28" s="877">
        <f>'F5'!E28</f>
        <v>0</v>
      </c>
      <c r="F28" s="877">
        <f>'F5'!F28</f>
        <v>0</v>
      </c>
      <c r="G28" s="877">
        <f>'F5'!G28</f>
        <v>0</v>
      </c>
      <c r="H28" s="877">
        <f t="shared" si="1"/>
        <v>0</v>
      </c>
      <c r="I28" s="851">
        <f t="shared" si="2"/>
        <v>0</v>
      </c>
      <c r="J28" s="877">
        <f>'F5'!J28</f>
        <v>0</v>
      </c>
      <c r="K28" s="877">
        <f>'F5'!K28</f>
        <v>0</v>
      </c>
      <c r="L28" s="877">
        <f>'F5'!L28</f>
        <v>0</v>
      </c>
      <c r="M28" s="851">
        <f t="shared" si="3"/>
        <v>0</v>
      </c>
      <c r="N28" s="877">
        <f t="shared" si="0"/>
        <v>0</v>
      </c>
      <c r="O28" s="877">
        <f>'F5'!O28</f>
        <v>0</v>
      </c>
      <c r="P28" s="877">
        <f>'F5'!P28</f>
        <v>0</v>
      </c>
      <c r="Q28" s="877">
        <f>'F5'!Q28</f>
        <v>0</v>
      </c>
      <c r="R28" s="877">
        <f t="shared" si="4"/>
        <v>0</v>
      </c>
      <c r="S28" s="851">
        <f>'F5'!S28+'F5.1 (N)'!D30</f>
        <v>0</v>
      </c>
      <c r="T28" s="877">
        <f>'F5'!T28+'F5.1 (N)'!E30</f>
        <v>0</v>
      </c>
      <c r="U28" s="877">
        <f>'F5'!U28+'F5.1 (N)'!F30</f>
        <v>0</v>
      </c>
      <c r="V28" s="877">
        <f>'F5'!V28+'F5.1 (N)'!G30</f>
        <v>0</v>
      </c>
      <c r="W28" s="851">
        <f t="shared" si="5"/>
        <v>0</v>
      </c>
    </row>
    <row r="29" spans="2:23" s="11" customFormat="1">
      <c r="B29" s="464">
        <f t="shared" si="6"/>
        <v>16</v>
      </c>
      <c r="C29" s="466" t="s">
        <v>818</v>
      </c>
      <c r="D29" s="877">
        <f>'F5'!D29</f>
        <v>0</v>
      </c>
      <c r="E29" s="877">
        <f>'F5'!E29</f>
        <v>0</v>
      </c>
      <c r="F29" s="877">
        <f>'F5'!F29</f>
        <v>0</v>
      </c>
      <c r="G29" s="877">
        <f>'F5'!G29</f>
        <v>0</v>
      </c>
      <c r="H29" s="877">
        <f t="shared" si="1"/>
        <v>0</v>
      </c>
      <c r="I29" s="851">
        <f t="shared" si="2"/>
        <v>0</v>
      </c>
      <c r="J29" s="877">
        <f>'F5'!J29</f>
        <v>0</v>
      </c>
      <c r="K29" s="877">
        <f>'F5'!K29</f>
        <v>0</v>
      </c>
      <c r="L29" s="877">
        <f>'F5'!L29</f>
        <v>0</v>
      </c>
      <c r="M29" s="851">
        <f t="shared" si="3"/>
        <v>0</v>
      </c>
      <c r="N29" s="877">
        <f t="shared" si="0"/>
        <v>0</v>
      </c>
      <c r="O29" s="877">
        <f>'F5'!O29</f>
        <v>0</v>
      </c>
      <c r="P29" s="877">
        <f>'F5'!P29</f>
        <v>0</v>
      </c>
      <c r="Q29" s="877">
        <f>'F5'!Q29</f>
        <v>0</v>
      </c>
      <c r="R29" s="877">
        <f t="shared" si="4"/>
        <v>0</v>
      </c>
      <c r="S29" s="851">
        <f>'F5'!S29+'F5.1 (N)'!D31</f>
        <v>0</v>
      </c>
      <c r="T29" s="877">
        <f>'F5'!T29+'F5.1 (N)'!E31</f>
        <v>0</v>
      </c>
      <c r="U29" s="877">
        <f>'F5'!U29+'F5.1 (N)'!F31</f>
        <v>0</v>
      </c>
      <c r="V29" s="877">
        <f>'F5'!V29+'F5.1 (N)'!G31</f>
        <v>0</v>
      </c>
      <c r="W29" s="851">
        <f t="shared" si="5"/>
        <v>0</v>
      </c>
    </row>
    <row r="30" spans="2:23" s="11" customFormat="1">
      <c r="B30" s="464">
        <f t="shared" si="6"/>
        <v>17</v>
      </c>
      <c r="C30" s="466" t="s">
        <v>868</v>
      </c>
      <c r="D30" s="877">
        <f>'F5'!D30</f>
        <v>0</v>
      </c>
      <c r="E30" s="877">
        <f>'F5'!E30</f>
        <v>0</v>
      </c>
      <c r="F30" s="877">
        <f>'F5'!F30</f>
        <v>0</v>
      </c>
      <c r="G30" s="877">
        <f>'F5'!G30</f>
        <v>0</v>
      </c>
      <c r="H30" s="877">
        <f t="shared" si="1"/>
        <v>0</v>
      </c>
      <c r="I30" s="851">
        <f t="shared" si="2"/>
        <v>0</v>
      </c>
      <c r="J30" s="877">
        <f>'F5'!J30</f>
        <v>0</v>
      </c>
      <c r="K30" s="877">
        <f>'F5'!K30</f>
        <v>0</v>
      </c>
      <c r="L30" s="877">
        <f>'F5'!L30</f>
        <v>0</v>
      </c>
      <c r="M30" s="851">
        <f t="shared" si="3"/>
        <v>0</v>
      </c>
      <c r="N30" s="877">
        <f t="shared" si="0"/>
        <v>0</v>
      </c>
      <c r="O30" s="877">
        <f>'F5'!O30</f>
        <v>0</v>
      </c>
      <c r="P30" s="877">
        <f>'F5'!P30</f>
        <v>0</v>
      </c>
      <c r="Q30" s="877">
        <f>'F5'!Q30</f>
        <v>0</v>
      </c>
      <c r="R30" s="877">
        <f t="shared" si="4"/>
        <v>0</v>
      </c>
      <c r="S30" s="851">
        <f>'F5'!S30+'F5.1 (N)'!D32</f>
        <v>0</v>
      </c>
      <c r="T30" s="877">
        <f>'F5'!T30+'F5.1 (N)'!E32</f>
        <v>0</v>
      </c>
      <c r="U30" s="877">
        <f>'F5'!U30+'F5.1 (N)'!F32</f>
        <v>0</v>
      </c>
      <c r="V30" s="877">
        <f>'F5'!V30+'F5.1 (N)'!G32</f>
        <v>0</v>
      </c>
      <c r="W30" s="851">
        <f t="shared" si="5"/>
        <v>0</v>
      </c>
    </row>
    <row r="31" spans="2:23" s="1" customFormat="1" ht="16">
      <c r="B31" s="83"/>
      <c r="C31" s="97" t="s">
        <v>272</v>
      </c>
      <c r="D31" s="888">
        <f>SUM(D14:D30)</f>
        <v>6739.9097290846339</v>
      </c>
      <c r="E31" s="888">
        <f>SUM(E14:E30)</f>
        <v>13.919354240000001</v>
      </c>
      <c r="F31" s="888">
        <f t="shared" ref="F31:W31" si="7">SUM(F14:F30)</f>
        <v>0.30060954500000003</v>
      </c>
      <c r="G31" s="888">
        <f t="shared" si="7"/>
        <v>0</v>
      </c>
      <c r="H31" s="888">
        <f t="shared" si="7"/>
        <v>6753.5284737796337</v>
      </c>
      <c r="I31" s="888">
        <f t="shared" si="7"/>
        <v>6753.5284737796337</v>
      </c>
      <c r="J31" s="888">
        <f t="shared" si="7"/>
        <v>16.582873893000002</v>
      </c>
      <c r="K31" s="888">
        <f t="shared" si="7"/>
        <v>0</v>
      </c>
      <c r="L31" s="888">
        <f t="shared" si="7"/>
        <v>0</v>
      </c>
      <c r="M31" s="888">
        <f t="shared" si="7"/>
        <v>6770.1113476726341</v>
      </c>
      <c r="N31" s="888">
        <f t="shared" si="7"/>
        <v>6770.1113476726341</v>
      </c>
      <c r="O31" s="888">
        <f t="shared" si="7"/>
        <v>24.414801000000001</v>
      </c>
      <c r="P31" s="888">
        <f t="shared" si="7"/>
        <v>0</v>
      </c>
      <c r="Q31" s="888">
        <f t="shared" si="7"/>
        <v>0</v>
      </c>
      <c r="R31" s="888">
        <f t="shared" si="7"/>
        <v>6794.526148672634</v>
      </c>
      <c r="S31" s="888">
        <f t="shared" si="7"/>
        <v>6794.526148672634</v>
      </c>
      <c r="T31" s="888">
        <f t="shared" si="7"/>
        <v>58.91</v>
      </c>
      <c r="U31" s="888">
        <f t="shared" si="7"/>
        <v>0</v>
      </c>
      <c r="V31" s="888">
        <f t="shared" si="7"/>
        <v>0</v>
      </c>
      <c r="W31" s="888">
        <f t="shared" si="7"/>
        <v>6853.4361486726339</v>
      </c>
    </row>
    <row r="32" spans="2:23" s="1" customFormat="1">
      <c r="B32" s="937"/>
      <c r="C32" s="8"/>
      <c r="D32" s="8"/>
      <c r="E32" s="8"/>
      <c r="F32" s="8"/>
      <c r="G32" s="8"/>
      <c r="H32" s="8"/>
      <c r="J32" s="44"/>
      <c r="M32" s="44"/>
      <c r="N32" s="44"/>
    </row>
    <row r="33" spans="1:33">
      <c r="B33" s="1846" t="s">
        <v>566</v>
      </c>
      <c r="C33" s="1846"/>
      <c r="D33" s="1846"/>
      <c r="E33" s="1846"/>
      <c r="F33" s="1846"/>
      <c r="G33" s="1846"/>
      <c r="H33" s="8"/>
      <c r="I33" s="1"/>
      <c r="J33" s="44"/>
      <c r="K33" s="1"/>
      <c r="L33" s="1"/>
      <c r="M33" s="44"/>
      <c r="N33" s="44"/>
      <c r="O33" s="1"/>
      <c r="P33" s="1"/>
      <c r="Q33" s="1"/>
      <c r="R33" s="1"/>
    </row>
    <row r="34" spans="1:33">
      <c r="B34" s="937"/>
      <c r="C34" s="8"/>
      <c r="D34" s="8"/>
      <c r="E34" s="8"/>
      <c r="F34" s="8"/>
      <c r="G34" s="8"/>
      <c r="H34" s="8"/>
      <c r="I34" s="1"/>
      <c r="J34" s="44"/>
      <c r="K34" s="1"/>
      <c r="L34" s="1"/>
      <c r="M34" s="44"/>
      <c r="N34" s="44"/>
      <c r="O34" s="1"/>
      <c r="P34" s="1"/>
      <c r="Q34" s="1"/>
      <c r="R34" s="1"/>
    </row>
    <row r="35" spans="1:33" ht="15.75" customHeight="1">
      <c r="B35" s="937"/>
      <c r="C35" s="8"/>
      <c r="D35" s="8"/>
      <c r="E35" s="8"/>
      <c r="F35" s="8"/>
      <c r="G35" s="8"/>
      <c r="H35" s="8"/>
      <c r="I35" s="1"/>
      <c r="J35" s="44"/>
      <c r="K35" s="1"/>
      <c r="L35" s="1"/>
      <c r="M35" s="44"/>
      <c r="N35" s="44"/>
      <c r="O35" s="1"/>
      <c r="P35" s="1"/>
      <c r="Q35" s="1"/>
      <c r="AG35" s="256" t="s">
        <v>10</v>
      </c>
    </row>
    <row r="36" spans="1:33" ht="15.75" customHeight="1">
      <c r="B36" s="1719" t="s">
        <v>341</v>
      </c>
      <c r="C36" s="1719" t="s">
        <v>37</v>
      </c>
      <c r="D36" s="1843" t="s">
        <v>948</v>
      </c>
      <c r="E36" s="1844"/>
      <c r="F36" s="1844"/>
      <c r="G36" s="1844"/>
      <c r="H36" s="1845"/>
      <c r="I36" s="1843" t="s">
        <v>949</v>
      </c>
      <c r="J36" s="1844"/>
      <c r="K36" s="1844"/>
      <c r="L36" s="1844"/>
      <c r="M36" s="1845"/>
      <c r="N36" s="1835" t="s">
        <v>950</v>
      </c>
      <c r="O36" s="1835"/>
      <c r="P36" s="1835"/>
      <c r="Q36" s="1835"/>
      <c r="R36" s="1835"/>
      <c r="S36" s="1835" t="s">
        <v>951</v>
      </c>
      <c r="T36" s="1835"/>
      <c r="U36" s="1835"/>
      <c r="V36" s="1835"/>
      <c r="W36" s="1835"/>
    </row>
    <row r="37" spans="1:33" s="35" customFormat="1">
      <c r="B37" s="1719"/>
      <c r="C37" s="1719"/>
      <c r="D37" s="1836" t="s">
        <v>21</v>
      </c>
      <c r="E37" s="1837"/>
      <c r="F37" s="1837"/>
      <c r="G37" s="1837"/>
      <c r="H37" s="1838"/>
      <c r="I37" s="1836" t="s">
        <v>21</v>
      </c>
      <c r="J37" s="1837"/>
      <c r="K37" s="1837"/>
      <c r="L37" s="1837"/>
      <c r="M37" s="1838"/>
      <c r="N37" s="1839" t="s">
        <v>21</v>
      </c>
      <c r="O37" s="1840"/>
      <c r="P37" s="1840"/>
      <c r="Q37" s="1840"/>
      <c r="R37" s="1840"/>
      <c r="S37" s="1839" t="s">
        <v>21</v>
      </c>
      <c r="T37" s="1840"/>
      <c r="U37" s="1840"/>
      <c r="V37" s="1840"/>
      <c r="W37" s="1840"/>
    </row>
    <row r="38" spans="1:33" s="36" customFormat="1" ht="42">
      <c r="B38" s="1719"/>
      <c r="C38" s="1719"/>
      <c r="D38" s="938" t="s">
        <v>268</v>
      </c>
      <c r="E38" s="938" t="s">
        <v>269</v>
      </c>
      <c r="F38" s="938" t="s">
        <v>270</v>
      </c>
      <c r="G38" s="932" t="s">
        <v>555</v>
      </c>
      <c r="H38" s="938" t="s">
        <v>271</v>
      </c>
      <c r="I38" s="938" t="s">
        <v>268</v>
      </c>
      <c r="J38" s="938" t="s">
        <v>269</v>
      </c>
      <c r="K38" s="938" t="s">
        <v>270</v>
      </c>
      <c r="L38" s="932" t="s">
        <v>555</v>
      </c>
      <c r="M38" s="938" t="s">
        <v>271</v>
      </c>
      <c r="N38" s="938" t="s">
        <v>268</v>
      </c>
      <c r="O38" s="938" t="s">
        <v>269</v>
      </c>
      <c r="P38" s="938" t="s">
        <v>270</v>
      </c>
      <c r="Q38" s="932" t="s">
        <v>555</v>
      </c>
      <c r="R38" s="938" t="s">
        <v>271</v>
      </c>
      <c r="S38" s="938" t="s">
        <v>268</v>
      </c>
      <c r="T38" s="938" t="s">
        <v>269</v>
      </c>
      <c r="U38" s="938" t="s">
        <v>270</v>
      </c>
      <c r="V38" s="932" t="s">
        <v>555</v>
      </c>
      <c r="W38" s="938" t="s">
        <v>271</v>
      </c>
    </row>
    <row r="39" spans="1:33" s="6" customFormat="1" ht="28">
      <c r="B39" s="257"/>
      <c r="C39" s="257"/>
      <c r="D39" s="257" t="s">
        <v>563</v>
      </c>
      <c r="E39" s="257" t="s">
        <v>564</v>
      </c>
      <c r="F39" s="257" t="s">
        <v>565</v>
      </c>
      <c r="G39" s="257" t="s">
        <v>624</v>
      </c>
      <c r="H39" s="257" t="s">
        <v>625</v>
      </c>
      <c r="I39" s="257" t="s">
        <v>626</v>
      </c>
      <c r="J39" s="257" t="s">
        <v>627</v>
      </c>
      <c r="K39" s="257" t="s">
        <v>628</v>
      </c>
      <c r="L39" s="257" t="s">
        <v>629</v>
      </c>
      <c r="M39" s="257" t="s">
        <v>630</v>
      </c>
      <c r="N39" s="257" t="s">
        <v>631</v>
      </c>
      <c r="O39" s="257" t="s">
        <v>632</v>
      </c>
      <c r="P39" s="257" t="s">
        <v>633</v>
      </c>
      <c r="Q39" s="257" t="s">
        <v>634</v>
      </c>
      <c r="R39" s="257" t="s">
        <v>635</v>
      </c>
      <c r="S39" s="257" t="s">
        <v>1392</v>
      </c>
      <c r="T39" s="257" t="s">
        <v>1393</v>
      </c>
      <c r="U39" s="257" t="s">
        <v>1394</v>
      </c>
      <c r="V39" s="257" t="s">
        <v>1395</v>
      </c>
      <c r="W39" s="257" t="s">
        <v>1396</v>
      </c>
    </row>
    <row r="40" spans="1:33" s="418" customFormat="1">
      <c r="B40" s="464">
        <v>1</v>
      </c>
      <c r="C40" s="466" t="s">
        <v>810</v>
      </c>
      <c r="D40" s="851">
        <f>W14</f>
        <v>12.275</v>
      </c>
      <c r="E40" s="877">
        <f>'F5'!E40+'F5.1 (N)'!J16</f>
        <v>0</v>
      </c>
      <c r="F40" s="877">
        <f>'F5'!F40+'F5.1 (N)'!K16</f>
        <v>0</v>
      </c>
      <c r="G40" s="877">
        <f>'F5'!G40+'F5.1 (N)'!L16</f>
        <v>0</v>
      </c>
      <c r="H40" s="851">
        <f>D40+E40-F40-G40</f>
        <v>12.275</v>
      </c>
      <c r="I40" s="851">
        <f>H40</f>
        <v>12.275</v>
      </c>
      <c r="J40" s="877">
        <f>'F5'!J40+'F5.1 (N)'!O16</f>
        <v>0</v>
      </c>
      <c r="K40" s="877">
        <f>'F5'!K40+'F5.1 (N)'!P16</f>
        <v>0</v>
      </c>
      <c r="L40" s="877">
        <f>'F5'!L40+'F5.1 (N)'!Q16</f>
        <v>0</v>
      </c>
      <c r="M40" s="851">
        <f>I40+J40-K40-L40</f>
        <v>12.275</v>
      </c>
      <c r="N40" s="851">
        <f>M40</f>
        <v>12.275</v>
      </c>
      <c r="O40" s="877">
        <f>'F5'!O40+'F5.1 (N)'!T16</f>
        <v>0</v>
      </c>
      <c r="P40" s="877">
        <f>'F5'!P40+'F5.1 (N)'!U16</f>
        <v>0</v>
      </c>
      <c r="Q40" s="877">
        <f>'F5'!Q40+'F5.1 (N)'!V16</f>
        <v>0</v>
      </c>
      <c r="R40" s="851">
        <f>N40+O40-P40-Q40</f>
        <v>12.275</v>
      </c>
      <c r="S40" s="851">
        <f>R40</f>
        <v>12.275</v>
      </c>
      <c r="T40" s="877">
        <f>'F5'!T40+'F5.1 (N)'!Y16</f>
        <v>0</v>
      </c>
      <c r="U40" s="877">
        <f>'F5'!U40+'F5.1 (N)'!Z16</f>
        <v>0</v>
      </c>
      <c r="V40" s="877">
        <f>'F5'!V40+'F5.1 (N)'!AA16</f>
        <v>0</v>
      </c>
      <c r="W40" s="851">
        <f>S40+T40-U40-V40</f>
        <v>12.275</v>
      </c>
    </row>
    <row r="41" spans="1:33" s="418" customFormat="1">
      <c r="B41" s="464">
        <f>B40+1</f>
        <v>2</v>
      </c>
      <c r="C41" s="466" t="s">
        <v>811</v>
      </c>
      <c r="D41" s="851">
        <f t="shared" ref="D41:D56" si="8">W15</f>
        <v>321.48509353080374</v>
      </c>
      <c r="E41" s="877">
        <f>'F5'!E41+'F5.1 (N)'!J17</f>
        <v>0</v>
      </c>
      <c r="F41" s="877">
        <f>'F5'!F41+'F5.1 (N)'!K17</f>
        <v>0</v>
      </c>
      <c r="G41" s="877">
        <f>'F5'!G41+'F5.1 (N)'!L17</f>
        <v>0</v>
      </c>
      <c r="H41" s="851">
        <f t="shared" ref="H41:H56" si="9">D41+E41-F41-G41</f>
        <v>321.48509353080374</v>
      </c>
      <c r="I41" s="851">
        <f t="shared" ref="I41:I56" si="10">H41</f>
        <v>321.48509353080374</v>
      </c>
      <c r="J41" s="877">
        <f>'F5'!J41+'F5.1 (N)'!O17</f>
        <v>0</v>
      </c>
      <c r="K41" s="877">
        <f>'F5'!K41+'F5.1 (N)'!P17</f>
        <v>0</v>
      </c>
      <c r="L41" s="877">
        <f>'F5'!L41+'F5.1 (N)'!Q17</f>
        <v>0</v>
      </c>
      <c r="M41" s="851">
        <f t="shared" ref="M41:M56" si="11">I41+J41-K41-L41</f>
        <v>321.48509353080374</v>
      </c>
      <c r="N41" s="851">
        <f t="shared" ref="N41:N56" si="12">M41</f>
        <v>321.48509353080374</v>
      </c>
      <c r="O41" s="877">
        <f>'F5'!O41+'F5.1 (N)'!T17</f>
        <v>0</v>
      </c>
      <c r="P41" s="877">
        <f>'F5'!P41+'F5.1 (N)'!U17</f>
        <v>0</v>
      </c>
      <c r="Q41" s="877">
        <f>'F5'!Q41+'F5.1 (N)'!V17</f>
        <v>0</v>
      </c>
      <c r="R41" s="851">
        <f t="shared" ref="R41:R56" si="13">N41+O41-P41-Q41</f>
        <v>321.48509353080374</v>
      </c>
      <c r="S41" s="851">
        <f t="shared" ref="S41:S56" si="14">R41</f>
        <v>321.48509353080374</v>
      </c>
      <c r="T41" s="877">
        <f>'F5'!T41+'F5.1 (N)'!Y17</f>
        <v>0</v>
      </c>
      <c r="U41" s="877">
        <f>'F5'!U41+'F5.1 (N)'!Z17</f>
        <v>0</v>
      </c>
      <c r="V41" s="877">
        <f>'F5'!V41+'F5.1 (N)'!AA17</f>
        <v>0</v>
      </c>
      <c r="W41" s="851">
        <f t="shared" ref="W41:W56" si="15">S41+T41-U41-V41</f>
        <v>321.48509353080374</v>
      </c>
    </row>
    <row r="42" spans="1:33" s="11" customFormat="1">
      <c r="A42" s="418"/>
      <c r="B42" s="464">
        <f t="shared" ref="B42:B56" si="16">B41+1</f>
        <v>3</v>
      </c>
      <c r="C42" s="466" t="s">
        <v>812</v>
      </c>
      <c r="D42" s="851">
        <f t="shared" si="8"/>
        <v>10</v>
      </c>
      <c r="E42" s="877">
        <f>'F5'!E42+'F5.1 (N)'!J18</f>
        <v>0</v>
      </c>
      <c r="F42" s="877">
        <f>'F5'!F42+'F5.1 (N)'!K18</f>
        <v>0</v>
      </c>
      <c r="G42" s="877">
        <f>'F5'!G42+'F5.1 (N)'!L18</f>
        <v>0</v>
      </c>
      <c r="H42" s="851">
        <f t="shared" si="9"/>
        <v>10</v>
      </c>
      <c r="I42" s="851">
        <f t="shared" si="10"/>
        <v>10</v>
      </c>
      <c r="J42" s="877">
        <f>'F5'!J42+'F5.1 (N)'!O18</f>
        <v>0</v>
      </c>
      <c r="K42" s="877">
        <f>'F5'!K42+'F5.1 (N)'!P18</f>
        <v>0</v>
      </c>
      <c r="L42" s="877">
        <f>'F5'!L42+'F5.1 (N)'!Q18</f>
        <v>0</v>
      </c>
      <c r="M42" s="851">
        <f t="shared" si="11"/>
        <v>10</v>
      </c>
      <c r="N42" s="851">
        <f t="shared" si="12"/>
        <v>10</v>
      </c>
      <c r="O42" s="877">
        <f>'F5'!O42+'F5.1 (N)'!T18</f>
        <v>0</v>
      </c>
      <c r="P42" s="877">
        <f>'F5'!P42+'F5.1 (N)'!U18</f>
        <v>0</v>
      </c>
      <c r="Q42" s="877">
        <f>'F5'!Q42+'F5.1 (N)'!V18</f>
        <v>0</v>
      </c>
      <c r="R42" s="851">
        <f t="shared" si="13"/>
        <v>10</v>
      </c>
      <c r="S42" s="851">
        <f t="shared" si="14"/>
        <v>10</v>
      </c>
      <c r="T42" s="877">
        <f>'F5'!T42+'F5.1 (N)'!Y18</f>
        <v>0</v>
      </c>
      <c r="U42" s="877">
        <f>'F5'!U42+'F5.1 (N)'!Z18</f>
        <v>0</v>
      </c>
      <c r="V42" s="877">
        <f>'F5'!V42+'F5.1 (N)'!AA18</f>
        <v>0</v>
      </c>
      <c r="W42" s="851">
        <f t="shared" si="15"/>
        <v>10</v>
      </c>
    </row>
    <row r="43" spans="1:33" s="11" customFormat="1">
      <c r="A43" s="418"/>
      <c r="B43" s="464">
        <f t="shared" si="16"/>
        <v>4</v>
      </c>
      <c r="C43" s="466" t="s">
        <v>813</v>
      </c>
      <c r="D43" s="851">
        <f t="shared" si="8"/>
        <v>345.29</v>
      </c>
      <c r="E43" s="877">
        <f>'F5'!E43+'F5.1 (N)'!J19</f>
        <v>0</v>
      </c>
      <c r="F43" s="877">
        <f>'F5'!F43+'F5.1 (N)'!K19</f>
        <v>0</v>
      </c>
      <c r="G43" s="877">
        <f>'F5'!G43+'F5.1 (N)'!L19</f>
        <v>0</v>
      </c>
      <c r="H43" s="851">
        <f t="shared" si="9"/>
        <v>345.29</v>
      </c>
      <c r="I43" s="851">
        <f t="shared" si="10"/>
        <v>345.29</v>
      </c>
      <c r="J43" s="877">
        <f>'F5'!J43+'F5.1 (N)'!O19</f>
        <v>0</v>
      </c>
      <c r="K43" s="877">
        <f>'F5'!K43+'F5.1 (N)'!P19</f>
        <v>0</v>
      </c>
      <c r="L43" s="877">
        <f>'F5'!L43+'F5.1 (N)'!Q19</f>
        <v>0</v>
      </c>
      <c r="M43" s="851">
        <f t="shared" si="11"/>
        <v>345.29</v>
      </c>
      <c r="N43" s="851">
        <f t="shared" si="12"/>
        <v>345.29</v>
      </c>
      <c r="O43" s="877">
        <f>'F5'!O43+'F5.1 (N)'!T19</f>
        <v>0</v>
      </c>
      <c r="P43" s="877">
        <f>'F5'!P43+'F5.1 (N)'!U19</f>
        <v>0</v>
      </c>
      <c r="Q43" s="877">
        <f>'F5'!Q43+'F5.1 (N)'!V19</f>
        <v>0</v>
      </c>
      <c r="R43" s="851">
        <f t="shared" si="13"/>
        <v>345.29</v>
      </c>
      <c r="S43" s="851">
        <f t="shared" si="14"/>
        <v>345.29</v>
      </c>
      <c r="T43" s="877">
        <f>'F5'!T43+'F5.1 (N)'!Y19</f>
        <v>0</v>
      </c>
      <c r="U43" s="877">
        <f>'F5'!U43+'F5.1 (N)'!Z19</f>
        <v>0</v>
      </c>
      <c r="V43" s="877">
        <f>'F5'!V43+'F5.1 (N)'!AA19</f>
        <v>0</v>
      </c>
      <c r="W43" s="851">
        <f t="shared" si="15"/>
        <v>345.29</v>
      </c>
    </row>
    <row r="44" spans="1:33" s="11" customFormat="1">
      <c r="A44" s="418"/>
      <c r="B44" s="464">
        <f t="shared" si="16"/>
        <v>5</v>
      </c>
      <c r="C44" s="466" t="s">
        <v>814</v>
      </c>
      <c r="D44" s="851">
        <f t="shared" si="8"/>
        <v>380.9617745942798</v>
      </c>
      <c r="E44" s="877">
        <f>'F5'!E44+'F5.1 (N)'!J20</f>
        <v>0</v>
      </c>
      <c r="F44" s="877">
        <f>'F5'!F44+'F5.1 (N)'!K20</f>
        <v>0</v>
      </c>
      <c r="G44" s="877">
        <f>'F5'!G44+'F5.1 (N)'!L20</f>
        <v>0</v>
      </c>
      <c r="H44" s="851">
        <f t="shared" si="9"/>
        <v>380.9617745942798</v>
      </c>
      <c r="I44" s="851">
        <f t="shared" si="10"/>
        <v>380.9617745942798</v>
      </c>
      <c r="J44" s="877">
        <f>'F5'!J44+'F5.1 (N)'!O20</f>
        <v>0</v>
      </c>
      <c r="K44" s="877">
        <f>'F5'!K44+'F5.1 (N)'!P20</f>
        <v>0</v>
      </c>
      <c r="L44" s="877">
        <f>'F5'!L44+'F5.1 (N)'!Q20</f>
        <v>0</v>
      </c>
      <c r="M44" s="851">
        <f t="shared" si="11"/>
        <v>380.9617745942798</v>
      </c>
      <c r="N44" s="851">
        <f t="shared" si="12"/>
        <v>380.9617745942798</v>
      </c>
      <c r="O44" s="877">
        <f>'F5'!O44+'F5.1 (N)'!T20</f>
        <v>0</v>
      </c>
      <c r="P44" s="877">
        <f>'F5'!P44+'F5.1 (N)'!U20</f>
        <v>0</v>
      </c>
      <c r="Q44" s="877">
        <f>'F5'!Q44+'F5.1 (N)'!V20</f>
        <v>0</v>
      </c>
      <c r="R44" s="851">
        <f t="shared" si="13"/>
        <v>380.9617745942798</v>
      </c>
      <c r="S44" s="851">
        <f t="shared" si="14"/>
        <v>380.9617745942798</v>
      </c>
      <c r="T44" s="877">
        <f>'F5'!T44+'F5.1 (N)'!Y20</f>
        <v>0</v>
      </c>
      <c r="U44" s="877">
        <f>'F5'!U44+'F5.1 (N)'!Z20</f>
        <v>0</v>
      </c>
      <c r="V44" s="877">
        <f>'F5'!V44+'F5.1 (N)'!AA20</f>
        <v>0</v>
      </c>
      <c r="W44" s="851">
        <f t="shared" si="15"/>
        <v>380.9617745942798</v>
      </c>
    </row>
    <row r="45" spans="1:33" s="11" customFormat="1">
      <c r="A45" s="418"/>
      <c r="B45" s="464">
        <f t="shared" si="16"/>
        <v>6</v>
      </c>
      <c r="C45" s="466" t="s">
        <v>256</v>
      </c>
      <c r="D45" s="851">
        <f t="shared" si="8"/>
        <v>5720.2616891786529</v>
      </c>
      <c r="E45" s="877">
        <f>'F5'!E45+'F5.1 (N)'!J21</f>
        <v>275.39500000000004</v>
      </c>
      <c r="F45" s="877">
        <f>'F5'!F45+'F5.1 (N)'!K21</f>
        <v>0</v>
      </c>
      <c r="G45" s="877">
        <f>'F5'!G45+'F5.1 (N)'!L21</f>
        <v>0</v>
      </c>
      <c r="H45" s="851">
        <f t="shared" si="9"/>
        <v>5995.6566891786533</v>
      </c>
      <c r="I45" s="851">
        <f t="shared" si="10"/>
        <v>5995.6566891786533</v>
      </c>
      <c r="J45" s="877">
        <f>'F5'!J45+'F5.1 (N)'!O21</f>
        <v>115.11799999999999</v>
      </c>
      <c r="K45" s="877">
        <f>'F5'!K45+'F5.1 (N)'!P21</f>
        <v>0</v>
      </c>
      <c r="L45" s="877">
        <f>'F5'!L45+'F5.1 (N)'!Q21</f>
        <v>0</v>
      </c>
      <c r="M45" s="851">
        <f t="shared" si="11"/>
        <v>6110.7746891786537</v>
      </c>
      <c r="N45" s="851">
        <f t="shared" si="12"/>
        <v>6110.7746891786537</v>
      </c>
      <c r="O45" s="877">
        <f>'F5'!O45+'F5.1 (N)'!T21</f>
        <v>171.33333333333331</v>
      </c>
      <c r="P45" s="877">
        <f>'F5'!P45+'F5.1 (N)'!U21</f>
        <v>0</v>
      </c>
      <c r="Q45" s="877">
        <f>'F5'!Q45+'F5.1 (N)'!V21</f>
        <v>0</v>
      </c>
      <c r="R45" s="851">
        <f t="shared" si="13"/>
        <v>6282.1080225119867</v>
      </c>
      <c r="S45" s="851">
        <f t="shared" si="14"/>
        <v>6282.1080225119867</v>
      </c>
      <c r="T45" s="877">
        <f>'F5'!T45+'F5.1 (N)'!Y21</f>
        <v>145</v>
      </c>
      <c r="U45" s="877">
        <f>'F5'!U45+'F5.1 (N)'!Z21</f>
        <v>0</v>
      </c>
      <c r="V45" s="877">
        <f>'F5'!V45+'F5.1 (N)'!AA21</f>
        <v>0</v>
      </c>
      <c r="W45" s="851">
        <f t="shared" si="15"/>
        <v>6427.1080225119867</v>
      </c>
    </row>
    <row r="46" spans="1:33" s="11" customFormat="1">
      <c r="A46" s="418"/>
      <c r="B46" s="464">
        <f t="shared" si="16"/>
        <v>7</v>
      </c>
      <c r="C46" s="466" t="s">
        <v>815</v>
      </c>
      <c r="D46" s="851">
        <f t="shared" si="8"/>
        <v>4.9693332146388194</v>
      </c>
      <c r="E46" s="877">
        <f>'F5'!E46+'F5.1 (N)'!J22</f>
        <v>0</v>
      </c>
      <c r="F46" s="877">
        <f>'F5'!F46+'F5.1 (N)'!K22</f>
        <v>0</v>
      </c>
      <c r="G46" s="877">
        <f>'F5'!G46+'F5.1 (N)'!L22</f>
        <v>0</v>
      </c>
      <c r="H46" s="851">
        <f t="shared" si="9"/>
        <v>4.9693332146388194</v>
      </c>
      <c r="I46" s="851">
        <f t="shared" si="10"/>
        <v>4.9693332146388194</v>
      </c>
      <c r="J46" s="877">
        <f>'F5'!J46+'F5.1 (N)'!O22</f>
        <v>0</v>
      </c>
      <c r="K46" s="877">
        <f>'F5'!K46+'F5.1 (N)'!P22</f>
        <v>0</v>
      </c>
      <c r="L46" s="877">
        <f>'F5'!L46+'F5.1 (N)'!Q22</f>
        <v>0</v>
      </c>
      <c r="M46" s="851">
        <f t="shared" si="11"/>
        <v>4.9693332146388194</v>
      </c>
      <c r="N46" s="851">
        <f t="shared" si="12"/>
        <v>4.9693332146388194</v>
      </c>
      <c r="O46" s="877">
        <f>'F5'!O46+'F5.1 (N)'!T22</f>
        <v>0</v>
      </c>
      <c r="P46" s="877">
        <f>'F5'!P46+'F5.1 (N)'!U22</f>
        <v>0</v>
      </c>
      <c r="Q46" s="877">
        <f>'F5'!Q46+'F5.1 (N)'!V22</f>
        <v>0</v>
      </c>
      <c r="R46" s="851">
        <f t="shared" si="13"/>
        <v>4.9693332146388194</v>
      </c>
      <c r="S46" s="851">
        <f t="shared" si="14"/>
        <v>4.9693332146388194</v>
      </c>
      <c r="T46" s="877">
        <f>'F5'!T46+'F5.1 (N)'!Y22</f>
        <v>0</v>
      </c>
      <c r="U46" s="877">
        <f>'F5'!U46+'F5.1 (N)'!Z22</f>
        <v>0</v>
      </c>
      <c r="V46" s="877">
        <f>'F5'!V46+'F5.1 (N)'!AA22</f>
        <v>0</v>
      </c>
      <c r="W46" s="851">
        <f t="shared" si="15"/>
        <v>4.9693332146388194</v>
      </c>
    </row>
    <row r="47" spans="1:33" s="11" customFormat="1">
      <c r="A47" s="418"/>
      <c r="B47" s="464">
        <f t="shared" si="16"/>
        <v>8</v>
      </c>
      <c r="C47" s="466" t="s">
        <v>816</v>
      </c>
      <c r="D47" s="851">
        <f t="shared" si="8"/>
        <v>0.10170083185564693</v>
      </c>
      <c r="E47" s="877">
        <f>'F5'!E47+'F5.1 (N)'!J23</f>
        <v>0</v>
      </c>
      <c r="F47" s="877">
        <f>'F5'!F47+'F5.1 (N)'!K23</f>
        <v>0</v>
      </c>
      <c r="G47" s="877">
        <f>'F5'!G47+'F5.1 (N)'!L23</f>
        <v>0</v>
      </c>
      <c r="H47" s="851">
        <f t="shared" si="9"/>
        <v>0.10170083185564693</v>
      </c>
      <c r="I47" s="851">
        <f t="shared" si="10"/>
        <v>0.10170083185564693</v>
      </c>
      <c r="J47" s="877">
        <f>'F5'!J47+'F5.1 (N)'!O23</f>
        <v>0</v>
      </c>
      <c r="K47" s="877">
        <f>'F5'!K47+'F5.1 (N)'!P23</f>
        <v>0</v>
      </c>
      <c r="L47" s="877">
        <f>'F5'!L47+'F5.1 (N)'!Q23</f>
        <v>0</v>
      </c>
      <c r="M47" s="851">
        <f t="shared" si="11"/>
        <v>0.10170083185564693</v>
      </c>
      <c r="N47" s="851">
        <f t="shared" si="12"/>
        <v>0.10170083185564693</v>
      </c>
      <c r="O47" s="877">
        <f>'F5'!O47+'F5.1 (N)'!T23</f>
        <v>0</v>
      </c>
      <c r="P47" s="877">
        <f>'F5'!P47+'F5.1 (N)'!U23</f>
        <v>0</v>
      </c>
      <c r="Q47" s="877">
        <f>'F5'!Q47+'F5.1 (N)'!V23</f>
        <v>0</v>
      </c>
      <c r="R47" s="851">
        <f t="shared" si="13"/>
        <v>0.10170083185564693</v>
      </c>
      <c r="S47" s="851">
        <f t="shared" si="14"/>
        <v>0.10170083185564693</v>
      </c>
      <c r="T47" s="877">
        <f>'F5'!T47+'F5.1 (N)'!Y23</f>
        <v>0</v>
      </c>
      <c r="U47" s="877">
        <f>'F5'!U47+'F5.1 (N)'!Z23</f>
        <v>0</v>
      </c>
      <c r="V47" s="877">
        <f>'F5'!V47+'F5.1 (N)'!AA23</f>
        <v>0</v>
      </c>
      <c r="W47" s="851">
        <f t="shared" si="15"/>
        <v>0.10170083185564693</v>
      </c>
    </row>
    <row r="48" spans="1:33" s="11" customFormat="1">
      <c r="A48" s="418"/>
      <c r="B48" s="464">
        <f t="shared" si="16"/>
        <v>9</v>
      </c>
      <c r="C48" s="466" t="s">
        <v>817</v>
      </c>
      <c r="D48" s="851">
        <f t="shared" si="8"/>
        <v>48.46</v>
      </c>
      <c r="E48" s="877">
        <f>'F5'!E48+'F5.1 (N)'!J24</f>
        <v>0</v>
      </c>
      <c r="F48" s="877">
        <f>'F5'!F48+'F5.1 (N)'!K24</f>
        <v>0</v>
      </c>
      <c r="G48" s="877">
        <f>'F5'!G48+'F5.1 (N)'!L24</f>
        <v>0</v>
      </c>
      <c r="H48" s="851">
        <f t="shared" si="9"/>
        <v>48.46</v>
      </c>
      <c r="I48" s="851">
        <f t="shared" si="10"/>
        <v>48.46</v>
      </c>
      <c r="J48" s="877">
        <f>'F5'!J48+'F5.1 (N)'!O24</f>
        <v>0</v>
      </c>
      <c r="K48" s="877">
        <f>'F5'!K48+'F5.1 (N)'!P24</f>
        <v>0</v>
      </c>
      <c r="L48" s="877">
        <f>'F5'!L48+'F5.1 (N)'!Q24</f>
        <v>0</v>
      </c>
      <c r="M48" s="851">
        <f t="shared" si="11"/>
        <v>48.46</v>
      </c>
      <c r="N48" s="851">
        <f t="shared" si="12"/>
        <v>48.46</v>
      </c>
      <c r="O48" s="877">
        <f>'F5'!O48+'F5.1 (N)'!T24</f>
        <v>0</v>
      </c>
      <c r="P48" s="877">
        <f>'F5'!P48+'F5.1 (N)'!U24</f>
        <v>0</v>
      </c>
      <c r="Q48" s="877">
        <f>'F5'!Q48+'F5.1 (N)'!V24</f>
        <v>0</v>
      </c>
      <c r="R48" s="851">
        <f t="shared" si="13"/>
        <v>48.46</v>
      </c>
      <c r="S48" s="851">
        <f t="shared" si="14"/>
        <v>48.46</v>
      </c>
      <c r="T48" s="877">
        <f>'F5'!T48+'F5.1 (N)'!Y24</f>
        <v>0</v>
      </c>
      <c r="U48" s="877">
        <f>'F5'!U48+'F5.1 (N)'!Z24</f>
        <v>0</v>
      </c>
      <c r="V48" s="877">
        <f>'F5'!V48+'F5.1 (N)'!AA24</f>
        <v>0</v>
      </c>
      <c r="W48" s="851">
        <f t="shared" si="15"/>
        <v>48.46</v>
      </c>
    </row>
    <row r="49" spans="1:23" s="11" customFormat="1">
      <c r="A49" s="418"/>
      <c r="B49" s="464">
        <f t="shared" si="16"/>
        <v>10</v>
      </c>
      <c r="C49" s="466" t="s">
        <v>259</v>
      </c>
      <c r="D49" s="851">
        <f t="shared" si="8"/>
        <v>5.501100336174451</v>
      </c>
      <c r="E49" s="877">
        <f>'F5'!E49+'F5.1 (N)'!J25</f>
        <v>1.8374999999999999</v>
      </c>
      <c r="F49" s="877">
        <f>'F5'!F49+'F5.1 (N)'!K25</f>
        <v>0</v>
      </c>
      <c r="G49" s="877">
        <f>'F5'!G49+'F5.1 (N)'!L25</f>
        <v>0</v>
      </c>
      <c r="H49" s="851">
        <f t="shared" si="9"/>
        <v>7.3386003361744514</v>
      </c>
      <c r="I49" s="851">
        <f t="shared" si="10"/>
        <v>7.3386003361744514</v>
      </c>
      <c r="J49" s="877">
        <f>'F5'!J49+'F5.1 (N)'!O25</f>
        <v>6.84</v>
      </c>
      <c r="K49" s="877">
        <f>'F5'!K49+'F5.1 (N)'!P25</f>
        <v>0</v>
      </c>
      <c r="L49" s="877">
        <f>'F5'!L49+'F5.1 (N)'!Q25</f>
        <v>0</v>
      </c>
      <c r="M49" s="851">
        <f t="shared" si="11"/>
        <v>14.178600336174451</v>
      </c>
      <c r="N49" s="851">
        <f t="shared" si="12"/>
        <v>14.178600336174451</v>
      </c>
      <c r="O49" s="877">
        <f>'F5'!O49+'F5.1 (N)'!T25</f>
        <v>0</v>
      </c>
      <c r="P49" s="877">
        <f>'F5'!P49+'F5.1 (N)'!U25</f>
        <v>0</v>
      </c>
      <c r="Q49" s="877">
        <f>'F5'!Q49+'F5.1 (N)'!V25</f>
        <v>0</v>
      </c>
      <c r="R49" s="851">
        <f t="shared" si="13"/>
        <v>14.178600336174451</v>
      </c>
      <c r="S49" s="851">
        <f t="shared" si="14"/>
        <v>14.178600336174451</v>
      </c>
      <c r="T49" s="877">
        <f>'F5'!T49+'F5.1 (N)'!Y25</f>
        <v>0</v>
      </c>
      <c r="U49" s="877">
        <f>'F5'!U49+'F5.1 (N)'!Z25</f>
        <v>0</v>
      </c>
      <c r="V49" s="877">
        <f>'F5'!V49+'F5.1 (N)'!AA25</f>
        <v>0</v>
      </c>
      <c r="W49" s="851">
        <f t="shared" si="15"/>
        <v>14.178600336174451</v>
      </c>
    </row>
    <row r="50" spans="1:23" s="11" customFormat="1">
      <c r="A50" s="418"/>
      <c r="B50" s="464">
        <f t="shared" si="16"/>
        <v>11</v>
      </c>
      <c r="C50" s="466" t="s">
        <v>260</v>
      </c>
      <c r="D50" s="851">
        <f t="shared" si="8"/>
        <v>3.0370880727632827</v>
      </c>
      <c r="E50" s="877">
        <f>'F5'!E50+'F5.1 (N)'!J26</f>
        <v>0</v>
      </c>
      <c r="F50" s="877">
        <f>'F5'!F50+'F5.1 (N)'!K26</f>
        <v>0</v>
      </c>
      <c r="G50" s="877">
        <f>'F5'!G50+'F5.1 (N)'!L26</f>
        <v>0</v>
      </c>
      <c r="H50" s="851">
        <f t="shared" si="9"/>
        <v>3.0370880727632827</v>
      </c>
      <c r="I50" s="851">
        <f t="shared" si="10"/>
        <v>3.0370880727632827</v>
      </c>
      <c r="J50" s="877">
        <f>'F5'!J50+'F5.1 (N)'!O26</f>
        <v>0</v>
      </c>
      <c r="K50" s="877">
        <f>'F5'!K50+'F5.1 (N)'!P26</f>
        <v>0</v>
      </c>
      <c r="L50" s="877">
        <f>'F5'!L50+'F5.1 (N)'!Q26</f>
        <v>0</v>
      </c>
      <c r="M50" s="851">
        <f t="shared" si="11"/>
        <v>3.0370880727632827</v>
      </c>
      <c r="N50" s="851">
        <f t="shared" si="12"/>
        <v>3.0370880727632827</v>
      </c>
      <c r="O50" s="877">
        <f>'F5'!O50+'F5.1 (N)'!T26</f>
        <v>0</v>
      </c>
      <c r="P50" s="877">
        <f>'F5'!P50+'F5.1 (N)'!U26</f>
        <v>0</v>
      </c>
      <c r="Q50" s="877">
        <f>'F5'!Q50+'F5.1 (N)'!V26</f>
        <v>0</v>
      </c>
      <c r="R50" s="851">
        <f t="shared" si="13"/>
        <v>3.0370880727632827</v>
      </c>
      <c r="S50" s="851">
        <f t="shared" si="14"/>
        <v>3.0370880727632827</v>
      </c>
      <c r="T50" s="877">
        <f>'F5'!T50+'F5.1 (N)'!Y26</f>
        <v>0</v>
      </c>
      <c r="U50" s="877">
        <f>'F5'!U50+'F5.1 (N)'!Z26</f>
        <v>0</v>
      </c>
      <c r="V50" s="877">
        <f>'F5'!V50+'F5.1 (N)'!AA26</f>
        <v>0</v>
      </c>
      <c r="W50" s="851">
        <f t="shared" si="15"/>
        <v>3.0370880727632827</v>
      </c>
    </row>
    <row r="51" spans="1:23" s="2" customFormat="1">
      <c r="A51" s="418"/>
      <c r="B51" s="464">
        <f t="shared" si="16"/>
        <v>12</v>
      </c>
      <c r="C51" s="466" t="s">
        <v>261</v>
      </c>
      <c r="D51" s="851">
        <f t="shared" si="8"/>
        <v>1.0908373254655983</v>
      </c>
      <c r="E51" s="877">
        <f>'F5'!E51+'F5.1 (N)'!J27</f>
        <v>0</v>
      </c>
      <c r="F51" s="877">
        <f>'F5'!F51+'F5.1 (N)'!K27</f>
        <v>0</v>
      </c>
      <c r="G51" s="877">
        <f>'F5'!G51+'F5.1 (N)'!L27</f>
        <v>0</v>
      </c>
      <c r="H51" s="851">
        <f t="shared" si="9"/>
        <v>1.0908373254655983</v>
      </c>
      <c r="I51" s="851">
        <f t="shared" si="10"/>
        <v>1.0908373254655983</v>
      </c>
      <c r="J51" s="877">
        <f>'F5'!J51+'F5.1 (N)'!O27</f>
        <v>0</v>
      </c>
      <c r="K51" s="877">
        <f>'F5'!K51+'F5.1 (N)'!P27</f>
        <v>0</v>
      </c>
      <c r="L51" s="877">
        <f>'F5'!L51+'F5.1 (N)'!Q27</f>
        <v>0</v>
      </c>
      <c r="M51" s="851">
        <f t="shared" si="11"/>
        <v>1.0908373254655983</v>
      </c>
      <c r="N51" s="851">
        <f t="shared" si="12"/>
        <v>1.0908373254655983</v>
      </c>
      <c r="O51" s="877">
        <f>'F5'!O51+'F5.1 (N)'!T27</f>
        <v>0</v>
      </c>
      <c r="P51" s="877">
        <f>'F5'!P51+'F5.1 (N)'!U27</f>
        <v>0</v>
      </c>
      <c r="Q51" s="877">
        <f>'F5'!Q51+'F5.1 (N)'!V27</f>
        <v>0</v>
      </c>
      <c r="R51" s="851">
        <f t="shared" si="13"/>
        <v>1.0908373254655983</v>
      </c>
      <c r="S51" s="851">
        <f t="shared" si="14"/>
        <v>1.0908373254655983</v>
      </c>
      <c r="T51" s="877">
        <f>'F5'!T51+'F5.1 (N)'!Y27</f>
        <v>0</v>
      </c>
      <c r="U51" s="877">
        <f>'F5'!U51+'F5.1 (N)'!Z27</f>
        <v>0</v>
      </c>
      <c r="V51" s="877">
        <f>'F5'!V51+'F5.1 (N)'!AA27</f>
        <v>0</v>
      </c>
      <c r="W51" s="851">
        <f t="shared" si="15"/>
        <v>1.0908373254655983</v>
      </c>
    </row>
    <row r="52" spans="1:23" s="2" customFormat="1">
      <c r="A52" s="418"/>
      <c r="B52" s="464">
        <f t="shared" si="16"/>
        <v>13</v>
      </c>
      <c r="C52" s="466" t="s">
        <v>865</v>
      </c>
      <c r="D52" s="851">
        <f t="shared" si="8"/>
        <v>0</v>
      </c>
      <c r="E52" s="877">
        <f>'F5'!E52+'F5.1 (N)'!J28</f>
        <v>0</v>
      </c>
      <c r="F52" s="877">
        <f>'F5'!F52+'F5.1 (N)'!K28</f>
        <v>0</v>
      </c>
      <c r="G52" s="877">
        <f>'F5'!G52+'F5.1 (N)'!L28</f>
        <v>0</v>
      </c>
      <c r="H52" s="851">
        <f t="shared" si="9"/>
        <v>0</v>
      </c>
      <c r="I52" s="851">
        <f t="shared" si="10"/>
        <v>0</v>
      </c>
      <c r="J52" s="877">
        <f>'F5'!J52+'F5.1 (N)'!O28</f>
        <v>0</v>
      </c>
      <c r="K52" s="877">
        <f>'F5'!K52+'F5.1 (N)'!P28</f>
        <v>0</v>
      </c>
      <c r="L52" s="877">
        <f>'F5'!L52+'F5.1 (N)'!Q28</f>
        <v>0</v>
      </c>
      <c r="M52" s="851">
        <f t="shared" si="11"/>
        <v>0</v>
      </c>
      <c r="N52" s="851">
        <f t="shared" si="12"/>
        <v>0</v>
      </c>
      <c r="O52" s="877">
        <f>'F5'!O52+'F5.1 (N)'!T28</f>
        <v>0</v>
      </c>
      <c r="P52" s="877">
        <f>'F5'!P52+'F5.1 (N)'!U28</f>
        <v>0</v>
      </c>
      <c r="Q52" s="877">
        <f>'F5'!Q52+'F5.1 (N)'!V28</f>
        <v>0</v>
      </c>
      <c r="R52" s="851">
        <f t="shared" si="13"/>
        <v>0</v>
      </c>
      <c r="S52" s="851">
        <f t="shared" si="14"/>
        <v>0</v>
      </c>
      <c r="T52" s="877">
        <f>'F5'!T52+'F5.1 (N)'!Y28</f>
        <v>0</v>
      </c>
      <c r="U52" s="877">
        <f>'F5'!U52+'F5.1 (N)'!Z28</f>
        <v>0</v>
      </c>
      <c r="V52" s="877">
        <f>'F5'!V52+'F5.1 (N)'!AA28</f>
        <v>0</v>
      </c>
      <c r="W52" s="851">
        <f t="shared" si="15"/>
        <v>0</v>
      </c>
    </row>
    <row r="53" spans="1:23" s="2" customFormat="1">
      <c r="A53" s="418"/>
      <c r="B53" s="464">
        <f t="shared" si="16"/>
        <v>14</v>
      </c>
      <c r="C53" s="466" t="s">
        <v>866</v>
      </c>
      <c r="D53" s="851">
        <f t="shared" si="8"/>
        <v>2.5315879999999458E-3</v>
      </c>
      <c r="E53" s="877">
        <f>'F5'!E53+'F5.1 (N)'!J29</f>
        <v>0</v>
      </c>
      <c r="F53" s="877">
        <f>'F5'!F53+'F5.1 (N)'!K29</f>
        <v>0</v>
      </c>
      <c r="G53" s="877">
        <f>'F5'!G53+'F5.1 (N)'!L29</f>
        <v>0</v>
      </c>
      <c r="H53" s="851">
        <f t="shared" si="9"/>
        <v>2.5315879999999458E-3</v>
      </c>
      <c r="I53" s="851">
        <f t="shared" si="10"/>
        <v>2.5315879999999458E-3</v>
      </c>
      <c r="J53" s="877">
        <f>'F5'!J53+'F5.1 (N)'!O29</f>
        <v>0</v>
      </c>
      <c r="K53" s="877">
        <f>'F5'!K53+'F5.1 (N)'!P29</f>
        <v>0</v>
      </c>
      <c r="L53" s="877">
        <f>'F5'!L53+'F5.1 (N)'!Q29</f>
        <v>0</v>
      </c>
      <c r="M53" s="851">
        <f t="shared" si="11"/>
        <v>2.5315879999999458E-3</v>
      </c>
      <c r="N53" s="851">
        <f t="shared" si="12"/>
        <v>2.5315879999999458E-3</v>
      </c>
      <c r="O53" s="877">
        <f>'F5'!O53+'F5.1 (N)'!T29</f>
        <v>0</v>
      </c>
      <c r="P53" s="877">
        <f>'F5'!P53+'F5.1 (N)'!U29</f>
        <v>0</v>
      </c>
      <c r="Q53" s="877">
        <f>'F5'!Q53+'F5.1 (N)'!V29</f>
        <v>0</v>
      </c>
      <c r="R53" s="851">
        <f t="shared" si="13"/>
        <v>2.5315879999999458E-3</v>
      </c>
      <c r="S53" s="851">
        <f t="shared" si="14"/>
        <v>2.5315879999999458E-3</v>
      </c>
      <c r="T53" s="877">
        <f>'F5'!T53+'F5.1 (N)'!Y29</f>
        <v>0</v>
      </c>
      <c r="U53" s="877">
        <f>'F5'!U53+'F5.1 (N)'!Z29</f>
        <v>0</v>
      </c>
      <c r="V53" s="877">
        <f>'F5'!V53+'F5.1 (N)'!AA29</f>
        <v>0</v>
      </c>
      <c r="W53" s="851">
        <f t="shared" si="15"/>
        <v>2.5315879999999458E-3</v>
      </c>
    </row>
    <row r="54" spans="1:23" s="2" customFormat="1">
      <c r="A54" s="418"/>
      <c r="B54" s="464">
        <f t="shared" si="16"/>
        <v>15</v>
      </c>
      <c r="C54" s="466" t="s">
        <v>867</v>
      </c>
      <c r="D54" s="851">
        <f t="shared" si="8"/>
        <v>0</v>
      </c>
      <c r="E54" s="877">
        <f>'F5'!E54+'F5.1 (N)'!J30</f>
        <v>0</v>
      </c>
      <c r="F54" s="877">
        <f>'F5'!F54+'F5.1 (N)'!K30</f>
        <v>0</v>
      </c>
      <c r="G54" s="877">
        <f>'F5'!G54+'F5.1 (N)'!L30</f>
        <v>0</v>
      </c>
      <c r="H54" s="851">
        <f t="shared" si="9"/>
        <v>0</v>
      </c>
      <c r="I54" s="851">
        <f t="shared" si="10"/>
        <v>0</v>
      </c>
      <c r="J54" s="877">
        <f>'F5'!J54+'F5.1 (N)'!O30</f>
        <v>0</v>
      </c>
      <c r="K54" s="877">
        <f>'F5'!K54+'F5.1 (N)'!P30</f>
        <v>0</v>
      </c>
      <c r="L54" s="877">
        <f>'F5'!L54+'F5.1 (N)'!Q30</f>
        <v>0</v>
      </c>
      <c r="M54" s="851">
        <f t="shared" si="11"/>
        <v>0</v>
      </c>
      <c r="N54" s="851">
        <f t="shared" si="12"/>
        <v>0</v>
      </c>
      <c r="O54" s="877">
        <f>'F5'!O54+'F5.1 (N)'!T30</f>
        <v>0</v>
      </c>
      <c r="P54" s="877">
        <f>'F5'!P54+'F5.1 (N)'!U30</f>
        <v>0</v>
      </c>
      <c r="Q54" s="877">
        <f>'F5'!Q54+'F5.1 (N)'!V30</f>
        <v>0</v>
      </c>
      <c r="R54" s="851">
        <f t="shared" si="13"/>
        <v>0</v>
      </c>
      <c r="S54" s="851">
        <f t="shared" si="14"/>
        <v>0</v>
      </c>
      <c r="T54" s="877">
        <f>'F5'!T54+'F5.1 (N)'!Y30</f>
        <v>0</v>
      </c>
      <c r="U54" s="877">
        <f>'F5'!U54+'F5.1 (N)'!Z30</f>
        <v>0</v>
      </c>
      <c r="V54" s="877">
        <f>'F5'!V54+'F5.1 (N)'!AA30</f>
        <v>0</v>
      </c>
      <c r="W54" s="851">
        <f t="shared" si="15"/>
        <v>0</v>
      </c>
    </row>
    <row r="55" spans="1:23" s="2" customFormat="1">
      <c r="A55" s="418"/>
      <c r="B55" s="464">
        <f t="shared" si="16"/>
        <v>16</v>
      </c>
      <c r="C55" s="466" t="s">
        <v>818</v>
      </c>
      <c r="D55" s="851">
        <f t="shared" si="8"/>
        <v>0</v>
      </c>
      <c r="E55" s="877">
        <f>'F5'!E55+'F5.1 (N)'!J31</f>
        <v>0</v>
      </c>
      <c r="F55" s="877">
        <f>'F5'!F55+'F5.1 (N)'!K31</f>
        <v>0</v>
      </c>
      <c r="G55" s="877">
        <f>'F5'!G55+'F5.1 (N)'!L31</f>
        <v>0</v>
      </c>
      <c r="H55" s="851">
        <f t="shared" si="9"/>
        <v>0</v>
      </c>
      <c r="I55" s="851">
        <f t="shared" si="10"/>
        <v>0</v>
      </c>
      <c r="J55" s="877">
        <f>'F5'!J55+'F5.1 (N)'!O31</f>
        <v>0</v>
      </c>
      <c r="K55" s="877">
        <f>'F5'!K55+'F5.1 (N)'!P31</f>
        <v>0</v>
      </c>
      <c r="L55" s="877">
        <f>'F5'!L55+'F5.1 (N)'!Q31</f>
        <v>0</v>
      </c>
      <c r="M55" s="851">
        <f t="shared" si="11"/>
        <v>0</v>
      </c>
      <c r="N55" s="851">
        <f t="shared" si="12"/>
        <v>0</v>
      </c>
      <c r="O55" s="877">
        <f>'F5'!O55+'F5.1 (N)'!T31</f>
        <v>0</v>
      </c>
      <c r="P55" s="877">
        <f>'F5'!P55+'F5.1 (N)'!U31</f>
        <v>0</v>
      </c>
      <c r="Q55" s="877">
        <f>'F5'!Q55+'F5.1 (N)'!V31</f>
        <v>0</v>
      </c>
      <c r="R55" s="851">
        <f t="shared" si="13"/>
        <v>0</v>
      </c>
      <c r="S55" s="851">
        <f t="shared" si="14"/>
        <v>0</v>
      </c>
      <c r="T55" s="877">
        <f>'F5'!T55+'F5.1 (N)'!Y31</f>
        <v>0</v>
      </c>
      <c r="U55" s="877">
        <f>'F5'!U55+'F5.1 (N)'!Z31</f>
        <v>0</v>
      </c>
      <c r="V55" s="877">
        <f>'F5'!V55+'F5.1 (N)'!AA31</f>
        <v>0</v>
      </c>
      <c r="W55" s="851">
        <f t="shared" si="15"/>
        <v>0</v>
      </c>
    </row>
    <row r="56" spans="1:23" s="2" customFormat="1">
      <c r="A56" s="418"/>
      <c r="B56" s="464">
        <f t="shared" si="16"/>
        <v>17</v>
      </c>
      <c r="C56" s="466" t="s">
        <v>868</v>
      </c>
      <c r="D56" s="851">
        <f t="shared" si="8"/>
        <v>0</v>
      </c>
      <c r="E56" s="877">
        <f>'F5'!E56+'F5.1 (N)'!J32</f>
        <v>0</v>
      </c>
      <c r="F56" s="877">
        <f>'F5'!F56+'F5.1 (N)'!K32</f>
        <v>0</v>
      </c>
      <c r="G56" s="877">
        <f>'F5'!G56+'F5.1 (N)'!L32</f>
        <v>0</v>
      </c>
      <c r="H56" s="851">
        <f t="shared" si="9"/>
        <v>0</v>
      </c>
      <c r="I56" s="851">
        <f t="shared" si="10"/>
        <v>0</v>
      </c>
      <c r="J56" s="877">
        <f>'F5'!J56+'F5.1 (N)'!O32</f>
        <v>0</v>
      </c>
      <c r="K56" s="877">
        <f>'F5'!K56+'F5.1 (N)'!P32</f>
        <v>0</v>
      </c>
      <c r="L56" s="877">
        <f>'F5'!L56+'F5.1 (N)'!Q32</f>
        <v>0</v>
      </c>
      <c r="M56" s="851">
        <f t="shared" si="11"/>
        <v>0</v>
      </c>
      <c r="N56" s="851">
        <f t="shared" si="12"/>
        <v>0</v>
      </c>
      <c r="O56" s="877">
        <f>'F5'!O56+'F5.1 (N)'!T32</f>
        <v>0</v>
      </c>
      <c r="P56" s="877">
        <f>'F5'!P56+'F5.1 (N)'!U32</f>
        <v>0</v>
      </c>
      <c r="Q56" s="877">
        <f>'F5'!Q56+'F5.1 (N)'!V32</f>
        <v>0</v>
      </c>
      <c r="R56" s="851">
        <f t="shared" si="13"/>
        <v>0</v>
      </c>
      <c r="S56" s="851">
        <f t="shared" si="14"/>
        <v>0</v>
      </c>
      <c r="T56" s="877">
        <f>'F5'!T56+'F5.1 (N)'!Y32</f>
        <v>0</v>
      </c>
      <c r="U56" s="877">
        <f>'F5'!U56+'F5.1 (N)'!Z32</f>
        <v>0</v>
      </c>
      <c r="V56" s="877">
        <f>'F5'!V56+'F5.1 (N)'!AA32</f>
        <v>0</v>
      </c>
      <c r="W56" s="851">
        <f t="shared" si="15"/>
        <v>0</v>
      </c>
    </row>
    <row r="57" spans="1:23" s="1" customFormat="1" ht="16">
      <c r="B57" s="83"/>
      <c r="C57" s="97" t="s">
        <v>272</v>
      </c>
      <c r="D57" s="888">
        <f>SUM(D40:D56)</f>
        <v>6853.4361486726339</v>
      </c>
      <c r="E57" s="888">
        <f>SUM(E40:E56)</f>
        <v>277.23250000000002</v>
      </c>
      <c r="F57" s="888">
        <f>SUM(F40:F56)</f>
        <v>0</v>
      </c>
      <c r="G57" s="888">
        <f>SUM(G40:G56)</f>
        <v>0</v>
      </c>
      <c r="H57" s="888">
        <f>SUM(H40:H56)</f>
        <v>7130.6686486726348</v>
      </c>
      <c r="I57" s="888">
        <f t="shared" ref="I57:W57" si="17">SUM(I40:I56)</f>
        <v>7130.6686486726348</v>
      </c>
      <c r="J57" s="888">
        <f t="shared" si="17"/>
        <v>121.958</v>
      </c>
      <c r="K57" s="888">
        <f t="shared" si="17"/>
        <v>0</v>
      </c>
      <c r="L57" s="888">
        <f t="shared" si="17"/>
        <v>0</v>
      </c>
      <c r="M57" s="888">
        <f t="shared" si="17"/>
        <v>7252.6266486726354</v>
      </c>
      <c r="N57" s="888">
        <f t="shared" si="17"/>
        <v>7252.6266486726354</v>
      </c>
      <c r="O57" s="888">
        <f t="shared" si="17"/>
        <v>171.33333333333331</v>
      </c>
      <c r="P57" s="888">
        <f t="shared" si="17"/>
        <v>0</v>
      </c>
      <c r="Q57" s="888">
        <f t="shared" si="17"/>
        <v>0</v>
      </c>
      <c r="R57" s="888">
        <f t="shared" si="17"/>
        <v>7423.9599820059684</v>
      </c>
      <c r="S57" s="888">
        <f t="shared" si="17"/>
        <v>7423.9599820059684</v>
      </c>
      <c r="T57" s="888">
        <f t="shared" si="17"/>
        <v>145</v>
      </c>
      <c r="U57" s="888">
        <f t="shared" si="17"/>
        <v>0</v>
      </c>
      <c r="V57" s="888">
        <f t="shared" si="17"/>
        <v>0</v>
      </c>
      <c r="W57" s="888">
        <f t="shared" si="17"/>
        <v>7568.9599820059684</v>
      </c>
    </row>
    <row r="58" spans="1:23" s="1" customFormat="1" ht="16">
      <c r="B58" s="259"/>
      <c r="C58" s="259"/>
      <c r="D58" s="259"/>
      <c r="E58" s="259"/>
      <c r="F58" s="259"/>
      <c r="G58" s="259"/>
      <c r="H58" s="259"/>
      <c r="I58" s="259"/>
      <c r="J58" s="259"/>
      <c r="K58" s="259"/>
      <c r="L58" s="259"/>
      <c r="M58" s="259"/>
      <c r="N58" s="259"/>
      <c r="O58" s="259"/>
    </row>
    <row r="59" spans="1:23" ht="16">
      <c r="B59" s="259"/>
      <c r="C59" s="259"/>
      <c r="D59" s="259"/>
      <c r="E59" s="259"/>
      <c r="F59" s="259"/>
      <c r="G59" s="259"/>
      <c r="H59" s="259"/>
      <c r="I59" s="259"/>
      <c r="J59" s="259"/>
      <c r="K59" s="259"/>
      <c r="L59" s="259"/>
      <c r="M59" s="259"/>
      <c r="N59" s="259"/>
      <c r="O59" s="259"/>
      <c r="P59" s="1"/>
      <c r="Q59" s="1"/>
      <c r="R59" s="1"/>
    </row>
    <row r="60" spans="1:23">
      <c r="B60" s="1"/>
      <c r="C60" s="1"/>
      <c r="D60" s="1"/>
      <c r="E60" s="1"/>
      <c r="F60" s="1"/>
      <c r="G60" s="1"/>
      <c r="H60" s="1"/>
      <c r="I60" s="1"/>
      <c r="J60" s="1"/>
      <c r="K60" s="1"/>
      <c r="L60" s="1"/>
      <c r="M60" s="1"/>
      <c r="N60" s="1"/>
      <c r="O60" s="1"/>
      <c r="P60" s="1"/>
      <c r="Q60" s="1"/>
      <c r="R60" s="1"/>
    </row>
    <row r="61" spans="1:23">
      <c r="B61" s="937" t="s">
        <v>273</v>
      </c>
      <c r="C61" s="1"/>
      <c r="D61" s="1"/>
      <c r="E61" s="1"/>
      <c r="F61" s="1"/>
      <c r="G61" s="1"/>
      <c r="H61" s="1"/>
      <c r="I61" s="1"/>
      <c r="J61" s="1"/>
      <c r="K61" s="1"/>
      <c r="L61" s="1"/>
      <c r="M61" s="1"/>
      <c r="N61" s="1"/>
      <c r="O61" s="1"/>
      <c r="P61" s="1"/>
      <c r="Q61" s="1"/>
      <c r="R61" s="1"/>
    </row>
    <row r="62" spans="1:23">
      <c r="B62" s="937"/>
      <c r="C62" s="1"/>
      <c r="D62" s="1"/>
      <c r="E62" s="1"/>
      <c r="F62" s="1"/>
      <c r="G62" s="1"/>
      <c r="H62" s="1"/>
      <c r="I62" s="1"/>
      <c r="J62" s="1"/>
      <c r="K62" s="1"/>
      <c r="L62" s="1"/>
      <c r="M62" s="1"/>
      <c r="N62" s="1"/>
      <c r="O62" s="1"/>
      <c r="P62" s="1"/>
      <c r="Q62" s="1"/>
      <c r="R62" s="1"/>
    </row>
    <row r="63" spans="1:23" ht="15" customHeight="1">
      <c r="B63" s="1"/>
      <c r="C63" s="1"/>
      <c r="D63" s="8"/>
      <c r="E63" s="8"/>
      <c r="F63" s="8"/>
      <c r="G63" s="8"/>
      <c r="H63" s="8"/>
      <c r="I63" s="1"/>
      <c r="J63" s="44"/>
      <c r="K63" s="1"/>
      <c r="L63" s="1"/>
      <c r="M63" s="256" t="s">
        <v>10</v>
      </c>
      <c r="N63" s="44"/>
      <c r="O63" s="1"/>
      <c r="P63" s="1"/>
      <c r="Q63" s="1"/>
    </row>
    <row r="64" spans="1:23" ht="15" customHeight="1">
      <c r="B64" s="1719" t="s">
        <v>341</v>
      </c>
      <c r="C64" s="1719" t="s">
        <v>37</v>
      </c>
      <c r="D64" s="1836" t="s">
        <v>509</v>
      </c>
      <c r="E64" s="1837"/>
      <c r="F64" s="1837"/>
      <c r="G64" s="1837"/>
      <c r="H64" s="1838"/>
      <c r="I64" s="1839" t="s">
        <v>510</v>
      </c>
      <c r="J64" s="1839"/>
      <c r="K64" s="1839"/>
      <c r="L64" s="1839"/>
      <c r="M64" s="1839"/>
      <c r="N64" s="1835" t="s">
        <v>511</v>
      </c>
      <c r="O64" s="1835"/>
      <c r="P64" s="1835"/>
      <c r="Q64" s="1835"/>
      <c r="R64" s="1835"/>
      <c r="S64" s="1835" t="s">
        <v>947</v>
      </c>
      <c r="T64" s="1835"/>
      <c r="U64" s="1835"/>
      <c r="V64" s="1835"/>
      <c r="W64" s="1835"/>
    </row>
    <row r="65" spans="1:25">
      <c r="B65" s="1719"/>
      <c r="C65" s="1719"/>
      <c r="D65" s="1841" t="s">
        <v>7</v>
      </c>
      <c r="E65" s="1842"/>
      <c r="F65" s="1842"/>
      <c r="G65" s="1842"/>
      <c r="H65" s="1842"/>
      <c r="I65" s="1841" t="s">
        <v>7</v>
      </c>
      <c r="J65" s="1842"/>
      <c r="K65" s="1842"/>
      <c r="L65" s="1842"/>
      <c r="M65" s="1842"/>
      <c r="N65" s="1841" t="s">
        <v>12</v>
      </c>
      <c r="O65" s="1842"/>
      <c r="P65" s="1842"/>
      <c r="Q65" s="1842"/>
      <c r="R65" s="1842"/>
      <c r="S65" s="1839" t="s">
        <v>21</v>
      </c>
      <c r="T65" s="1840"/>
      <c r="U65" s="1840"/>
      <c r="V65" s="1840"/>
      <c r="W65" s="1840"/>
    </row>
    <row r="66" spans="1:25" ht="56">
      <c r="A66" s="5" t="s">
        <v>777</v>
      </c>
      <c r="B66" s="1719"/>
      <c r="C66" s="1719"/>
      <c r="D66" s="938" t="s">
        <v>274</v>
      </c>
      <c r="E66" s="938" t="s">
        <v>269</v>
      </c>
      <c r="F66" s="260" t="s">
        <v>275</v>
      </c>
      <c r="G66" s="932" t="s">
        <v>555</v>
      </c>
      <c r="H66" s="938" t="s">
        <v>276</v>
      </c>
      <c r="I66" s="938" t="s">
        <v>274</v>
      </c>
      <c r="J66" s="938" t="s">
        <v>269</v>
      </c>
      <c r="K66" s="260" t="s">
        <v>275</v>
      </c>
      <c r="L66" s="932" t="s">
        <v>555</v>
      </c>
      <c r="M66" s="938" t="s">
        <v>276</v>
      </c>
      <c r="N66" s="938" t="s">
        <v>274</v>
      </c>
      <c r="O66" s="938" t="s">
        <v>269</v>
      </c>
      <c r="P66" s="260" t="s">
        <v>275</v>
      </c>
      <c r="Q66" s="932" t="s">
        <v>555</v>
      </c>
      <c r="R66" s="938" t="s">
        <v>276</v>
      </c>
      <c r="S66" s="938" t="s">
        <v>274</v>
      </c>
      <c r="T66" s="938" t="s">
        <v>269</v>
      </c>
      <c r="U66" s="260" t="s">
        <v>275</v>
      </c>
      <c r="V66" s="932" t="s">
        <v>555</v>
      </c>
      <c r="W66" s="938" t="s">
        <v>276</v>
      </c>
    </row>
    <row r="67" spans="1:25" ht="28">
      <c r="B67" s="257"/>
      <c r="C67" s="257"/>
      <c r="D67" s="257" t="s">
        <v>81</v>
      </c>
      <c r="E67" s="257" t="s">
        <v>82</v>
      </c>
      <c r="F67" s="257" t="s">
        <v>462</v>
      </c>
      <c r="G67" s="257" t="s">
        <v>392</v>
      </c>
      <c r="H67" s="257" t="s">
        <v>556</v>
      </c>
      <c r="I67" s="257" t="s">
        <v>410</v>
      </c>
      <c r="J67" s="257" t="s">
        <v>512</v>
      </c>
      <c r="K67" s="257" t="s">
        <v>411</v>
      </c>
      <c r="L67" s="257" t="s">
        <v>412</v>
      </c>
      <c r="M67" s="257" t="s">
        <v>621</v>
      </c>
      <c r="N67" s="257" t="s">
        <v>557</v>
      </c>
      <c r="O67" s="257" t="s">
        <v>622</v>
      </c>
      <c r="P67" s="257" t="s">
        <v>558</v>
      </c>
      <c r="Q67" s="257" t="s">
        <v>559</v>
      </c>
      <c r="R67" s="257" t="s">
        <v>1031</v>
      </c>
      <c r="S67" s="257" t="s">
        <v>560</v>
      </c>
      <c r="T67" s="257" t="s">
        <v>561</v>
      </c>
      <c r="U67" s="257" t="s">
        <v>623</v>
      </c>
      <c r="V67" s="257" t="s">
        <v>562</v>
      </c>
      <c r="W67" s="257" t="s">
        <v>1032</v>
      </c>
    </row>
    <row r="68" spans="1:25">
      <c r="A68" s="690"/>
      <c r="B68" s="95">
        <v>1</v>
      </c>
      <c r="C68" s="446" t="s">
        <v>810</v>
      </c>
      <c r="D68" s="691">
        <f>'F5'!D68</f>
        <v>0</v>
      </c>
      <c r="E68" s="691">
        <f>'F5'!E68</f>
        <v>0</v>
      </c>
      <c r="F68" s="691">
        <f>'F5'!F68</f>
        <v>0</v>
      </c>
      <c r="G68" s="691">
        <f>'F5'!G68</f>
        <v>0</v>
      </c>
      <c r="H68" s="691">
        <f t="shared" ref="H68:H84" si="18">D68+E68-F68-G68</f>
        <v>0</v>
      </c>
      <c r="I68" s="886">
        <f>H68</f>
        <v>0</v>
      </c>
      <c r="J68" s="691">
        <f>'F5'!J68</f>
        <v>0</v>
      </c>
      <c r="K68" s="691">
        <f>'F5'!K68</f>
        <v>0</v>
      </c>
      <c r="L68" s="691">
        <f>'F5'!L68</f>
        <v>0</v>
      </c>
      <c r="M68" s="886">
        <f t="shared" ref="M68:M84" si="19">I68+J68-K68-L68</f>
        <v>0</v>
      </c>
      <c r="N68" s="691">
        <f>M68</f>
        <v>0</v>
      </c>
      <c r="O68" s="691">
        <f>'F5'!O68</f>
        <v>0</v>
      </c>
      <c r="P68" s="691">
        <f>'F5'!P68</f>
        <v>0</v>
      </c>
      <c r="Q68" s="691">
        <f>'F5'!Q68</f>
        <v>0</v>
      </c>
      <c r="R68" s="691">
        <f t="shared" ref="R68:R84" si="20">N68+O68-P68-Q68</f>
        <v>0</v>
      </c>
      <c r="S68" s="886">
        <f>'F5'!S68+'F5.1 (N)'!D44</f>
        <v>0</v>
      </c>
      <c r="T68" s="886">
        <f>'F5'!T68+'F5.1 (N)'!E44</f>
        <v>0</v>
      </c>
      <c r="U68" s="886">
        <f>'F5'!U68+'F5.1 (N)'!F44</f>
        <v>0</v>
      </c>
      <c r="V68" s="886">
        <f>'F5'!V68+'F5.1 (N)'!G44</f>
        <v>0</v>
      </c>
      <c r="W68" s="886">
        <f t="shared" ref="W68:W84" si="21">S68+T68-U68-V68</f>
        <v>0</v>
      </c>
      <c r="Y68" s="690"/>
    </row>
    <row r="69" spans="1:25">
      <c r="A69" s="690"/>
      <c r="B69" s="95">
        <f>B68+1</f>
        <v>2</v>
      </c>
      <c r="C69" s="446" t="s">
        <v>811</v>
      </c>
      <c r="D69" s="691">
        <f>'F5'!D69</f>
        <v>93.878648508767867</v>
      </c>
      <c r="E69" s="691">
        <f>'F5'!E69</f>
        <v>10.737602123928845</v>
      </c>
      <c r="F69" s="691">
        <f>'F5'!F69</f>
        <v>0</v>
      </c>
      <c r="G69" s="691">
        <f>'F5'!G69</f>
        <v>0</v>
      </c>
      <c r="H69" s="1049">
        <f t="shared" si="18"/>
        <v>104.6162506326967</v>
      </c>
      <c r="I69" s="886">
        <f t="shared" ref="I69:I84" si="22">H69</f>
        <v>104.6162506326967</v>
      </c>
      <c r="J69" s="691">
        <f>'F5'!J69</f>
        <v>10.737602123928845</v>
      </c>
      <c r="K69" s="691">
        <f>'F5'!K69</f>
        <v>0</v>
      </c>
      <c r="L69" s="691">
        <f>'F5'!L69</f>
        <v>0</v>
      </c>
      <c r="M69" s="886">
        <f t="shared" si="19"/>
        <v>115.35385275662554</v>
      </c>
      <c r="N69" s="691">
        <f t="shared" ref="N69:N84" si="23">M69</f>
        <v>115.35385275662554</v>
      </c>
      <c r="O69" s="691">
        <f>'F5'!O69</f>
        <v>10.737602123928845</v>
      </c>
      <c r="P69" s="691">
        <f>'F5'!P69</f>
        <v>0</v>
      </c>
      <c r="Q69" s="691">
        <f>'F5'!Q69</f>
        <v>0</v>
      </c>
      <c r="R69" s="691">
        <f t="shared" si="20"/>
        <v>126.09145488055438</v>
      </c>
      <c r="S69" s="886">
        <f>'F5'!S69+'F5.1 (N)'!D45</f>
        <v>126.09145488055438</v>
      </c>
      <c r="T69" s="886">
        <f>'F5'!T69+'F5.1 (N)'!E45</f>
        <v>10.737602123928845</v>
      </c>
      <c r="U69" s="886">
        <f>'F5'!U69+'F5.1 (N)'!F45</f>
        <v>0</v>
      </c>
      <c r="V69" s="886">
        <f>'F5'!V69+'F5.1 (N)'!G45</f>
        <v>0</v>
      </c>
      <c r="W69" s="886">
        <f t="shared" si="21"/>
        <v>136.82905700448322</v>
      </c>
      <c r="Y69" s="690"/>
    </row>
    <row r="70" spans="1:25">
      <c r="A70" s="690"/>
      <c r="B70" s="95">
        <f t="shared" ref="B70:B84" si="24">B69+1</f>
        <v>3</v>
      </c>
      <c r="C70" s="446" t="s">
        <v>812</v>
      </c>
      <c r="D70" s="691">
        <f>'F5'!D70</f>
        <v>0</v>
      </c>
      <c r="E70" s="691">
        <f>'F5'!E70</f>
        <v>0</v>
      </c>
      <c r="F70" s="691">
        <f>'F5'!F70</f>
        <v>0</v>
      </c>
      <c r="G70" s="691">
        <f>'F5'!G70</f>
        <v>0</v>
      </c>
      <c r="H70" s="691">
        <f t="shared" si="18"/>
        <v>0</v>
      </c>
      <c r="I70" s="886">
        <f t="shared" si="22"/>
        <v>0</v>
      </c>
      <c r="J70" s="691">
        <f>'F5'!J70</f>
        <v>0</v>
      </c>
      <c r="K70" s="691">
        <f>'F5'!K70</f>
        <v>0</v>
      </c>
      <c r="L70" s="691">
        <f>'F5'!L70</f>
        <v>0</v>
      </c>
      <c r="M70" s="886">
        <f t="shared" si="19"/>
        <v>0</v>
      </c>
      <c r="N70" s="691">
        <f t="shared" si="23"/>
        <v>0</v>
      </c>
      <c r="O70" s="691">
        <f>'F5'!O70</f>
        <v>0</v>
      </c>
      <c r="P70" s="691">
        <f>'F5'!P70</f>
        <v>0</v>
      </c>
      <c r="Q70" s="691">
        <f>'F5'!Q70</f>
        <v>0</v>
      </c>
      <c r="R70" s="691">
        <f t="shared" si="20"/>
        <v>0</v>
      </c>
      <c r="S70" s="886">
        <f>'F5'!S70+'F5.1 (N)'!D46</f>
        <v>0</v>
      </c>
      <c r="T70" s="886">
        <f>'F5'!T70+'F5.1 (N)'!E46</f>
        <v>0.21100000000000002</v>
      </c>
      <c r="U70" s="886">
        <f>'F5'!U70+'F5.1 (N)'!F46</f>
        <v>0</v>
      </c>
      <c r="V70" s="886">
        <f>'F5'!V70+'F5.1 (N)'!G46</f>
        <v>0</v>
      </c>
      <c r="W70" s="886">
        <f t="shared" si="21"/>
        <v>0.21100000000000002</v>
      </c>
      <c r="Y70" s="690"/>
    </row>
    <row r="71" spans="1:25">
      <c r="A71" s="690"/>
      <c r="B71" s="95">
        <f t="shared" si="24"/>
        <v>4</v>
      </c>
      <c r="C71" s="446" t="s">
        <v>813</v>
      </c>
      <c r="D71" s="691">
        <f>'F5'!D71</f>
        <v>161.37315459635266</v>
      </c>
      <c r="E71" s="691">
        <f>'F5'!E71</f>
        <v>18.231312000000003</v>
      </c>
      <c r="F71" s="691">
        <f>'F5'!F71</f>
        <v>0</v>
      </c>
      <c r="G71" s="691">
        <f>'F5'!G71</f>
        <v>0</v>
      </c>
      <c r="H71" s="691">
        <f t="shared" si="18"/>
        <v>179.60446659635267</v>
      </c>
      <c r="I71" s="886">
        <f t="shared" si="22"/>
        <v>179.60446659635267</v>
      </c>
      <c r="J71" s="691">
        <f>'F5'!J71</f>
        <v>18.231312000000003</v>
      </c>
      <c r="K71" s="691">
        <f>'F5'!K71</f>
        <v>0</v>
      </c>
      <c r="L71" s="691">
        <f>'F5'!L71</f>
        <v>0</v>
      </c>
      <c r="M71" s="886">
        <f t="shared" si="19"/>
        <v>197.83577859635267</v>
      </c>
      <c r="N71" s="691">
        <f t="shared" si="23"/>
        <v>197.83577859635267</v>
      </c>
      <c r="O71" s="691">
        <f>'F5'!O71</f>
        <v>18.231312000000003</v>
      </c>
      <c r="P71" s="691">
        <f>'F5'!P71</f>
        <v>0</v>
      </c>
      <c r="Q71" s="691">
        <f>'F5'!Q71</f>
        <v>0</v>
      </c>
      <c r="R71" s="691">
        <f t="shared" si="20"/>
        <v>216.06709059635267</v>
      </c>
      <c r="S71" s="886">
        <f>'F5'!S71+'F5.1 (N)'!D47</f>
        <v>216.06709059635267</v>
      </c>
      <c r="T71" s="886">
        <f>'F5'!T71+'F5.1 (N)'!E47</f>
        <v>18.231312000000003</v>
      </c>
      <c r="U71" s="886">
        <f>'F5'!U71+'F5.1 (N)'!F47</f>
        <v>0</v>
      </c>
      <c r="V71" s="886">
        <f>'F5'!V71+'F5.1 (N)'!G47</f>
        <v>0</v>
      </c>
      <c r="W71" s="886">
        <f t="shared" si="21"/>
        <v>234.29840259635267</v>
      </c>
      <c r="Y71" s="690"/>
    </row>
    <row r="72" spans="1:25">
      <c r="A72" s="690"/>
      <c r="B72" s="95">
        <f t="shared" si="24"/>
        <v>5</v>
      </c>
      <c r="C72" s="446" t="s">
        <v>814</v>
      </c>
      <c r="D72" s="691">
        <f>'F5'!D72</f>
        <v>88.871947037578991</v>
      </c>
      <c r="E72" s="691">
        <f>'F5'!E72</f>
        <v>12.516256975328947</v>
      </c>
      <c r="F72" s="691">
        <f>'F5'!F72</f>
        <v>0</v>
      </c>
      <c r="G72" s="691">
        <f>'F5'!G72</f>
        <v>0</v>
      </c>
      <c r="H72" s="691">
        <f t="shared" si="18"/>
        <v>101.38820401290793</v>
      </c>
      <c r="I72" s="886">
        <f t="shared" si="22"/>
        <v>101.38820401290793</v>
      </c>
      <c r="J72" s="691">
        <f>'F5'!J72</f>
        <v>12.597537271448944</v>
      </c>
      <c r="K72" s="691">
        <f>'F5'!K72</f>
        <v>0</v>
      </c>
      <c r="L72" s="691">
        <f>'F5'!L72</f>
        <v>0</v>
      </c>
      <c r="M72" s="886">
        <f t="shared" si="19"/>
        <v>113.98574128435688</v>
      </c>
      <c r="N72" s="691">
        <f t="shared" si="23"/>
        <v>113.98574128435688</v>
      </c>
      <c r="O72" s="691">
        <f>'F5'!O72</f>
        <v>12.650643271448946</v>
      </c>
      <c r="P72" s="691">
        <f>'F5'!P72</f>
        <v>0</v>
      </c>
      <c r="Q72" s="691">
        <f>'F5'!Q72</f>
        <v>0</v>
      </c>
      <c r="R72" s="691">
        <f t="shared" si="20"/>
        <v>126.63638455580582</v>
      </c>
      <c r="S72" s="886">
        <f>'F5'!S72+'F5.1 (N)'!D48</f>
        <v>126.63638455580582</v>
      </c>
      <c r="T72" s="886">
        <f>'F5'!T72+'F5.1 (N)'!E48</f>
        <v>12.687383271448946</v>
      </c>
      <c r="U72" s="886">
        <f>'F5'!U72+'F5.1 (N)'!F48</f>
        <v>0</v>
      </c>
      <c r="V72" s="886">
        <f>'F5'!V72+'F5.1 (N)'!G48</f>
        <v>0</v>
      </c>
      <c r="W72" s="886">
        <f t="shared" si="21"/>
        <v>139.32376782725476</v>
      </c>
      <c r="Y72" s="690"/>
    </row>
    <row r="73" spans="1:25">
      <c r="A73" s="690"/>
      <c r="B73" s="95">
        <f t="shared" si="24"/>
        <v>6</v>
      </c>
      <c r="C73" s="446" t="s">
        <v>256</v>
      </c>
      <c r="D73" s="691">
        <f>'F5'!D73</f>
        <v>2568.6505990635546</v>
      </c>
      <c r="E73" s="691">
        <f>'F5'!E73</f>
        <v>297.32122238431282</v>
      </c>
      <c r="F73" s="691">
        <f>'F5'!F73</f>
        <v>0</v>
      </c>
      <c r="G73" s="691">
        <f>'F5'!G73</f>
        <v>0</v>
      </c>
      <c r="H73" s="691">
        <f t="shared" si="18"/>
        <v>2865.9718214478676</v>
      </c>
      <c r="I73" s="886">
        <f t="shared" si="22"/>
        <v>2865.9718214478676</v>
      </c>
      <c r="J73" s="691">
        <f>'F5'!J73</f>
        <v>297.92673969583285</v>
      </c>
      <c r="K73" s="691">
        <f>'F5'!K73</f>
        <v>0</v>
      </c>
      <c r="L73" s="691">
        <f>'F5'!L73</f>
        <v>0</v>
      </c>
      <c r="M73" s="886">
        <f t="shared" si="19"/>
        <v>3163.8985611437006</v>
      </c>
      <c r="N73" s="691">
        <f t="shared" si="23"/>
        <v>3163.8985611437006</v>
      </c>
      <c r="O73" s="691">
        <f>'F5'!O73</f>
        <v>298.91897844223291</v>
      </c>
      <c r="P73" s="691">
        <f>'F5'!P73</f>
        <v>0</v>
      </c>
      <c r="Q73" s="691">
        <f>'F5'!Q73</f>
        <v>0</v>
      </c>
      <c r="R73" s="691">
        <f t="shared" si="20"/>
        <v>3462.8175395859334</v>
      </c>
      <c r="S73" s="886">
        <f>'F5'!S73+'F5.1 (N)'!D49</f>
        <v>3462.8175395859334</v>
      </c>
      <c r="T73" s="886">
        <f>'F5'!T73+'F5.1 (N)'!E49</f>
        <v>300.54911018863288</v>
      </c>
      <c r="U73" s="886">
        <f>'F5'!U73+'F5.1 (N)'!F49</f>
        <v>0</v>
      </c>
      <c r="V73" s="886">
        <f>'F5'!V73+'F5.1 (N)'!G49</f>
        <v>0</v>
      </c>
      <c r="W73" s="886">
        <f t="shared" si="21"/>
        <v>3763.3666497745662</v>
      </c>
      <c r="Y73" s="690"/>
    </row>
    <row r="74" spans="1:25">
      <c r="A74" s="690"/>
      <c r="B74" s="95">
        <f t="shared" si="24"/>
        <v>7</v>
      </c>
      <c r="C74" s="446" t="s">
        <v>815</v>
      </c>
      <c r="D74" s="691">
        <f>'F5'!D74</f>
        <v>2.0204887296274059</v>
      </c>
      <c r="E74" s="691">
        <f>'F5'!E74</f>
        <v>0.8944799786349874</v>
      </c>
      <c r="F74" s="691">
        <f>'F5'!F74</f>
        <v>0</v>
      </c>
      <c r="G74" s="691">
        <f>'F5'!G74</f>
        <v>0</v>
      </c>
      <c r="H74" s="691">
        <f t="shared" si="18"/>
        <v>2.9149687082623932</v>
      </c>
      <c r="I74" s="886">
        <f t="shared" si="22"/>
        <v>2.9149687082623932</v>
      </c>
      <c r="J74" s="691">
        <f>'F5'!J74</f>
        <v>0.8944799786349874</v>
      </c>
      <c r="K74" s="691">
        <f>'F5'!K74</f>
        <v>0</v>
      </c>
      <c r="L74" s="691">
        <f>'F5'!L74</f>
        <v>0</v>
      </c>
      <c r="M74" s="886">
        <f t="shared" si="19"/>
        <v>3.8094486868973805</v>
      </c>
      <c r="N74" s="691">
        <f t="shared" si="23"/>
        <v>3.8094486868973805</v>
      </c>
      <c r="O74" s="691">
        <f>'F5'!O74</f>
        <v>4.6682201271594177E-2</v>
      </c>
      <c r="P74" s="691">
        <f>'F5'!P74</f>
        <v>0</v>
      </c>
      <c r="Q74" s="691">
        <f>'F5'!Q74</f>
        <v>0</v>
      </c>
      <c r="R74" s="691">
        <f t="shared" si="20"/>
        <v>3.8561308881689746</v>
      </c>
      <c r="S74" s="886">
        <f>'F5'!S74+'F5.1 (N)'!D50</f>
        <v>3.8561308881689746</v>
      </c>
      <c r="T74" s="886">
        <f>'F5'!T74+'F5.1 (N)'!E50</f>
        <v>4.6682201271594177E-2</v>
      </c>
      <c r="U74" s="886">
        <f>'F5'!U74+'F5.1 (N)'!F50</f>
        <v>0</v>
      </c>
      <c r="V74" s="886">
        <f>'F5'!V74+'F5.1 (N)'!G50</f>
        <v>0</v>
      </c>
      <c r="W74" s="886">
        <f t="shared" si="21"/>
        <v>3.9028130894405688</v>
      </c>
      <c r="Y74" s="690"/>
    </row>
    <row r="75" spans="1:25">
      <c r="A75" s="690"/>
      <c r="B75" s="95">
        <f t="shared" si="24"/>
        <v>8</v>
      </c>
      <c r="C75" s="446" t="s">
        <v>816</v>
      </c>
      <c r="D75" s="691">
        <f>'F5'!D75</f>
        <v>8.0547058829672363E-3</v>
      </c>
      <c r="E75" s="691">
        <f>'F5'!E75</f>
        <v>5.3698039219781581E-3</v>
      </c>
      <c r="F75" s="691">
        <f>'F5'!F75</f>
        <v>0</v>
      </c>
      <c r="G75" s="691">
        <f>'F5'!G75</f>
        <v>0</v>
      </c>
      <c r="H75" s="691">
        <f t="shared" si="18"/>
        <v>1.3424509804945394E-2</v>
      </c>
      <c r="I75" s="886">
        <f t="shared" si="22"/>
        <v>1.3424509804945394E-2</v>
      </c>
      <c r="J75" s="691">
        <f>'F5'!J75</f>
        <v>5.3698039219781581E-3</v>
      </c>
      <c r="K75" s="691">
        <f>'F5'!K75</f>
        <v>0</v>
      </c>
      <c r="L75" s="691">
        <f>'F5'!L75</f>
        <v>0</v>
      </c>
      <c r="M75" s="886">
        <f t="shared" si="19"/>
        <v>1.8794313726923553E-2</v>
      </c>
      <c r="N75" s="691">
        <f t="shared" si="23"/>
        <v>1.8794313726923553E-2</v>
      </c>
      <c r="O75" s="691">
        <f>'F5'!O75</f>
        <v>5.3698039219781581E-3</v>
      </c>
      <c r="P75" s="691">
        <f>'F5'!P75</f>
        <v>0</v>
      </c>
      <c r="Q75" s="691">
        <f>'F5'!Q75</f>
        <v>0</v>
      </c>
      <c r="R75" s="691">
        <f t="shared" si="20"/>
        <v>2.4164117648901709E-2</v>
      </c>
      <c r="S75" s="886">
        <f>'F5'!S75+'F5.1 (N)'!D51</f>
        <v>2.4164117648901709E-2</v>
      </c>
      <c r="T75" s="886">
        <f>'F5'!T75+'F5.1 (N)'!E51</f>
        <v>5.3698039219781581E-3</v>
      </c>
      <c r="U75" s="886">
        <f>'F5'!U75+'F5.1 (N)'!F51</f>
        <v>0</v>
      </c>
      <c r="V75" s="886">
        <f>'F5'!V75+'F5.1 (N)'!G51</f>
        <v>0</v>
      </c>
      <c r="W75" s="886">
        <f t="shared" si="21"/>
        <v>2.9533921570879869E-2</v>
      </c>
      <c r="Y75" s="690"/>
    </row>
    <row r="76" spans="1:25">
      <c r="A76" s="690"/>
      <c r="B76" s="95">
        <f t="shared" si="24"/>
        <v>9</v>
      </c>
      <c r="C76" s="446" t="s">
        <v>817</v>
      </c>
      <c r="D76" s="691">
        <f>'F5'!D76</f>
        <v>22.936860760204738</v>
      </c>
      <c r="E76" s="691">
        <f>'F5'!E76</f>
        <v>2.5586880000000001</v>
      </c>
      <c r="F76" s="691">
        <f>'F5'!F76</f>
        <v>0</v>
      </c>
      <c r="G76" s="691">
        <f>'F5'!G76</f>
        <v>0</v>
      </c>
      <c r="H76" s="691">
        <f t="shared" si="18"/>
        <v>25.495548760204738</v>
      </c>
      <c r="I76" s="886">
        <f t="shared" si="22"/>
        <v>25.495548760204738</v>
      </c>
      <c r="J76" s="691">
        <f>'F5'!J76</f>
        <v>2.5586880000000001</v>
      </c>
      <c r="K76" s="691">
        <f>'F5'!K76</f>
        <v>0</v>
      </c>
      <c r="L76" s="691">
        <f>'F5'!L76</f>
        <v>0</v>
      </c>
      <c r="M76" s="886">
        <f t="shared" si="19"/>
        <v>28.054236760204738</v>
      </c>
      <c r="N76" s="691">
        <f t="shared" si="23"/>
        <v>28.054236760204738</v>
      </c>
      <c r="O76" s="691">
        <f>'F5'!O76</f>
        <v>2.5586880000000001</v>
      </c>
      <c r="P76" s="691">
        <f>'F5'!P76</f>
        <v>0</v>
      </c>
      <c r="Q76" s="691">
        <f>'F5'!Q76</f>
        <v>0</v>
      </c>
      <c r="R76" s="691">
        <f t="shared" si="20"/>
        <v>30.612924760204738</v>
      </c>
      <c r="S76" s="886">
        <f>'F5'!S76+'F5.1 (N)'!D52</f>
        <v>30.612924760204738</v>
      </c>
      <c r="T76" s="886">
        <f>'F5'!T76+'F5.1 (N)'!E52</f>
        <v>0.98482773944697977</v>
      </c>
      <c r="U76" s="886">
        <f>'F5'!U76+'F5.1 (N)'!F52</f>
        <v>0</v>
      </c>
      <c r="V76" s="886">
        <f>'F5'!V76+'F5.1 (N)'!G52</f>
        <v>0</v>
      </c>
      <c r="W76" s="886">
        <f t="shared" si="21"/>
        <v>31.597752499651719</v>
      </c>
      <c r="Y76" s="690"/>
    </row>
    <row r="77" spans="1:25">
      <c r="A77" s="690"/>
      <c r="B77" s="95">
        <f t="shared" si="24"/>
        <v>10</v>
      </c>
      <c r="C77" s="446" t="s">
        <v>259</v>
      </c>
      <c r="D77" s="691">
        <f>'F5'!D77</f>
        <v>1.0343598742282865</v>
      </c>
      <c r="E77" s="691">
        <f>'F5'!E77</f>
        <v>0.41883354293657282</v>
      </c>
      <c r="F77" s="691">
        <f>'F5'!F77</f>
        <v>0</v>
      </c>
      <c r="G77" s="691">
        <f>'F5'!G77</f>
        <v>0</v>
      </c>
      <c r="H77" s="691">
        <f t="shared" si="18"/>
        <v>1.4531934171648593</v>
      </c>
      <c r="I77" s="886">
        <f t="shared" si="22"/>
        <v>1.4531934171648593</v>
      </c>
      <c r="J77" s="691">
        <f>'F5'!J77</f>
        <v>0.52260453193657286</v>
      </c>
      <c r="K77" s="691">
        <f>'F5'!K77</f>
        <v>0</v>
      </c>
      <c r="L77" s="691">
        <f>'F5'!L77</f>
        <v>0</v>
      </c>
      <c r="M77" s="886">
        <f t="shared" si="19"/>
        <v>1.9757979491014321</v>
      </c>
      <c r="N77" s="691">
        <f t="shared" si="23"/>
        <v>1.9757979491014321</v>
      </c>
      <c r="O77" s="691">
        <f>'F5'!O77</f>
        <v>0.52260453193657286</v>
      </c>
      <c r="P77" s="691">
        <f>'F5'!P77</f>
        <v>0</v>
      </c>
      <c r="Q77" s="691">
        <f>'F5'!Q77</f>
        <v>0</v>
      </c>
      <c r="R77" s="691">
        <f t="shared" si="20"/>
        <v>2.498402481038005</v>
      </c>
      <c r="S77" s="886">
        <f>'F5'!S77+'F5.1 (N)'!D53</f>
        <v>2.498402481038005</v>
      </c>
      <c r="T77" s="886">
        <f>'F5'!T77+'F5.1 (N)'!E53</f>
        <v>0.52260453193657286</v>
      </c>
      <c r="U77" s="886">
        <f>'F5'!U77+'F5.1 (N)'!F53</f>
        <v>0</v>
      </c>
      <c r="V77" s="886">
        <f>'F5'!V77+'F5.1 (N)'!G53</f>
        <v>0</v>
      </c>
      <c r="W77" s="886">
        <f t="shared" si="21"/>
        <v>3.0210070129745779</v>
      </c>
      <c r="Y77" s="690"/>
    </row>
    <row r="78" spans="1:25">
      <c r="A78" s="690"/>
      <c r="B78" s="95">
        <f t="shared" si="24"/>
        <v>11</v>
      </c>
      <c r="C78" s="446" t="s">
        <v>260</v>
      </c>
      <c r="D78" s="691">
        <f>'F5'!D78</f>
        <v>0.90656500445595078</v>
      </c>
      <c r="E78" s="691">
        <f>'F5'!E78</f>
        <v>0.18322560513091576</v>
      </c>
      <c r="F78" s="691">
        <f>'F5'!F78</f>
        <v>0</v>
      </c>
      <c r="G78" s="691">
        <f>'F5'!G78</f>
        <v>0</v>
      </c>
      <c r="H78" s="691">
        <f t="shared" si="18"/>
        <v>1.0897906095868666</v>
      </c>
      <c r="I78" s="886">
        <f t="shared" si="22"/>
        <v>1.0897906095868666</v>
      </c>
      <c r="J78" s="691">
        <f>'F5'!J78</f>
        <v>0.18990657831091576</v>
      </c>
      <c r="K78" s="691">
        <f>'F5'!K78</f>
        <v>0</v>
      </c>
      <c r="L78" s="691">
        <f>'F5'!L78</f>
        <v>0</v>
      </c>
      <c r="M78" s="886">
        <f t="shared" si="19"/>
        <v>1.2796971878977823</v>
      </c>
      <c r="N78" s="691">
        <f t="shared" si="23"/>
        <v>1.2796971878977823</v>
      </c>
      <c r="O78" s="691">
        <f>'F5'!O78</f>
        <v>0.19224767500591577</v>
      </c>
      <c r="P78" s="691">
        <f>'F5'!P78</f>
        <v>0</v>
      </c>
      <c r="Q78" s="691">
        <f>'F5'!Q78</f>
        <v>0</v>
      </c>
      <c r="R78" s="691">
        <f t="shared" si="20"/>
        <v>1.471944862903698</v>
      </c>
      <c r="S78" s="886">
        <f>'F5'!S78+'F5.1 (N)'!D54</f>
        <v>1.471944862903698</v>
      </c>
      <c r="T78" s="886">
        <f>'F5'!T78+'F5.1 (N)'!E54</f>
        <v>0.19224767500591577</v>
      </c>
      <c r="U78" s="886">
        <f>'F5'!U78+'F5.1 (N)'!F54</f>
        <v>0</v>
      </c>
      <c r="V78" s="886">
        <f>'F5'!V78+'F5.1 (N)'!G54</f>
        <v>0</v>
      </c>
      <c r="W78" s="886">
        <f t="shared" si="21"/>
        <v>1.6641925379096136</v>
      </c>
      <c r="Y78" s="690"/>
    </row>
    <row r="79" spans="1:25">
      <c r="A79" s="690"/>
      <c r="B79" s="95">
        <f t="shared" si="24"/>
        <v>12</v>
      </c>
      <c r="C79" s="446" t="s">
        <v>261</v>
      </c>
      <c r="D79" s="691">
        <f>'F5'!D79</f>
        <v>0.16901832027796238</v>
      </c>
      <c r="E79" s="691">
        <f>'F5'!E79</f>
        <v>6.9050002701972368E-2</v>
      </c>
      <c r="F79" s="691">
        <f>'F5'!F79</f>
        <v>0</v>
      </c>
      <c r="G79" s="691">
        <f>'F5'!G79</f>
        <v>0</v>
      </c>
      <c r="H79" s="691">
        <f t="shared" si="18"/>
        <v>0.23806832297993474</v>
      </c>
      <c r="I79" s="886">
        <f t="shared" si="22"/>
        <v>0.23806832297993474</v>
      </c>
      <c r="J79" s="691">
        <f>'F5'!J79</f>
        <v>6.9050002701972368E-2</v>
      </c>
      <c r="K79" s="691">
        <f>'F5'!K79</f>
        <v>0</v>
      </c>
      <c r="L79" s="691">
        <f>'F5'!L79</f>
        <v>0</v>
      </c>
      <c r="M79" s="886">
        <f t="shared" si="19"/>
        <v>0.30711832568190711</v>
      </c>
      <c r="N79" s="691">
        <f t="shared" si="23"/>
        <v>0.30711832568190711</v>
      </c>
      <c r="O79" s="691">
        <f>'F5'!O79</f>
        <v>6.9050002701972368E-2</v>
      </c>
      <c r="P79" s="691">
        <f>'F5'!P79</f>
        <v>0</v>
      </c>
      <c r="Q79" s="691">
        <f>'F5'!Q79</f>
        <v>0</v>
      </c>
      <c r="R79" s="691">
        <f t="shared" si="20"/>
        <v>0.37616832838387948</v>
      </c>
      <c r="S79" s="886">
        <f>'F5'!S79+'F5.1 (N)'!D55</f>
        <v>0.37616832838387948</v>
      </c>
      <c r="T79" s="886">
        <f>'F5'!T79+'F5.1 (N)'!E55</f>
        <v>6.9050002701972368E-2</v>
      </c>
      <c r="U79" s="886">
        <f>'F5'!U79+'F5.1 (N)'!F55</f>
        <v>0</v>
      </c>
      <c r="V79" s="886">
        <f>'F5'!V79+'F5.1 (N)'!G55</f>
        <v>0</v>
      </c>
      <c r="W79" s="886">
        <f t="shared" si="21"/>
        <v>0.44521833108585185</v>
      </c>
      <c r="Y79" s="690"/>
    </row>
    <row r="80" spans="1:25">
      <c r="A80" s="690"/>
      <c r="B80" s="95">
        <f t="shared" si="24"/>
        <v>13</v>
      </c>
      <c r="C80" s="466" t="s">
        <v>865</v>
      </c>
      <c r="D80" s="691">
        <f>'F5'!D80</f>
        <v>0</v>
      </c>
      <c r="E80" s="691">
        <f>'F5'!E80</f>
        <v>0</v>
      </c>
      <c r="F80" s="691">
        <f>'F5'!F80</f>
        <v>0</v>
      </c>
      <c r="G80" s="691">
        <f>'F5'!G80</f>
        <v>0</v>
      </c>
      <c r="H80" s="691">
        <f t="shared" si="18"/>
        <v>0</v>
      </c>
      <c r="I80" s="886">
        <f t="shared" si="22"/>
        <v>0</v>
      </c>
      <c r="J80" s="691">
        <f>'F5'!J80</f>
        <v>0</v>
      </c>
      <c r="K80" s="691">
        <f>'F5'!K80</f>
        <v>0</v>
      </c>
      <c r="L80" s="691">
        <f>'F5'!L80</f>
        <v>0</v>
      </c>
      <c r="M80" s="886">
        <f t="shared" si="19"/>
        <v>0</v>
      </c>
      <c r="N80" s="691">
        <f t="shared" si="23"/>
        <v>0</v>
      </c>
      <c r="O80" s="691">
        <f>'F5'!O80</f>
        <v>0</v>
      </c>
      <c r="P80" s="691">
        <f>'F5'!P80</f>
        <v>0</v>
      </c>
      <c r="Q80" s="691">
        <f>'F5'!Q80</f>
        <v>0</v>
      </c>
      <c r="R80" s="691">
        <f t="shared" si="20"/>
        <v>0</v>
      </c>
      <c r="S80" s="886">
        <f>'F5'!S80+'F5.1 (N)'!D56</f>
        <v>0</v>
      </c>
      <c r="T80" s="886">
        <f>'F5'!T80+'F5.1 (N)'!E56</f>
        <v>0</v>
      </c>
      <c r="U80" s="886">
        <f>'F5'!U80+'F5.1 (N)'!F56</f>
        <v>0</v>
      </c>
      <c r="V80" s="886">
        <f>'F5'!V80+'F5.1 (N)'!G56</f>
        <v>0</v>
      </c>
      <c r="W80" s="886">
        <f t="shared" si="21"/>
        <v>0</v>
      </c>
      <c r="Y80" s="690"/>
    </row>
    <row r="81" spans="1:33">
      <c r="A81" s="690"/>
      <c r="B81" s="95">
        <f t="shared" si="24"/>
        <v>14</v>
      </c>
      <c r="C81" s="466" t="s">
        <v>866</v>
      </c>
      <c r="D81" s="691">
        <f>'F5'!D81</f>
        <v>0</v>
      </c>
      <c r="E81" s="691">
        <f>'F5'!E81</f>
        <v>1.0817665499999999E-2</v>
      </c>
      <c r="F81" s="691">
        <f>'F5'!F81</f>
        <v>0</v>
      </c>
      <c r="G81" s="691">
        <f>'F5'!G81</f>
        <v>0</v>
      </c>
      <c r="H81" s="691">
        <f t="shared" si="18"/>
        <v>1.0817665499999999E-2</v>
      </c>
      <c r="I81" s="886">
        <f t="shared" si="22"/>
        <v>1.0817665499999999E-2</v>
      </c>
      <c r="J81" s="691">
        <f>'F5'!J81</f>
        <v>0</v>
      </c>
      <c r="K81" s="691">
        <f>'F5'!K81</f>
        <v>0</v>
      </c>
      <c r="L81" s="691">
        <f>'F5'!L81</f>
        <v>0</v>
      </c>
      <c r="M81" s="886">
        <f t="shared" si="19"/>
        <v>1.0817665499999999E-2</v>
      </c>
      <c r="N81" s="691">
        <f t="shared" si="23"/>
        <v>1.0817665499999999E-2</v>
      </c>
      <c r="O81" s="691">
        <f>'F5'!O81</f>
        <v>0</v>
      </c>
      <c r="P81" s="691">
        <f>'F5'!P81</f>
        <v>0</v>
      </c>
      <c r="Q81" s="691">
        <f>'F5'!Q81</f>
        <v>0</v>
      </c>
      <c r="R81" s="691">
        <f t="shared" si="20"/>
        <v>1.0817665499999999E-2</v>
      </c>
      <c r="S81" s="886">
        <f>'F5'!S81+'F5.1 (N)'!D57</f>
        <v>1.0817665499999999E-2</v>
      </c>
      <c r="T81" s="886">
        <f>'F5'!T81+'F5.1 (N)'!E57</f>
        <v>0</v>
      </c>
      <c r="U81" s="886">
        <f>'F5'!U81+'F5.1 (N)'!F57</f>
        <v>0</v>
      </c>
      <c r="V81" s="886">
        <f>'F5'!V81+'F5.1 (N)'!G57</f>
        <v>0</v>
      </c>
      <c r="W81" s="886">
        <f t="shared" si="21"/>
        <v>1.0817665499999999E-2</v>
      </c>
      <c r="Y81" s="690"/>
    </row>
    <row r="82" spans="1:33">
      <c r="A82" s="690"/>
      <c r="B82" s="95">
        <f t="shared" si="24"/>
        <v>15</v>
      </c>
      <c r="C82" s="466" t="s">
        <v>867</v>
      </c>
      <c r="D82" s="691">
        <f>'F5'!D82</f>
        <v>0</v>
      </c>
      <c r="E82" s="691">
        <f>'F5'!E82</f>
        <v>0</v>
      </c>
      <c r="F82" s="691">
        <f>'F5'!F82</f>
        <v>0</v>
      </c>
      <c r="G82" s="691">
        <f>'F5'!G82</f>
        <v>0</v>
      </c>
      <c r="H82" s="691">
        <f t="shared" si="18"/>
        <v>0</v>
      </c>
      <c r="I82" s="886">
        <f t="shared" si="22"/>
        <v>0</v>
      </c>
      <c r="J82" s="691">
        <f>'F5'!J82</f>
        <v>0</v>
      </c>
      <c r="K82" s="691">
        <f>'F5'!K82</f>
        <v>0</v>
      </c>
      <c r="L82" s="691">
        <f>'F5'!L82</f>
        <v>0</v>
      </c>
      <c r="M82" s="886">
        <f t="shared" si="19"/>
        <v>0</v>
      </c>
      <c r="N82" s="691">
        <f t="shared" si="23"/>
        <v>0</v>
      </c>
      <c r="O82" s="691">
        <f>'F5'!O82</f>
        <v>0</v>
      </c>
      <c r="P82" s="691">
        <f>'F5'!P82</f>
        <v>0</v>
      </c>
      <c r="Q82" s="691">
        <f>'F5'!Q82</f>
        <v>0</v>
      </c>
      <c r="R82" s="691">
        <f t="shared" si="20"/>
        <v>0</v>
      </c>
      <c r="S82" s="886">
        <f>'F5'!S82+'F5.1 (N)'!D58</f>
        <v>0</v>
      </c>
      <c r="T82" s="886">
        <f>'F5'!T82+'F5.1 (N)'!E58</f>
        <v>0</v>
      </c>
      <c r="U82" s="886">
        <f>'F5'!U82+'F5.1 (N)'!F58</f>
        <v>0</v>
      </c>
      <c r="V82" s="886">
        <f>'F5'!V82+'F5.1 (N)'!G58</f>
        <v>0</v>
      </c>
      <c r="W82" s="886">
        <f t="shared" si="21"/>
        <v>0</v>
      </c>
      <c r="Y82" s="690"/>
    </row>
    <row r="83" spans="1:33">
      <c r="A83" s="690"/>
      <c r="B83" s="95">
        <f t="shared" si="24"/>
        <v>16</v>
      </c>
      <c r="C83" s="466" t="s">
        <v>818</v>
      </c>
      <c r="D83" s="691">
        <f>'F5'!D83</f>
        <v>0</v>
      </c>
      <c r="E83" s="691">
        <f>'F5'!E83</f>
        <v>0</v>
      </c>
      <c r="F83" s="691">
        <f>'F5'!F83</f>
        <v>0</v>
      </c>
      <c r="G83" s="691">
        <f>'F5'!G83</f>
        <v>0</v>
      </c>
      <c r="H83" s="691">
        <f t="shared" si="18"/>
        <v>0</v>
      </c>
      <c r="I83" s="886">
        <f t="shared" si="22"/>
        <v>0</v>
      </c>
      <c r="J83" s="691">
        <f>'F5'!J83</f>
        <v>0</v>
      </c>
      <c r="K83" s="691">
        <f>'F5'!K83</f>
        <v>0</v>
      </c>
      <c r="L83" s="691">
        <f>'F5'!L83</f>
        <v>0</v>
      </c>
      <c r="M83" s="886">
        <f t="shared" si="19"/>
        <v>0</v>
      </c>
      <c r="N83" s="691">
        <f t="shared" si="23"/>
        <v>0</v>
      </c>
      <c r="O83" s="691">
        <f>'F5'!O83</f>
        <v>0</v>
      </c>
      <c r="P83" s="691">
        <f>'F5'!P83</f>
        <v>0</v>
      </c>
      <c r="Q83" s="691">
        <f>'F5'!Q83</f>
        <v>0</v>
      </c>
      <c r="R83" s="691">
        <f t="shared" si="20"/>
        <v>0</v>
      </c>
      <c r="S83" s="886">
        <f>'F5'!S83+'F5.1 (N)'!D59</f>
        <v>0</v>
      </c>
      <c r="T83" s="886">
        <f>'F5'!T83+'F5.1 (N)'!E59</f>
        <v>0</v>
      </c>
      <c r="U83" s="886">
        <f>'F5'!U83+'F5.1 (N)'!F59</f>
        <v>0</v>
      </c>
      <c r="V83" s="886">
        <f>'F5'!V83+'F5.1 (N)'!G59</f>
        <v>0</v>
      </c>
      <c r="W83" s="886">
        <f t="shared" si="21"/>
        <v>0</v>
      </c>
      <c r="Y83" s="690"/>
    </row>
    <row r="84" spans="1:33">
      <c r="A84" s="690"/>
      <c r="B84" s="95">
        <f t="shared" si="24"/>
        <v>17</v>
      </c>
      <c r="C84" s="466" t="s">
        <v>868</v>
      </c>
      <c r="D84" s="691">
        <f>'F5'!D84</f>
        <v>0</v>
      </c>
      <c r="E84" s="691">
        <f>'F5'!E84</f>
        <v>0</v>
      </c>
      <c r="F84" s="691">
        <f>'F5'!F84</f>
        <v>0</v>
      </c>
      <c r="G84" s="691">
        <f>'F5'!G84</f>
        <v>0</v>
      </c>
      <c r="H84" s="691">
        <f t="shared" si="18"/>
        <v>0</v>
      </c>
      <c r="I84" s="886">
        <f t="shared" si="22"/>
        <v>0</v>
      </c>
      <c r="J84" s="691">
        <f>'F5'!J84</f>
        <v>0</v>
      </c>
      <c r="K84" s="691">
        <f>'F5'!K84</f>
        <v>0</v>
      </c>
      <c r="L84" s="691">
        <f>'F5'!L84</f>
        <v>0</v>
      </c>
      <c r="M84" s="886">
        <f t="shared" si="19"/>
        <v>0</v>
      </c>
      <c r="N84" s="691">
        <f t="shared" si="23"/>
        <v>0</v>
      </c>
      <c r="O84" s="691">
        <f>'F5'!O84</f>
        <v>0</v>
      </c>
      <c r="P84" s="691">
        <f>'F5'!P84</f>
        <v>0</v>
      </c>
      <c r="Q84" s="691">
        <f>'F5'!Q84</f>
        <v>0</v>
      </c>
      <c r="R84" s="691">
        <f t="shared" si="20"/>
        <v>0</v>
      </c>
      <c r="S84" s="886">
        <f>'F5'!S84+'F5.1 (N)'!D60</f>
        <v>0</v>
      </c>
      <c r="T84" s="886">
        <f>'F5'!T84+'F5.1 (N)'!E60</f>
        <v>0</v>
      </c>
      <c r="U84" s="886">
        <f>'F5'!U84+'F5.1 (N)'!F60</f>
        <v>0</v>
      </c>
      <c r="V84" s="886">
        <f>'F5'!V84+'F5.1 (N)'!G60</f>
        <v>0</v>
      </c>
      <c r="W84" s="886">
        <f t="shared" si="21"/>
        <v>0</v>
      </c>
      <c r="Y84" s="690"/>
    </row>
    <row r="85" spans="1:33" ht="16">
      <c r="A85" s="1016"/>
      <c r="B85" s="83"/>
      <c r="C85" s="97" t="s">
        <v>272</v>
      </c>
      <c r="D85" s="888">
        <f t="shared" ref="D85:W85" si="25">SUM(D68:D84)</f>
        <v>2939.8496966009311</v>
      </c>
      <c r="E85" s="888">
        <f t="shared" si="25"/>
        <v>342.94685808239706</v>
      </c>
      <c r="F85" s="888">
        <f t="shared" si="25"/>
        <v>0</v>
      </c>
      <c r="G85" s="888">
        <f t="shared" si="25"/>
        <v>0</v>
      </c>
      <c r="H85" s="888">
        <f t="shared" si="25"/>
        <v>3282.7965546833284</v>
      </c>
      <c r="I85" s="888">
        <f t="shared" si="25"/>
        <v>3282.7965546833284</v>
      </c>
      <c r="J85" s="888">
        <f t="shared" si="25"/>
        <v>343.73328998671707</v>
      </c>
      <c r="K85" s="888">
        <f t="shared" si="25"/>
        <v>0</v>
      </c>
      <c r="L85" s="888">
        <f t="shared" si="25"/>
        <v>0</v>
      </c>
      <c r="M85" s="888">
        <f t="shared" si="25"/>
        <v>3626.5298446700458</v>
      </c>
      <c r="N85" s="888">
        <f t="shared" si="25"/>
        <v>3626.5298446700458</v>
      </c>
      <c r="O85" s="888">
        <f t="shared" si="25"/>
        <v>343.93317805244874</v>
      </c>
      <c r="P85" s="888">
        <f t="shared" si="25"/>
        <v>0</v>
      </c>
      <c r="Q85" s="888">
        <f t="shared" si="25"/>
        <v>0</v>
      </c>
      <c r="R85" s="888">
        <f t="shared" si="25"/>
        <v>3970.4630227224943</v>
      </c>
      <c r="S85" s="888">
        <f t="shared" si="25"/>
        <v>3970.4630227224943</v>
      </c>
      <c r="T85" s="888">
        <f t="shared" si="25"/>
        <v>344.2371895382957</v>
      </c>
      <c r="U85" s="888">
        <f t="shared" si="25"/>
        <v>0</v>
      </c>
      <c r="V85" s="888">
        <f t="shared" si="25"/>
        <v>0</v>
      </c>
      <c r="W85" s="888">
        <f t="shared" si="25"/>
        <v>4314.7002122607901</v>
      </c>
    </row>
    <row r="86" spans="1:33" ht="16">
      <c r="A86" s="1016"/>
      <c r="B86" s="259"/>
      <c r="C86" s="261" t="s">
        <v>778</v>
      </c>
      <c r="D86" s="1050"/>
      <c r="E86" s="1051"/>
      <c r="F86" s="1050"/>
      <c r="G86" s="1050"/>
      <c r="H86" s="1050"/>
      <c r="I86" s="1052"/>
      <c r="J86" s="1051"/>
      <c r="K86" s="1052"/>
      <c r="L86" s="1052"/>
      <c r="M86" s="1052"/>
      <c r="N86" s="1050"/>
      <c r="O86" s="1051"/>
      <c r="P86" s="1050"/>
      <c r="Q86" s="1050"/>
      <c r="R86" s="1050"/>
      <c r="S86" s="1052"/>
      <c r="T86" s="1051"/>
      <c r="U86" s="1052"/>
      <c r="V86" s="1052"/>
      <c r="W86" s="1052"/>
      <c r="X86" s="45"/>
      <c r="Y86" s="45"/>
      <c r="Z86" s="45"/>
      <c r="AA86" s="45"/>
      <c r="AB86" s="45"/>
      <c r="AC86" s="45"/>
      <c r="AD86" s="45"/>
      <c r="AE86" s="45"/>
      <c r="AF86" s="45"/>
      <c r="AG86" s="45"/>
    </row>
    <row r="87" spans="1:33" ht="16">
      <c r="A87" s="1016"/>
      <c r="B87" s="258" t="s">
        <v>567</v>
      </c>
      <c r="C87" s="262"/>
      <c r="D87" s="263"/>
      <c r="E87" s="263"/>
      <c r="F87" s="263"/>
      <c r="G87" s="263"/>
      <c r="H87" s="263"/>
      <c r="I87" s="264"/>
      <c r="J87" s="264"/>
      <c r="K87" s="259"/>
      <c r="L87" s="259"/>
      <c r="M87" s="259"/>
      <c r="N87" s="259"/>
      <c r="O87" s="259"/>
      <c r="P87" s="259"/>
      <c r="Q87" s="259"/>
      <c r="R87" s="259"/>
      <c r="S87" s="45"/>
      <c r="T87" s="45"/>
      <c r="U87" s="45"/>
      <c r="V87" s="45"/>
      <c r="W87" s="45"/>
      <c r="X87" s="45"/>
      <c r="Y87" s="45"/>
      <c r="Z87" s="45"/>
      <c r="AA87" s="45"/>
      <c r="AB87" s="45"/>
      <c r="AC87" s="45"/>
      <c r="AD87" s="45"/>
      <c r="AE87" s="45"/>
      <c r="AF87" s="45"/>
      <c r="AG87" s="45"/>
    </row>
    <row r="88" spans="1:33" ht="16">
      <c r="A88" s="1016"/>
      <c r="B88" s="258" t="s">
        <v>685</v>
      </c>
      <c r="C88" s="262"/>
      <c r="D88" s="263"/>
      <c r="E88" s="263"/>
      <c r="F88" s="263"/>
      <c r="G88" s="263"/>
      <c r="H88" s="263"/>
      <c r="I88" s="264"/>
      <c r="J88" s="264"/>
      <c r="K88" s="259"/>
      <c r="L88" s="259"/>
      <c r="M88" s="259"/>
      <c r="N88" s="259"/>
      <c r="O88" s="259"/>
      <c r="P88" s="259"/>
      <c r="Q88" s="259"/>
      <c r="R88" s="259"/>
      <c r="S88" s="45"/>
      <c r="T88" s="45"/>
      <c r="U88" s="45"/>
      <c r="V88" s="45"/>
      <c r="W88" s="45"/>
      <c r="X88" s="45"/>
      <c r="Y88" s="45"/>
      <c r="Z88" s="45"/>
      <c r="AA88" s="45"/>
      <c r="AB88" s="45"/>
      <c r="AC88" s="45"/>
      <c r="AD88" s="45"/>
      <c r="AE88" s="45"/>
      <c r="AF88" s="45"/>
      <c r="AG88" s="45"/>
    </row>
    <row r="89" spans="1:33" ht="15" customHeight="1">
      <c r="A89" s="1016"/>
      <c r="B89" s="259"/>
      <c r="C89" s="261"/>
      <c r="D89" s="261"/>
      <c r="E89" s="261"/>
      <c r="F89" s="261"/>
      <c r="G89" s="261"/>
      <c r="H89" s="261"/>
      <c r="I89" s="259"/>
      <c r="J89" s="259"/>
      <c r="K89" s="259"/>
      <c r="L89" s="259"/>
      <c r="M89" s="259"/>
      <c r="N89" s="259"/>
      <c r="O89" s="259"/>
      <c r="P89" s="259"/>
      <c r="Q89" s="259"/>
      <c r="R89" s="259"/>
    </row>
    <row r="90" spans="1:33" ht="16">
      <c r="A90" s="1016"/>
      <c r="B90" s="259"/>
      <c r="C90" s="261"/>
      <c r="D90" s="8"/>
      <c r="E90" s="8"/>
      <c r="F90" s="8"/>
      <c r="G90" s="8"/>
      <c r="H90" s="8"/>
      <c r="I90" s="1"/>
      <c r="J90" s="44"/>
      <c r="K90" s="1"/>
      <c r="L90" s="1"/>
      <c r="M90" s="44"/>
      <c r="N90" s="44"/>
      <c r="O90" s="1"/>
      <c r="P90" s="1"/>
      <c r="Q90" s="1"/>
      <c r="AG90" s="256" t="s">
        <v>10</v>
      </c>
    </row>
    <row r="91" spans="1:33" ht="13.75" customHeight="1">
      <c r="A91" s="1016"/>
      <c r="B91" s="1719" t="s">
        <v>341</v>
      </c>
      <c r="C91" s="1719" t="s">
        <v>37</v>
      </c>
      <c r="D91" s="1843" t="s">
        <v>948</v>
      </c>
      <c r="E91" s="1844"/>
      <c r="F91" s="1844"/>
      <c r="G91" s="1844"/>
      <c r="H91" s="1845"/>
      <c r="I91" s="1843" t="s">
        <v>949</v>
      </c>
      <c r="J91" s="1844"/>
      <c r="K91" s="1844"/>
      <c r="L91" s="1844"/>
      <c r="M91" s="1845"/>
      <c r="N91" s="1835" t="s">
        <v>950</v>
      </c>
      <c r="O91" s="1835"/>
      <c r="P91" s="1835"/>
      <c r="Q91" s="1835"/>
      <c r="R91" s="1835"/>
      <c r="S91" s="1835" t="s">
        <v>951</v>
      </c>
      <c r="T91" s="1835"/>
      <c r="U91" s="1835"/>
      <c r="V91" s="1835"/>
      <c r="W91" s="1835"/>
    </row>
    <row r="92" spans="1:33">
      <c r="A92" s="1016"/>
      <c r="B92" s="1719"/>
      <c r="C92" s="1719"/>
      <c r="D92" s="1836" t="s">
        <v>21</v>
      </c>
      <c r="E92" s="1837"/>
      <c r="F92" s="1837"/>
      <c r="G92" s="1837"/>
      <c r="H92" s="1838"/>
      <c r="I92" s="1836" t="s">
        <v>21</v>
      </c>
      <c r="J92" s="1837"/>
      <c r="K92" s="1837"/>
      <c r="L92" s="1837"/>
      <c r="M92" s="1838"/>
      <c r="N92" s="1839" t="s">
        <v>21</v>
      </c>
      <c r="O92" s="1840"/>
      <c r="P92" s="1840"/>
      <c r="Q92" s="1840"/>
      <c r="R92" s="1840"/>
      <c r="S92" s="1839" t="s">
        <v>21</v>
      </c>
      <c r="T92" s="1840"/>
      <c r="U92" s="1840"/>
      <c r="V92" s="1840"/>
      <c r="W92" s="1840"/>
    </row>
    <row r="93" spans="1:33" ht="56">
      <c r="A93" s="1016"/>
      <c r="B93" s="1719"/>
      <c r="C93" s="1719"/>
      <c r="D93" s="938" t="s">
        <v>274</v>
      </c>
      <c r="E93" s="938" t="s">
        <v>269</v>
      </c>
      <c r="F93" s="260" t="s">
        <v>275</v>
      </c>
      <c r="G93" s="932" t="s">
        <v>555</v>
      </c>
      <c r="H93" s="938" t="s">
        <v>276</v>
      </c>
      <c r="I93" s="938" t="s">
        <v>268</v>
      </c>
      <c r="J93" s="938" t="s">
        <v>269</v>
      </c>
      <c r="K93" s="938" t="s">
        <v>270</v>
      </c>
      <c r="L93" s="932" t="s">
        <v>555</v>
      </c>
      <c r="M93" s="938" t="s">
        <v>271</v>
      </c>
      <c r="N93" s="938" t="s">
        <v>268</v>
      </c>
      <c r="O93" s="938" t="s">
        <v>269</v>
      </c>
      <c r="P93" s="938" t="s">
        <v>270</v>
      </c>
      <c r="Q93" s="932" t="s">
        <v>555</v>
      </c>
      <c r="R93" s="938" t="s">
        <v>271</v>
      </c>
      <c r="S93" s="938" t="s">
        <v>268</v>
      </c>
      <c r="T93" s="938" t="s">
        <v>269</v>
      </c>
      <c r="U93" s="938" t="s">
        <v>270</v>
      </c>
      <c r="V93" s="932" t="s">
        <v>555</v>
      </c>
      <c r="W93" s="938" t="s">
        <v>271</v>
      </c>
    </row>
    <row r="94" spans="1:33" ht="28">
      <c r="A94" s="1016"/>
      <c r="B94" s="257"/>
      <c r="C94" s="257"/>
      <c r="D94" s="257" t="s">
        <v>631</v>
      </c>
      <c r="E94" s="257" t="s">
        <v>632</v>
      </c>
      <c r="F94" s="257" t="s">
        <v>633</v>
      </c>
      <c r="G94" s="257" t="s">
        <v>634</v>
      </c>
      <c r="H94" s="257" t="s">
        <v>635</v>
      </c>
      <c r="I94" s="257" t="s">
        <v>631</v>
      </c>
      <c r="J94" s="257" t="s">
        <v>632</v>
      </c>
      <c r="K94" s="257" t="s">
        <v>633</v>
      </c>
      <c r="L94" s="257" t="s">
        <v>634</v>
      </c>
      <c r="M94" s="257" t="s">
        <v>635</v>
      </c>
      <c r="N94" s="257" t="s">
        <v>631</v>
      </c>
      <c r="O94" s="257" t="s">
        <v>632</v>
      </c>
      <c r="P94" s="257" t="s">
        <v>633</v>
      </c>
      <c r="Q94" s="257" t="s">
        <v>634</v>
      </c>
      <c r="R94" s="257" t="s">
        <v>635</v>
      </c>
      <c r="S94" s="257" t="s">
        <v>631</v>
      </c>
      <c r="T94" s="257" t="s">
        <v>632</v>
      </c>
      <c r="U94" s="257" t="s">
        <v>633</v>
      </c>
      <c r="V94" s="257" t="s">
        <v>634</v>
      </c>
      <c r="W94" s="257" t="s">
        <v>635</v>
      </c>
    </row>
    <row r="95" spans="1:33">
      <c r="A95" s="690"/>
      <c r="B95" s="95">
        <v>1</v>
      </c>
      <c r="C95" s="446" t="s">
        <v>810</v>
      </c>
      <c r="D95" s="886">
        <f t="shared" ref="D95:D111" si="26">W68</f>
        <v>0</v>
      </c>
      <c r="E95" s="691">
        <f>'F5'!E95+'F5.1 (N)'!J44</f>
        <v>0</v>
      </c>
      <c r="F95" s="691">
        <f>'F5'!F95+'F5.1 (N)'!K44</f>
        <v>0</v>
      </c>
      <c r="G95" s="691">
        <f>'F5'!G95+'F5.1 (N)'!L44</f>
        <v>0</v>
      </c>
      <c r="H95" s="886">
        <f>D95+E95-F95-G95</f>
        <v>0</v>
      </c>
      <c r="I95" s="851">
        <f>H95</f>
        <v>0</v>
      </c>
      <c r="J95" s="877">
        <f>'F5'!J95+'F5.1 (N)'!O44</f>
        <v>0</v>
      </c>
      <c r="K95" s="877">
        <f>'F5'!K95+'F5.1 (N)'!P44</f>
        <v>0</v>
      </c>
      <c r="L95" s="877">
        <f>'F5'!L95+'F5.1 (N)'!Q44</f>
        <v>0</v>
      </c>
      <c r="M95" s="851">
        <f>I95+J95-K95-L95</f>
        <v>0</v>
      </c>
      <c r="N95" s="851">
        <f>M95</f>
        <v>0</v>
      </c>
      <c r="O95" s="877">
        <f>'F5'!O95+'F5.1 (N)'!T44</f>
        <v>0</v>
      </c>
      <c r="P95" s="877">
        <f>'F5'!P95+'F5.1 (N)'!U44</f>
        <v>0</v>
      </c>
      <c r="Q95" s="877">
        <f>'F5'!Q95+'F5.1 (N)'!V44</f>
        <v>0</v>
      </c>
      <c r="R95" s="851">
        <f>N95+O95-P95-Q95</f>
        <v>0</v>
      </c>
      <c r="S95" s="851">
        <f>R95</f>
        <v>0</v>
      </c>
      <c r="T95" s="877">
        <f>'F5'!T95+'F5.1 (N)'!Y44</f>
        <v>0</v>
      </c>
      <c r="U95" s="877">
        <f>'F5'!U95+'F5.1 (N)'!Z44</f>
        <v>0</v>
      </c>
      <c r="V95" s="877">
        <f>'F5'!V95+'F5.1 (N)'!AA44</f>
        <v>0</v>
      </c>
      <c r="W95" s="851">
        <f>S95+T95-U95-V95</f>
        <v>0</v>
      </c>
    </row>
    <row r="96" spans="1:33">
      <c r="A96" s="690"/>
      <c r="B96" s="95">
        <f>B95+1</f>
        <v>2</v>
      </c>
      <c r="C96" s="446" t="s">
        <v>811</v>
      </c>
      <c r="D96" s="886">
        <f t="shared" si="26"/>
        <v>136.82905700448322</v>
      </c>
      <c r="E96" s="691">
        <f>'F5'!E96+'F5.1 (N)'!J45</f>
        <v>10.737602123928845</v>
      </c>
      <c r="F96" s="691">
        <f>'F5'!F96+'F5.1 (N)'!K45</f>
        <v>0</v>
      </c>
      <c r="G96" s="691">
        <f>'F5'!G96+'F5.1 (N)'!L45</f>
        <v>0</v>
      </c>
      <c r="H96" s="886">
        <f t="shared" ref="H96:H111" si="27">D96+E96-F96-G96</f>
        <v>147.56665912841206</v>
      </c>
      <c r="I96" s="851">
        <f t="shared" ref="I96:I111" si="28">H96</f>
        <v>147.56665912841206</v>
      </c>
      <c r="J96" s="877">
        <f>'F5'!J96+'F5.1 (N)'!O45</f>
        <v>10.737602123928845</v>
      </c>
      <c r="K96" s="877">
        <f>'F5'!K96+'F5.1 (N)'!P45</f>
        <v>0</v>
      </c>
      <c r="L96" s="877">
        <f>'F5'!L96+'F5.1 (N)'!Q45</f>
        <v>0</v>
      </c>
      <c r="M96" s="851">
        <f t="shared" ref="M96:M111" si="29">I96+J96-K96-L96</f>
        <v>158.30426125234089</v>
      </c>
      <c r="N96" s="851">
        <f t="shared" ref="N96:N111" si="30">M96</f>
        <v>158.30426125234089</v>
      </c>
      <c r="O96" s="877">
        <f>'F5'!O96+'F5.1 (N)'!T45</f>
        <v>10.737602123928845</v>
      </c>
      <c r="P96" s="877">
        <f>'F5'!P96+'F5.1 (N)'!U45</f>
        <v>0</v>
      </c>
      <c r="Q96" s="877">
        <f>'F5'!Q96+'F5.1 (N)'!V45</f>
        <v>0</v>
      </c>
      <c r="R96" s="851">
        <f t="shared" ref="R96:R111" si="31">N96+O96-P96-Q96</f>
        <v>169.04186337626973</v>
      </c>
      <c r="S96" s="851">
        <f t="shared" ref="S96:S111" si="32">R96</f>
        <v>169.04186337626973</v>
      </c>
      <c r="T96" s="877">
        <f>'F5'!T96+'F5.1 (N)'!Y45</f>
        <v>10.737602123928845</v>
      </c>
      <c r="U96" s="877">
        <f>'F5'!U96+'F5.1 (N)'!Z45</f>
        <v>0</v>
      </c>
      <c r="V96" s="877">
        <f>'F5'!V96+'F5.1 (N)'!AA45</f>
        <v>0</v>
      </c>
      <c r="W96" s="851">
        <f t="shared" ref="W96:W111" si="33">S96+T96-U96-V96</f>
        <v>179.77946550019857</v>
      </c>
    </row>
    <row r="97" spans="1:23">
      <c r="A97" s="690"/>
      <c r="B97" s="95">
        <f t="shared" ref="B97:B111" si="34">B96+1</f>
        <v>3</v>
      </c>
      <c r="C97" s="446" t="s">
        <v>812</v>
      </c>
      <c r="D97" s="886">
        <f t="shared" si="26"/>
        <v>0.21100000000000002</v>
      </c>
      <c r="E97" s="691">
        <f>'F5'!E97+'F5.1 (N)'!J46</f>
        <v>0.42200000000000004</v>
      </c>
      <c r="F97" s="691">
        <f>'F5'!F97+'F5.1 (N)'!K46</f>
        <v>0</v>
      </c>
      <c r="G97" s="691">
        <f>'F5'!G97+'F5.1 (N)'!L46</f>
        <v>0</v>
      </c>
      <c r="H97" s="886">
        <f t="shared" si="27"/>
        <v>0.63300000000000001</v>
      </c>
      <c r="I97" s="851">
        <f t="shared" si="28"/>
        <v>0.63300000000000001</v>
      </c>
      <c r="J97" s="877">
        <f>'F5'!J97+'F5.1 (N)'!O46</f>
        <v>0.42200000000000004</v>
      </c>
      <c r="K97" s="877">
        <f>'F5'!K97+'F5.1 (N)'!P46</f>
        <v>0</v>
      </c>
      <c r="L97" s="877">
        <f>'F5'!L97+'F5.1 (N)'!Q46</f>
        <v>0</v>
      </c>
      <c r="M97" s="851">
        <f t="shared" si="29"/>
        <v>1.0550000000000002</v>
      </c>
      <c r="N97" s="851">
        <f t="shared" si="30"/>
        <v>1.0550000000000002</v>
      </c>
      <c r="O97" s="877">
        <f>'F5'!O97+'F5.1 (N)'!T46</f>
        <v>0.42200000000000004</v>
      </c>
      <c r="P97" s="877">
        <f>'F5'!P97+'F5.1 (N)'!U46</f>
        <v>0</v>
      </c>
      <c r="Q97" s="877">
        <f>'F5'!Q97+'F5.1 (N)'!V46</f>
        <v>0</v>
      </c>
      <c r="R97" s="851">
        <f t="shared" si="31"/>
        <v>1.4770000000000003</v>
      </c>
      <c r="S97" s="851">
        <f t="shared" si="32"/>
        <v>1.4770000000000003</v>
      </c>
      <c r="T97" s="877">
        <f>'F5'!T97+'F5.1 (N)'!Y46</f>
        <v>0.42200000000000004</v>
      </c>
      <c r="U97" s="877">
        <f>'F5'!U97+'F5.1 (N)'!Z46</f>
        <v>0</v>
      </c>
      <c r="V97" s="877">
        <f>'F5'!V97+'F5.1 (N)'!AA46</f>
        <v>0</v>
      </c>
      <c r="W97" s="851">
        <f t="shared" si="33"/>
        <v>1.8990000000000005</v>
      </c>
    </row>
    <row r="98" spans="1:23">
      <c r="A98" s="690"/>
      <c r="B98" s="95">
        <f t="shared" si="34"/>
        <v>4</v>
      </c>
      <c r="C98" s="446" t="s">
        <v>813</v>
      </c>
      <c r="D98" s="886">
        <f t="shared" si="26"/>
        <v>234.29840259635267</v>
      </c>
      <c r="E98" s="691">
        <f>'F5'!E98+'F5.1 (N)'!J47</f>
        <v>6.2667223649559407</v>
      </c>
      <c r="F98" s="691">
        <f>'F5'!F98+'F5.1 (N)'!K47</f>
        <v>0</v>
      </c>
      <c r="G98" s="691">
        <f>'F5'!G98+'F5.1 (N)'!L47</f>
        <v>0</v>
      </c>
      <c r="H98" s="886">
        <f t="shared" si="27"/>
        <v>240.56512496130861</v>
      </c>
      <c r="I98" s="851">
        <f t="shared" si="28"/>
        <v>240.56512496130861</v>
      </c>
      <c r="J98" s="877">
        <f>'F5'!J98+'F5.1 (N)'!O47</f>
        <v>6.2667223649559407</v>
      </c>
      <c r="K98" s="877">
        <f>'F5'!K98+'F5.1 (N)'!P47</f>
        <v>0</v>
      </c>
      <c r="L98" s="877">
        <f>'F5'!L98+'F5.1 (N)'!Q47</f>
        <v>0</v>
      </c>
      <c r="M98" s="851">
        <f t="shared" si="29"/>
        <v>246.83184732626455</v>
      </c>
      <c r="N98" s="851">
        <f t="shared" si="30"/>
        <v>246.83184732626455</v>
      </c>
      <c r="O98" s="877">
        <f>'F5'!O98+'F5.1 (N)'!T47</f>
        <v>6.2667223649559407</v>
      </c>
      <c r="P98" s="877">
        <f>'F5'!P98+'F5.1 (N)'!U47</f>
        <v>0</v>
      </c>
      <c r="Q98" s="877">
        <f>'F5'!Q98+'F5.1 (N)'!V47</f>
        <v>0</v>
      </c>
      <c r="R98" s="851">
        <f t="shared" si="31"/>
        <v>253.09856969122049</v>
      </c>
      <c r="S98" s="851">
        <f t="shared" si="32"/>
        <v>253.09856969122049</v>
      </c>
      <c r="T98" s="877">
        <f>'F5'!T98+'F5.1 (N)'!Y47</f>
        <v>6.2667223649559416</v>
      </c>
      <c r="U98" s="877">
        <f>'F5'!U98+'F5.1 (N)'!Z47</f>
        <v>0</v>
      </c>
      <c r="V98" s="877">
        <f>'F5'!V98+'F5.1 (N)'!AA47</f>
        <v>0</v>
      </c>
      <c r="W98" s="851">
        <f t="shared" si="33"/>
        <v>259.36529205617643</v>
      </c>
    </row>
    <row r="99" spans="1:23">
      <c r="A99" s="690"/>
      <c r="B99" s="95">
        <f t="shared" si="34"/>
        <v>5</v>
      </c>
      <c r="C99" s="446" t="s">
        <v>814</v>
      </c>
      <c r="D99" s="886">
        <f t="shared" si="26"/>
        <v>139.32376782725476</v>
      </c>
      <c r="E99" s="691">
        <f>'F5'!E99+'F5.1 (N)'!J48</f>
        <v>12.724123271448946</v>
      </c>
      <c r="F99" s="691">
        <f>'F5'!F99+'F5.1 (N)'!K48</f>
        <v>0</v>
      </c>
      <c r="G99" s="691">
        <f>'F5'!G99+'F5.1 (N)'!L48</f>
        <v>0</v>
      </c>
      <c r="H99" s="886">
        <f t="shared" si="27"/>
        <v>152.0478910987037</v>
      </c>
      <c r="I99" s="851">
        <f t="shared" si="28"/>
        <v>152.0478910987037</v>
      </c>
      <c r="J99" s="877">
        <f>'F5'!J99+'F5.1 (N)'!O48</f>
        <v>12.724123271448946</v>
      </c>
      <c r="K99" s="877">
        <f>'F5'!K99+'F5.1 (N)'!P48</f>
        <v>0</v>
      </c>
      <c r="L99" s="877">
        <f>'F5'!L99+'F5.1 (N)'!Q48</f>
        <v>0</v>
      </c>
      <c r="M99" s="851">
        <f t="shared" si="29"/>
        <v>164.77201437015265</v>
      </c>
      <c r="N99" s="851">
        <f t="shared" si="30"/>
        <v>164.77201437015265</v>
      </c>
      <c r="O99" s="877">
        <f>'F5'!O99+'F5.1 (N)'!T48</f>
        <v>12.724123271448946</v>
      </c>
      <c r="P99" s="877">
        <f>'F5'!P99+'F5.1 (N)'!U48</f>
        <v>0</v>
      </c>
      <c r="Q99" s="877">
        <f>'F5'!Q99+'F5.1 (N)'!V48</f>
        <v>0</v>
      </c>
      <c r="R99" s="851">
        <f t="shared" si="31"/>
        <v>177.49613764160159</v>
      </c>
      <c r="S99" s="851">
        <f t="shared" si="32"/>
        <v>177.49613764160159</v>
      </c>
      <c r="T99" s="877">
        <f>'F5'!T99+'F5.1 (N)'!Y48</f>
        <v>12.724123271448946</v>
      </c>
      <c r="U99" s="877">
        <f>'F5'!U99+'F5.1 (N)'!Z48</f>
        <v>0</v>
      </c>
      <c r="V99" s="877">
        <f>'F5'!V99+'F5.1 (N)'!AA48</f>
        <v>0</v>
      </c>
      <c r="W99" s="851">
        <f t="shared" si="33"/>
        <v>190.22026091305054</v>
      </c>
    </row>
    <row r="100" spans="1:23">
      <c r="A100" s="690"/>
      <c r="B100" s="95">
        <f t="shared" si="34"/>
        <v>6</v>
      </c>
      <c r="C100" s="446" t="s">
        <v>256</v>
      </c>
      <c r="D100" s="886">
        <f t="shared" si="26"/>
        <v>3763.3666497745662</v>
      </c>
      <c r="E100" s="691">
        <f>'F5'!E100+'F5.1 (N)'!J49</f>
        <v>123.50826768204128</v>
      </c>
      <c r="F100" s="691">
        <f>'F5'!F100+'F5.1 (N)'!K49</f>
        <v>0</v>
      </c>
      <c r="G100" s="691">
        <f>'F5'!G100+'F5.1 (N)'!L49</f>
        <v>0</v>
      </c>
      <c r="H100" s="886">
        <f t="shared" si="27"/>
        <v>3886.8749174566074</v>
      </c>
      <c r="I100" s="851">
        <f t="shared" si="28"/>
        <v>3886.8749174566074</v>
      </c>
      <c r="J100" s="877">
        <f>'F5'!J100+'F5.1 (N)'!O49</f>
        <v>132.02395500954526</v>
      </c>
      <c r="K100" s="877">
        <f>'F5'!K100+'F5.1 (N)'!P49</f>
        <v>0</v>
      </c>
      <c r="L100" s="877">
        <f>'F5'!L100+'F5.1 (N)'!Q49</f>
        <v>0</v>
      </c>
      <c r="M100" s="851">
        <f t="shared" si="29"/>
        <v>4018.8988724661526</v>
      </c>
      <c r="N100" s="851">
        <f t="shared" si="30"/>
        <v>4018.8988724661526</v>
      </c>
      <c r="O100" s="877">
        <f>'F5'!O100+'F5.1 (N)'!T49</f>
        <v>137.17221434287859</v>
      </c>
      <c r="P100" s="877">
        <f>'F5'!P100+'F5.1 (N)'!U49</f>
        <v>0</v>
      </c>
      <c r="Q100" s="877">
        <f>'F5'!Q100+'F5.1 (N)'!V49</f>
        <v>0</v>
      </c>
      <c r="R100" s="851">
        <f t="shared" si="31"/>
        <v>4156.0710868090309</v>
      </c>
      <c r="S100" s="851">
        <f t="shared" si="32"/>
        <v>4156.0710868090309</v>
      </c>
      <c r="T100" s="877">
        <f>'F5'!T100+'F5.1 (N)'!Y49</f>
        <v>143.84684767621195</v>
      </c>
      <c r="U100" s="877">
        <f>'F5'!U100+'F5.1 (N)'!Z49</f>
        <v>0</v>
      </c>
      <c r="V100" s="877">
        <f>'F5'!V100+'F5.1 (N)'!AA49</f>
        <v>0</v>
      </c>
      <c r="W100" s="851">
        <f t="shared" si="33"/>
        <v>4299.9179344852428</v>
      </c>
    </row>
    <row r="101" spans="1:23">
      <c r="A101" s="690"/>
      <c r="B101" s="95">
        <f t="shared" si="34"/>
        <v>7</v>
      </c>
      <c r="C101" s="446" t="s">
        <v>815</v>
      </c>
      <c r="D101" s="886">
        <f t="shared" si="26"/>
        <v>3.9028130894405688</v>
      </c>
      <c r="E101" s="691">
        <f>'F5'!E101+'F5.1 (N)'!J50</f>
        <v>4.6682201271594177E-2</v>
      </c>
      <c r="F101" s="691">
        <f>'F5'!F101+'F5.1 (N)'!K50</f>
        <v>0</v>
      </c>
      <c r="G101" s="691">
        <f>'F5'!G101+'F5.1 (N)'!L50</f>
        <v>0</v>
      </c>
      <c r="H101" s="886">
        <f t="shared" si="27"/>
        <v>3.949495290712163</v>
      </c>
      <c r="I101" s="851">
        <f t="shared" si="28"/>
        <v>3.949495290712163</v>
      </c>
      <c r="J101" s="877">
        <f>'F5'!J101+'F5.1 (N)'!O50</f>
        <v>4.6682201271594177E-2</v>
      </c>
      <c r="K101" s="877">
        <f>'F5'!K101+'F5.1 (N)'!P50</f>
        <v>0</v>
      </c>
      <c r="L101" s="877">
        <f>'F5'!L101+'F5.1 (N)'!Q50</f>
        <v>0</v>
      </c>
      <c r="M101" s="851">
        <f t="shared" si="29"/>
        <v>3.9961774919837572</v>
      </c>
      <c r="N101" s="851">
        <f t="shared" si="30"/>
        <v>3.9961774919837572</v>
      </c>
      <c r="O101" s="877">
        <f>'F5'!O101+'F5.1 (N)'!T50</f>
        <v>4.6682201271594177E-2</v>
      </c>
      <c r="P101" s="877">
        <f>'F5'!P101+'F5.1 (N)'!U50</f>
        <v>0</v>
      </c>
      <c r="Q101" s="877">
        <f>'F5'!Q101+'F5.1 (N)'!V50</f>
        <v>0</v>
      </c>
      <c r="R101" s="851">
        <f t="shared" si="31"/>
        <v>4.0428596932553518</v>
      </c>
      <c r="S101" s="851">
        <f t="shared" si="32"/>
        <v>4.0428596932553518</v>
      </c>
      <c r="T101" s="877">
        <f>'F5'!T101+'F5.1 (N)'!Y50</f>
        <v>4.6682201271594129E-2</v>
      </c>
      <c r="U101" s="877">
        <f>'F5'!U101+'F5.1 (N)'!Z50</f>
        <v>0</v>
      </c>
      <c r="V101" s="877">
        <f>'F5'!V101+'F5.1 (N)'!AA50</f>
        <v>0</v>
      </c>
      <c r="W101" s="851">
        <f t="shared" si="33"/>
        <v>4.0895418945269455</v>
      </c>
    </row>
    <row r="102" spans="1:23">
      <c r="A102" s="690"/>
      <c r="B102" s="95">
        <f t="shared" si="34"/>
        <v>8</v>
      </c>
      <c r="C102" s="446" t="s">
        <v>816</v>
      </c>
      <c r="D102" s="886">
        <f t="shared" si="26"/>
        <v>2.9533921570879869E-2</v>
      </c>
      <c r="E102" s="691">
        <f>'F5'!E102+'F5.1 (N)'!J51</f>
        <v>5.3698039219781581E-3</v>
      </c>
      <c r="F102" s="691">
        <f>'F5'!F102+'F5.1 (N)'!K51</f>
        <v>0</v>
      </c>
      <c r="G102" s="691">
        <f>'F5'!G102+'F5.1 (N)'!L51</f>
        <v>0</v>
      </c>
      <c r="H102" s="886">
        <f t="shared" si="27"/>
        <v>3.4903725492858029E-2</v>
      </c>
      <c r="I102" s="851">
        <f t="shared" si="28"/>
        <v>3.4903725492858029E-2</v>
      </c>
      <c r="J102" s="877">
        <f>'F5'!J102+'F5.1 (N)'!O51</f>
        <v>5.3698039219781581E-3</v>
      </c>
      <c r="K102" s="877">
        <f>'F5'!K102+'F5.1 (N)'!P51</f>
        <v>0</v>
      </c>
      <c r="L102" s="877">
        <f>'F5'!L102+'F5.1 (N)'!Q51</f>
        <v>0</v>
      </c>
      <c r="M102" s="851">
        <f t="shared" si="29"/>
        <v>4.0273529414836189E-2</v>
      </c>
      <c r="N102" s="851">
        <f t="shared" si="30"/>
        <v>4.0273529414836189E-2</v>
      </c>
      <c r="O102" s="877">
        <f>'F5'!O102+'F5.1 (N)'!T51</f>
        <v>5.3698039219781581E-3</v>
      </c>
      <c r="P102" s="877">
        <f>'F5'!P102+'F5.1 (N)'!U51</f>
        <v>0</v>
      </c>
      <c r="Q102" s="877">
        <f>'F5'!Q102+'F5.1 (N)'!V51</f>
        <v>0</v>
      </c>
      <c r="R102" s="851">
        <f t="shared" si="31"/>
        <v>4.5643333336814348E-2</v>
      </c>
      <c r="S102" s="851">
        <f t="shared" si="32"/>
        <v>4.5643333336814348E-2</v>
      </c>
      <c r="T102" s="877">
        <f>'F5'!T102+'F5.1 (N)'!Y51</f>
        <v>5.3698039219781581E-3</v>
      </c>
      <c r="U102" s="877">
        <f>'F5'!U102+'F5.1 (N)'!Z51</f>
        <v>0</v>
      </c>
      <c r="V102" s="877">
        <f>'F5'!V102+'F5.1 (N)'!AA51</f>
        <v>0</v>
      </c>
      <c r="W102" s="851">
        <f t="shared" si="33"/>
        <v>5.1013137258792508E-2</v>
      </c>
    </row>
    <row r="103" spans="1:23">
      <c r="A103" s="690"/>
      <c r="B103" s="95">
        <f t="shared" si="34"/>
        <v>9</v>
      </c>
      <c r="C103" s="446" t="s">
        <v>817</v>
      </c>
      <c r="D103" s="886">
        <f t="shared" si="26"/>
        <v>31.597752499651719</v>
      </c>
      <c r="E103" s="691">
        <f>'F5'!E103+'F5.1 (N)'!J52</f>
        <v>0.98482773944697966</v>
      </c>
      <c r="F103" s="691">
        <f>'F5'!F103+'F5.1 (N)'!K52</f>
        <v>0</v>
      </c>
      <c r="G103" s="691">
        <f>'F5'!G103+'F5.1 (N)'!L52</f>
        <v>0</v>
      </c>
      <c r="H103" s="886">
        <f t="shared" si="27"/>
        <v>32.582580239098696</v>
      </c>
      <c r="I103" s="851">
        <f t="shared" si="28"/>
        <v>32.582580239098696</v>
      </c>
      <c r="J103" s="877">
        <f>'F5'!J103+'F5.1 (N)'!O52</f>
        <v>0.98482773944697988</v>
      </c>
      <c r="K103" s="877">
        <f>'F5'!K103+'F5.1 (N)'!P52</f>
        <v>0</v>
      </c>
      <c r="L103" s="877">
        <f>'F5'!L103+'F5.1 (N)'!Q52</f>
        <v>0</v>
      </c>
      <c r="M103" s="851">
        <f t="shared" si="29"/>
        <v>33.567407978545674</v>
      </c>
      <c r="N103" s="851">
        <f t="shared" si="30"/>
        <v>33.567407978545674</v>
      </c>
      <c r="O103" s="877">
        <f>'F5'!O103+'F5.1 (N)'!T52</f>
        <v>0.9848277394469801</v>
      </c>
      <c r="P103" s="877">
        <f>'F5'!P103+'F5.1 (N)'!U52</f>
        <v>0</v>
      </c>
      <c r="Q103" s="877">
        <f>'F5'!Q103+'F5.1 (N)'!V52</f>
        <v>0</v>
      </c>
      <c r="R103" s="851">
        <f t="shared" si="31"/>
        <v>34.552235717992652</v>
      </c>
      <c r="S103" s="851">
        <f t="shared" si="32"/>
        <v>34.552235717992652</v>
      </c>
      <c r="T103" s="877">
        <f>'F5'!T103+'F5.1 (N)'!Y52</f>
        <v>0.98482773944698032</v>
      </c>
      <c r="U103" s="877">
        <f>'F5'!U103+'F5.1 (N)'!Z52</f>
        <v>0</v>
      </c>
      <c r="V103" s="877">
        <f>'F5'!V103+'F5.1 (N)'!AA52</f>
        <v>0</v>
      </c>
      <c r="W103" s="851">
        <f t="shared" si="33"/>
        <v>35.537063457439629</v>
      </c>
    </row>
    <row r="104" spans="1:23">
      <c r="A104" s="690"/>
      <c r="B104" s="95">
        <f t="shared" si="34"/>
        <v>10</v>
      </c>
      <c r="C104" s="446" t="s">
        <v>259</v>
      </c>
      <c r="D104" s="886">
        <f t="shared" si="26"/>
        <v>3.0210070129745779</v>
      </c>
      <c r="E104" s="691">
        <f>'F5'!E104+'F5.1 (N)'!J53</f>
        <v>0.60988578193657283</v>
      </c>
      <c r="F104" s="691">
        <f>'F5'!F104+'F5.1 (N)'!K53</f>
        <v>0</v>
      </c>
      <c r="G104" s="691">
        <f>'F5'!G104+'F5.1 (N)'!L53</f>
        <v>0</v>
      </c>
      <c r="H104" s="886">
        <f t="shared" si="27"/>
        <v>3.6308927949111505</v>
      </c>
      <c r="I104" s="851">
        <f t="shared" si="28"/>
        <v>3.6308927949111505</v>
      </c>
      <c r="J104" s="877">
        <f>'F5'!J104+'F5.1 (N)'!O53</f>
        <v>0.62510595029735538</v>
      </c>
      <c r="K104" s="877">
        <f>'F5'!K104+'F5.1 (N)'!P53</f>
        <v>0</v>
      </c>
      <c r="L104" s="877">
        <f>'F5'!L104+'F5.1 (N)'!Q53</f>
        <v>0</v>
      </c>
      <c r="M104" s="851">
        <f t="shared" si="29"/>
        <v>4.2559987452085055</v>
      </c>
      <c r="N104" s="851">
        <f t="shared" si="30"/>
        <v>4.2559987452085055</v>
      </c>
      <c r="O104" s="877">
        <f>'F5'!O104+'F5.1 (N)'!T53</f>
        <v>0.95000595029735535</v>
      </c>
      <c r="P104" s="877">
        <f>'F5'!P104+'F5.1 (N)'!U53</f>
        <v>0</v>
      </c>
      <c r="Q104" s="877">
        <f>'F5'!Q104+'F5.1 (N)'!V53</f>
        <v>0</v>
      </c>
      <c r="R104" s="851">
        <f t="shared" si="31"/>
        <v>5.206004695505861</v>
      </c>
      <c r="S104" s="851">
        <f t="shared" si="32"/>
        <v>5.206004695505861</v>
      </c>
      <c r="T104" s="877">
        <f>'F5'!T104+'F5.1 (N)'!Y53</f>
        <v>0.95000595029735535</v>
      </c>
      <c r="U104" s="877">
        <f>'F5'!U104+'F5.1 (N)'!Z53</f>
        <v>0</v>
      </c>
      <c r="V104" s="877">
        <f>'F5'!V104+'F5.1 (N)'!AA53</f>
        <v>0</v>
      </c>
      <c r="W104" s="851">
        <f t="shared" si="33"/>
        <v>6.1560106458032164</v>
      </c>
    </row>
    <row r="105" spans="1:23">
      <c r="A105" s="690"/>
      <c r="B105" s="95">
        <f t="shared" si="34"/>
        <v>11</v>
      </c>
      <c r="C105" s="446" t="s">
        <v>260</v>
      </c>
      <c r="D105" s="886">
        <f t="shared" si="26"/>
        <v>1.6641925379096136</v>
      </c>
      <c r="E105" s="691">
        <f>'F5'!E105+'F5.1 (N)'!J54</f>
        <v>0.19224767500591577</v>
      </c>
      <c r="F105" s="691">
        <f>'F5'!F105+'F5.1 (N)'!K54</f>
        <v>0</v>
      </c>
      <c r="G105" s="691">
        <f>'F5'!G105+'F5.1 (N)'!L54</f>
        <v>0</v>
      </c>
      <c r="H105" s="886">
        <f t="shared" si="27"/>
        <v>1.8564402129155293</v>
      </c>
      <c r="I105" s="851">
        <f t="shared" si="28"/>
        <v>1.8564402129155293</v>
      </c>
      <c r="J105" s="877">
        <f>'F5'!J105+'F5.1 (N)'!O54</f>
        <v>0.19224767500591577</v>
      </c>
      <c r="K105" s="877">
        <f>'F5'!K105+'F5.1 (N)'!P54</f>
        <v>0</v>
      </c>
      <c r="L105" s="877">
        <f>'F5'!L105+'F5.1 (N)'!Q54</f>
        <v>0</v>
      </c>
      <c r="M105" s="851">
        <f t="shared" si="29"/>
        <v>2.048687887921445</v>
      </c>
      <c r="N105" s="851">
        <f t="shared" si="30"/>
        <v>2.048687887921445</v>
      </c>
      <c r="O105" s="877">
        <f>'F5'!O105+'F5.1 (N)'!T54</f>
        <v>6.7117591731277279E-2</v>
      </c>
      <c r="P105" s="877">
        <f>'F5'!P105+'F5.1 (N)'!U54</f>
        <v>0</v>
      </c>
      <c r="Q105" s="877">
        <f>'F5'!Q105+'F5.1 (N)'!V54</f>
        <v>0</v>
      </c>
      <c r="R105" s="851">
        <f t="shared" si="31"/>
        <v>2.1158054796527224</v>
      </c>
      <c r="S105" s="851">
        <f t="shared" si="32"/>
        <v>2.1158054796527224</v>
      </c>
      <c r="T105" s="877">
        <f>'F5'!T105+'F5.1 (N)'!Y54</f>
        <v>6.7117591731277265E-2</v>
      </c>
      <c r="U105" s="877">
        <f>'F5'!U105+'F5.1 (N)'!Z54</f>
        <v>0</v>
      </c>
      <c r="V105" s="877">
        <f>'F5'!V105+'F5.1 (N)'!AA54</f>
        <v>0</v>
      </c>
      <c r="W105" s="851">
        <f t="shared" si="33"/>
        <v>2.1829230713839998</v>
      </c>
    </row>
    <row r="106" spans="1:23">
      <c r="A106" s="690"/>
      <c r="B106" s="95">
        <f t="shared" si="34"/>
        <v>12</v>
      </c>
      <c r="C106" s="446" t="s">
        <v>261</v>
      </c>
      <c r="D106" s="886">
        <f t="shared" si="26"/>
        <v>0.44521833108585185</v>
      </c>
      <c r="E106" s="691">
        <f>'F5'!E106+'F5.1 (N)'!J55</f>
        <v>6.9050002701972368E-2</v>
      </c>
      <c r="F106" s="691">
        <f>'F5'!F106+'F5.1 (N)'!K55</f>
        <v>0</v>
      </c>
      <c r="G106" s="691">
        <f>'F5'!G106+'F5.1 (N)'!L55</f>
        <v>0</v>
      </c>
      <c r="H106" s="886">
        <f t="shared" si="27"/>
        <v>0.51426833378782422</v>
      </c>
      <c r="I106" s="851">
        <f t="shared" si="28"/>
        <v>0.51426833378782422</v>
      </c>
      <c r="J106" s="877">
        <f>'F5'!J106+'F5.1 (N)'!O55</f>
        <v>6.9050002701972368E-2</v>
      </c>
      <c r="K106" s="877">
        <f>'F5'!K106+'F5.1 (N)'!P55</f>
        <v>0</v>
      </c>
      <c r="L106" s="877">
        <f>'F5'!L106+'F5.1 (N)'!Q55</f>
        <v>0</v>
      </c>
      <c r="M106" s="851">
        <f t="shared" si="29"/>
        <v>0.58331833648979659</v>
      </c>
      <c r="N106" s="851">
        <f t="shared" si="30"/>
        <v>0.58331833648979659</v>
      </c>
      <c r="O106" s="877">
        <f>'F5'!O106+'F5.1 (N)'!T55</f>
        <v>6.9050002701972368E-2</v>
      </c>
      <c r="P106" s="877">
        <f>'F5'!P106+'F5.1 (N)'!U55</f>
        <v>0</v>
      </c>
      <c r="Q106" s="877">
        <f>'F5'!Q106+'F5.1 (N)'!V55</f>
        <v>0</v>
      </c>
      <c r="R106" s="851">
        <f t="shared" si="31"/>
        <v>0.65236833919176895</v>
      </c>
      <c r="S106" s="851">
        <f t="shared" si="32"/>
        <v>0.65236833919176895</v>
      </c>
      <c r="T106" s="877">
        <f>'F5'!T106+'F5.1 (N)'!Y55</f>
        <v>6.9050002701972368E-2</v>
      </c>
      <c r="U106" s="877">
        <f>'F5'!U106+'F5.1 (N)'!Z55</f>
        <v>0</v>
      </c>
      <c r="V106" s="877">
        <f>'F5'!V106+'F5.1 (N)'!AA55</f>
        <v>0</v>
      </c>
      <c r="W106" s="851">
        <f t="shared" si="33"/>
        <v>0.72141834189374132</v>
      </c>
    </row>
    <row r="107" spans="1:23">
      <c r="A107" s="690"/>
      <c r="B107" s="95">
        <f t="shared" si="34"/>
        <v>13</v>
      </c>
      <c r="C107" s="466" t="s">
        <v>865</v>
      </c>
      <c r="D107" s="886">
        <f t="shared" si="26"/>
        <v>0</v>
      </c>
      <c r="E107" s="691">
        <f>'F5'!E107+'F5.1 (N)'!J56</f>
        <v>0</v>
      </c>
      <c r="F107" s="691">
        <f>'F5'!F107+'F5.1 (N)'!K56</f>
        <v>0</v>
      </c>
      <c r="G107" s="691">
        <f>'F5'!G107+'F5.1 (N)'!L56</f>
        <v>0</v>
      </c>
      <c r="H107" s="886">
        <f t="shared" si="27"/>
        <v>0</v>
      </c>
      <c r="I107" s="851">
        <f t="shared" si="28"/>
        <v>0</v>
      </c>
      <c r="J107" s="877">
        <f>'F5'!J107+'F5.1 (N)'!O56</f>
        <v>0</v>
      </c>
      <c r="K107" s="877">
        <f>'F5'!K107+'F5.1 (N)'!P56</f>
        <v>0</v>
      </c>
      <c r="L107" s="877">
        <f>'F5'!L107+'F5.1 (N)'!Q56</f>
        <v>0</v>
      </c>
      <c r="M107" s="851">
        <f t="shared" si="29"/>
        <v>0</v>
      </c>
      <c r="N107" s="851">
        <f t="shared" si="30"/>
        <v>0</v>
      </c>
      <c r="O107" s="877">
        <f>'F5'!O107+'F5.1 (N)'!T56</f>
        <v>0</v>
      </c>
      <c r="P107" s="877">
        <f>'F5'!P107+'F5.1 (N)'!U56</f>
        <v>0</v>
      </c>
      <c r="Q107" s="877">
        <f>'F5'!Q107+'F5.1 (N)'!V56</f>
        <v>0</v>
      </c>
      <c r="R107" s="851">
        <f t="shared" si="31"/>
        <v>0</v>
      </c>
      <c r="S107" s="851">
        <f t="shared" si="32"/>
        <v>0</v>
      </c>
      <c r="T107" s="877">
        <f>'F5'!T107+'F5.1 (N)'!Y56</f>
        <v>0</v>
      </c>
      <c r="U107" s="877">
        <f>'F5'!U107+'F5.1 (N)'!Z56</f>
        <v>0</v>
      </c>
      <c r="V107" s="877">
        <f>'F5'!V107+'F5.1 (N)'!AA56</f>
        <v>0</v>
      </c>
      <c r="W107" s="851">
        <f t="shared" si="33"/>
        <v>0</v>
      </c>
    </row>
    <row r="108" spans="1:23">
      <c r="A108" s="690"/>
      <c r="B108" s="95">
        <f t="shared" si="34"/>
        <v>14</v>
      </c>
      <c r="C108" s="466" t="s">
        <v>866</v>
      </c>
      <c r="D108" s="886">
        <f t="shared" si="26"/>
        <v>1.0817665499999999E-2</v>
      </c>
      <c r="E108" s="691">
        <f>'F5'!E108+'F5.1 (N)'!J57</f>
        <v>0</v>
      </c>
      <c r="F108" s="691">
        <f>'F5'!F108+'F5.1 (N)'!K57</f>
        <v>0</v>
      </c>
      <c r="G108" s="691">
        <f>'F5'!G108+'F5.1 (N)'!L57</f>
        <v>0</v>
      </c>
      <c r="H108" s="886">
        <f t="shared" si="27"/>
        <v>1.0817665499999999E-2</v>
      </c>
      <c r="I108" s="851">
        <f t="shared" si="28"/>
        <v>1.0817665499999999E-2</v>
      </c>
      <c r="J108" s="877">
        <f>'F5'!J108+'F5.1 (N)'!O57</f>
        <v>0</v>
      </c>
      <c r="K108" s="877">
        <f>'F5'!K108+'F5.1 (N)'!P57</f>
        <v>0</v>
      </c>
      <c r="L108" s="877">
        <f>'F5'!L108+'F5.1 (N)'!Q57</f>
        <v>0</v>
      </c>
      <c r="M108" s="851">
        <f t="shared" si="29"/>
        <v>1.0817665499999999E-2</v>
      </c>
      <c r="N108" s="851">
        <f t="shared" si="30"/>
        <v>1.0817665499999999E-2</v>
      </c>
      <c r="O108" s="877">
        <f>'F5'!O108+'F5.1 (N)'!T57</f>
        <v>0</v>
      </c>
      <c r="P108" s="877">
        <f>'F5'!P108+'F5.1 (N)'!U57</f>
        <v>0</v>
      </c>
      <c r="Q108" s="877">
        <f>'F5'!Q108+'F5.1 (N)'!V57</f>
        <v>0</v>
      </c>
      <c r="R108" s="851">
        <f t="shared" si="31"/>
        <v>1.0817665499999999E-2</v>
      </c>
      <c r="S108" s="851">
        <f t="shared" si="32"/>
        <v>1.0817665499999999E-2</v>
      </c>
      <c r="T108" s="877">
        <f>'F5'!T108+'F5.1 (N)'!Y57</f>
        <v>0</v>
      </c>
      <c r="U108" s="877">
        <f>'F5'!U108+'F5.1 (N)'!Z57</f>
        <v>0</v>
      </c>
      <c r="V108" s="877">
        <f>'F5'!V108+'F5.1 (N)'!AA57</f>
        <v>0</v>
      </c>
      <c r="W108" s="851">
        <f t="shared" si="33"/>
        <v>1.0817665499999999E-2</v>
      </c>
    </row>
    <row r="109" spans="1:23">
      <c r="A109" s="690"/>
      <c r="B109" s="95">
        <f t="shared" si="34"/>
        <v>15</v>
      </c>
      <c r="C109" s="466" t="s">
        <v>867</v>
      </c>
      <c r="D109" s="886">
        <f t="shared" si="26"/>
        <v>0</v>
      </c>
      <c r="E109" s="691">
        <f>'F5'!E109+'F5.1 (N)'!J58</f>
        <v>0</v>
      </c>
      <c r="F109" s="691">
        <f>'F5'!F109+'F5.1 (N)'!K58</f>
        <v>0</v>
      </c>
      <c r="G109" s="691">
        <f>'F5'!G109+'F5.1 (N)'!L58</f>
        <v>0</v>
      </c>
      <c r="H109" s="886">
        <f t="shared" si="27"/>
        <v>0</v>
      </c>
      <c r="I109" s="851">
        <f t="shared" si="28"/>
        <v>0</v>
      </c>
      <c r="J109" s="877">
        <f>'F5'!J109+'F5.1 (N)'!O58</f>
        <v>0</v>
      </c>
      <c r="K109" s="877">
        <f>'F5'!K109+'F5.1 (N)'!P58</f>
        <v>0</v>
      </c>
      <c r="L109" s="877">
        <f>'F5'!L109+'F5.1 (N)'!Q58</f>
        <v>0</v>
      </c>
      <c r="M109" s="851">
        <f t="shared" si="29"/>
        <v>0</v>
      </c>
      <c r="N109" s="851">
        <f t="shared" si="30"/>
        <v>0</v>
      </c>
      <c r="O109" s="877">
        <f>'F5'!O109+'F5.1 (N)'!T58</f>
        <v>0</v>
      </c>
      <c r="P109" s="877">
        <f>'F5'!P109+'F5.1 (N)'!U58</f>
        <v>0</v>
      </c>
      <c r="Q109" s="877">
        <f>'F5'!Q109+'F5.1 (N)'!V58</f>
        <v>0</v>
      </c>
      <c r="R109" s="851">
        <f t="shared" si="31"/>
        <v>0</v>
      </c>
      <c r="S109" s="851">
        <f t="shared" si="32"/>
        <v>0</v>
      </c>
      <c r="T109" s="877">
        <f>'F5'!T109+'F5.1 (N)'!Y58</f>
        <v>0</v>
      </c>
      <c r="U109" s="877">
        <f>'F5'!U109+'F5.1 (N)'!Z58</f>
        <v>0</v>
      </c>
      <c r="V109" s="877">
        <f>'F5'!V109+'F5.1 (N)'!AA58</f>
        <v>0</v>
      </c>
      <c r="W109" s="851">
        <f t="shared" si="33"/>
        <v>0</v>
      </c>
    </row>
    <row r="110" spans="1:23">
      <c r="A110" s="690"/>
      <c r="B110" s="95">
        <f t="shared" si="34"/>
        <v>16</v>
      </c>
      <c r="C110" s="466" t="s">
        <v>818</v>
      </c>
      <c r="D110" s="886">
        <f t="shared" si="26"/>
        <v>0</v>
      </c>
      <c r="E110" s="691">
        <f>'F5'!E110+'F5.1 (N)'!J59</f>
        <v>0</v>
      </c>
      <c r="F110" s="691">
        <f>'F5'!F110+'F5.1 (N)'!K59</f>
        <v>0</v>
      </c>
      <c r="G110" s="691">
        <f>'F5'!G110+'F5.1 (N)'!L59</f>
        <v>0</v>
      </c>
      <c r="H110" s="886">
        <f t="shared" si="27"/>
        <v>0</v>
      </c>
      <c r="I110" s="851">
        <f t="shared" si="28"/>
        <v>0</v>
      </c>
      <c r="J110" s="877">
        <f>'F5'!J110+'F5.1 (N)'!O59</f>
        <v>0</v>
      </c>
      <c r="K110" s="877">
        <f>'F5'!K110+'F5.1 (N)'!P59</f>
        <v>0</v>
      </c>
      <c r="L110" s="877">
        <f>'F5'!L110+'F5.1 (N)'!Q59</f>
        <v>0</v>
      </c>
      <c r="M110" s="851">
        <f t="shared" si="29"/>
        <v>0</v>
      </c>
      <c r="N110" s="851">
        <f t="shared" si="30"/>
        <v>0</v>
      </c>
      <c r="O110" s="877">
        <f>'F5'!O110+'F5.1 (N)'!T59</f>
        <v>0</v>
      </c>
      <c r="P110" s="877">
        <f>'F5'!P110+'F5.1 (N)'!U59</f>
        <v>0</v>
      </c>
      <c r="Q110" s="877">
        <f>'F5'!Q110+'F5.1 (N)'!V59</f>
        <v>0</v>
      </c>
      <c r="R110" s="851">
        <f t="shared" si="31"/>
        <v>0</v>
      </c>
      <c r="S110" s="851">
        <f t="shared" si="32"/>
        <v>0</v>
      </c>
      <c r="T110" s="877">
        <f>'F5'!T110+'F5.1 (N)'!Y59</f>
        <v>0</v>
      </c>
      <c r="U110" s="877">
        <f>'F5'!U110+'F5.1 (N)'!Z59</f>
        <v>0</v>
      </c>
      <c r="V110" s="877">
        <f>'F5'!V110+'F5.1 (N)'!AA59</f>
        <v>0</v>
      </c>
      <c r="W110" s="851">
        <f t="shared" si="33"/>
        <v>0</v>
      </c>
    </row>
    <row r="111" spans="1:23">
      <c r="A111" s="690"/>
      <c r="B111" s="95">
        <f t="shared" si="34"/>
        <v>17</v>
      </c>
      <c r="C111" s="466" t="s">
        <v>868</v>
      </c>
      <c r="D111" s="886">
        <f t="shared" si="26"/>
        <v>0</v>
      </c>
      <c r="E111" s="691">
        <f>'F5'!E111+'F5.1 (N)'!J60</f>
        <v>0</v>
      </c>
      <c r="F111" s="691">
        <f>'F5'!F111+'F5.1 (N)'!K60</f>
        <v>0</v>
      </c>
      <c r="G111" s="691">
        <f>'F5'!G111+'F5.1 (N)'!L60</f>
        <v>0</v>
      </c>
      <c r="H111" s="886">
        <f t="shared" si="27"/>
        <v>0</v>
      </c>
      <c r="I111" s="851">
        <f t="shared" si="28"/>
        <v>0</v>
      </c>
      <c r="J111" s="877">
        <f>'F5'!J111+'F5.1 (N)'!O60</f>
        <v>0</v>
      </c>
      <c r="K111" s="877">
        <f>'F5'!K111+'F5.1 (N)'!P60</f>
        <v>0</v>
      </c>
      <c r="L111" s="877">
        <f>'F5'!L111+'F5.1 (N)'!Q60</f>
        <v>0</v>
      </c>
      <c r="M111" s="851">
        <f t="shared" si="29"/>
        <v>0</v>
      </c>
      <c r="N111" s="851">
        <f t="shared" si="30"/>
        <v>0</v>
      </c>
      <c r="O111" s="877">
        <f>'F5'!O111+'F5.1 (N)'!T60</f>
        <v>0</v>
      </c>
      <c r="P111" s="877">
        <f>'F5'!P111+'F5.1 (N)'!U60</f>
        <v>0</v>
      </c>
      <c r="Q111" s="877">
        <f>'F5'!Q111+'F5.1 (N)'!V60</f>
        <v>0</v>
      </c>
      <c r="R111" s="851">
        <f t="shared" si="31"/>
        <v>0</v>
      </c>
      <c r="S111" s="851">
        <f t="shared" si="32"/>
        <v>0</v>
      </c>
      <c r="T111" s="877">
        <f>'F5'!T111+'F5.1 (N)'!Y60</f>
        <v>0</v>
      </c>
      <c r="U111" s="877">
        <f>'F5'!U111+'F5.1 (N)'!Z60</f>
        <v>0</v>
      </c>
      <c r="V111" s="877">
        <f>'F5'!V111+'F5.1 (N)'!AA60</f>
        <v>0</v>
      </c>
      <c r="W111" s="851">
        <f t="shared" si="33"/>
        <v>0</v>
      </c>
    </row>
    <row r="112" spans="1:23" ht="16">
      <c r="B112" s="83"/>
      <c r="C112" s="97" t="s">
        <v>272</v>
      </c>
      <c r="D112" s="888">
        <f t="shared" ref="D112:W112" si="35">SUM(D95:D111)</f>
        <v>4314.7002122607901</v>
      </c>
      <c r="E112" s="888">
        <f t="shared" si="35"/>
        <v>155.56677864666005</v>
      </c>
      <c r="F112" s="888">
        <f t="shared" si="35"/>
        <v>0</v>
      </c>
      <c r="G112" s="888">
        <f t="shared" si="35"/>
        <v>0</v>
      </c>
      <c r="H112" s="888">
        <f t="shared" si="35"/>
        <v>4470.2669909074521</v>
      </c>
      <c r="I112" s="888">
        <f t="shared" si="35"/>
        <v>4470.2669909074521</v>
      </c>
      <c r="J112" s="888">
        <f t="shared" si="35"/>
        <v>164.09768614252482</v>
      </c>
      <c r="K112" s="888">
        <f t="shared" si="35"/>
        <v>0</v>
      </c>
      <c r="L112" s="888">
        <f t="shared" si="35"/>
        <v>0</v>
      </c>
      <c r="M112" s="888">
        <f t="shared" si="35"/>
        <v>4634.3646770499745</v>
      </c>
      <c r="N112" s="888">
        <f t="shared" si="35"/>
        <v>4634.3646770499745</v>
      </c>
      <c r="O112" s="888">
        <f t="shared" si="35"/>
        <v>169.44571539258354</v>
      </c>
      <c r="P112" s="888">
        <f t="shared" si="35"/>
        <v>0</v>
      </c>
      <c r="Q112" s="888">
        <f t="shared" si="35"/>
        <v>0</v>
      </c>
      <c r="R112" s="888">
        <f t="shared" si="35"/>
        <v>4803.8103924425568</v>
      </c>
      <c r="S112" s="888">
        <f t="shared" si="35"/>
        <v>4803.8103924425568</v>
      </c>
      <c r="T112" s="888">
        <f t="shared" si="35"/>
        <v>176.1203487259169</v>
      </c>
      <c r="U112" s="888">
        <f t="shared" si="35"/>
        <v>0</v>
      </c>
      <c r="V112" s="888">
        <f t="shared" si="35"/>
        <v>0</v>
      </c>
      <c r="W112" s="888">
        <f t="shared" si="35"/>
        <v>4979.9307411684731</v>
      </c>
    </row>
    <row r="113" spans="2:23" ht="16">
      <c r="B113" s="259"/>
      <c r="C113" s="261"/>
      <c r="D113" s="1052"/>
      <c r="E113" s="1051"/>
      <c r="F113" s="1052"/>
      <c r="G113" s="1052"/>
      <c r="H113" s="1052"/>
    </row>
    <row r="114" spans="2:23">
      <c r="B114" s="1"/>
      <c r="C114" s="1"/>
      <c r="D114" s="1"/>
      <c r="E114" s="1"/>
      <c r="F114" s="1"/>
      <c r="G114" s="1"/>
      <c r="H114" s="1"/>
      <c r="I114" s="1"/>
      <c r="J114" s="1"/>
      <c r="K114" s="1"/>
      <c r="L114" s="1"/>
      <c r="M114" s="1"/>
      <c r="N114" s="1"/>
      <c r="O114" s="1"/>
      <c r="P114" s="1"/>
      <c r="Q114" s="1"/>
      <c r="R114" s="1"/>
    </row>
    <row r="115" spans="2:23">
      <c r="B115" s="937" t="s">
        <v>342</v>
      </c>
      <c r="C115" s="1"/>
      <c r="D115" s="1"/>
      <c r="E115" s="1"/>
      <c r="F115" s="1"/>
      <c r="G115" s="1"/>
      <c r="H115" s="1"/>
      <c r="I115" s="1"/>
      <c r="J115" s="1"/>
      <c r="K115" s="1"/>
      <c r="L115" s="1"/>
      <c r="M115" s="1"/>
      <c r="N115" s="1"/>
      <c r="O115" s="1"/>
      <c r="P115" s="1"/>
      <c r="Q115" s="1"/>
      <c r="R115" s="1"/>
    </row>
    <row r="116" spans="2:23">
      <c r="B116" s="937"/>
      <c r="C116" s="1"/>
      <c r="D116" s="1"/>
      <c r="E116" s="1"/>
      <c r="F116" s="1"/>
      <c r="G116" s="1"/>
      <c r="H116" s="1"/>
      <c r="I116" s="1"/>
      <c r="J116" s="1"/>
      <c r="K116" s="1"/>
      <c r="L116" s="1"/>
      <c r="M116" s="1"/>
      <c r="N116" s="1"/>
      <c r="O116" s="1"/>
      <c r="P116" s="1"/>
      <c r="Q116" s="1"/>
      <c r="R116" s="1"/>
    </row>
    <row r="117" spans="2:23">
      <c r="B117" s="1"/>
      <c r="C117" s="1"/>
      <c r="D117" s="8"/>
      <c r="E117" s="8"/>
      <c r="F117" s="8"/>
      <c r="G117" s="8"/>
      <c r="H117" s="8"/>
      <c r="I117" s="1"/>
      <c r="J117" s="44"/>
      <c r="K117" s="1"/>
      <c r="L117" s="1"/>
      <c r="M117" s="256" t="s">
        <v>10</v>
      </c>
      <c r="O117" s="1"/>
      <c r="P117" s="1"/>
      <c r="Q117" s="1"/>
    </row>
    <row r="118" spans="2:23" ht="15" customHeight="1">
      <c r="B118" s="1719" t="s">
        <v>341</v>
      </c>
      <c r="C118" s="1719" t="s">
        <v>37</v>
      </c>
      <c r="D118" s="1836" t="s">
        <v>509</v>
      </c>
      <c r="E118" s="1837"/>
      <c r="F118" s="1837"/>
      <c r="G118" s="1837"/>
      <c r="H118" s="1838"/>
      <c r="I118" s="1839" t="s">
        <v>510</v>
      </c>
      <c r="J118" s="1839"/>
      <c r="K118" s="1839"/>
      <c r="L118" s="1839"/>
      <c r="M118" s="1839"/>
      <c r="N118" s="1835" t="s">
        <v>511</v>
      </c>
      <c r="O118" s="1835"/>
      <c r="P118" s="1835"/>
      <c r="Q118" s="1835"/>
      <c r="R118" s="1835"/>
      <c r="S118" s="1835" t="s">
        <v>947</v>
      </c>
      <c r="T118" s="1835"/>
      <c r="U118" s="1835"/>
      <c r="V118" s="1835"/>
      <c r="W118" s="1835"/>
    </row>
    <row r="119" spans="2:23">
      <c r="B119" s="1719"/>
      <c r="C119" s="1719"/>
      <c r="D119" s="1841" t="s">
        <v>7</v>
      </c>
      <c r="E119" s="1842"/>
      <c r="F119" s="1842"/>
      <c r="G119" s="1842"/>
      <c r="H119" s="1842"/>
      <c r="I119" s="1841" t="s">
        <v>7</v>
      </c>
      <c r="J119" s="1842"/>
      <c r="K119" s="1842"/>
      <c r="L119" s="1842"/>
      <c r="M119" s="1842"/>
      <c r="N119" s="1839" t="s">
        <v>12</v>
      </c>
      <c r="O119" s="1840"/>
      <c r="P119" s="1840"/>
      <c r="Q119" s="1840"/>
      <c r="R119" s="1840"/>
      <c r="S119" s="1839" t="s">
        <v>21</v>
      </c>
      <c r="T119" s="1840"/>
      <c r="U119" s="1840"/>
      <c r="V119" s="1840"/>
      <c r="W119" s="1840"/>
    </row>
    <row r="120" spans="2:23" ht="42">
      <c r="B120" s="1719"/>
      <c r="C120" s="1719"/>
      <c r="D120" s="938" t="s">
        <v>268</v>
      </c>
      <c r="E120" s="938" t="s">
        <v>269</v>
      </c>
      <c r="F120" s="260" t="s">
        <v>275</v>
      </c>
      <c r="G120" s="932" t="s">
        <v>555</v>
      </c>
      <c r="H120" s="938" t="s">
        <v>271</v>
      </c>
      <c r="I120" s="938" t="s">
        <v>268</v>
      </c>
      <c r="J120" s="938" t="s">
        <v>269</v>
      </c>
      <c r="K120" s="260" t="s">
        <v>275</v>
      </c>
      <c r="L120" s="932" t="s">
        <v>555</v>
      </c>
      <c r="M120" s="938" t="s">
        <v>271</v>
      </c>
      <c r="N120" s="938" t="s">
        <v>268</v>
      </c>
      <c r="O120" s="938" t="s">
        <v>269</v>
      </c>
      <c r="P120" s="260" t="s">
        <v>275</v>
      </c>
      <c r="Q120" s="932" t="s">
        <v>555</v>
      </c>
      <c r="R120" s="938" t="s">
        <v>271</v>
      </c>
      <c r="S120" s="938" t="s">
        <v>268</v>
      </c>
      <c r="T120" s="938" t="s">
        <v>269</v>
      </c>
      <c r="U120" s="260" t="s">
        <v>275</v>
      </c>
      <c r="V120" s="932" t="s">
        <v>555</v>
      </c>
      <c r="W120" s="938" t="s">
        <v>271</v>
      </c>
    </row>
    <row r="121" spans="2:23" ht="28">
      <c r="B121" s="257"/>
      <c r="C121" s="257"/>
      <c r="D121" s="257" t="s">
        <v>81</v>
      </c>
      <c r="E121" s="257" t="s">
        <v>82</v>
      </c>
      <c r="F121" s="257" t="s">
        <v>462</v>
      </c>
      <c r="G121" s="257" t="s">
        <v>392</v>
      </c>
      <c r="H121" s="257" t="s">
        <v>556</v>
      </c>
      <c r="I121" s="257" t="s">
        <v>410</v>
      </c>
      <c r="J121" s="257" t="s">
        <v>512</v>
      </c>
      <c r="K121" s="257" t="s">
        <v>411</v>
      </c>
      <c r="L121" s="257" t="s">
        <v>412</v>
      </c>
      <c r="M121" s="257" t="s">
        <v>621</v>
      </c>
      <c r="N121" s="257" t="s">
        <v>563</v>
      </c>
      <c r="O121" s="257" t="s">
        <v>564</v>
      </c>
      <c r="P121" s="257" t="s">
        <v>565</v>
      </c>
      <c r="Q121" s="257" t="s">
        <v>624</v>
      </c>
      <c r="R121" s="257" t="s">
        <v>625</v>
      </c>
      <c r="S121" s="257" t="s">
        <v>626</v>
      </c>
      <c r="T121" s="257" t="s">
        <v>627</v>
      </c>
      <c r="U121" s="257" t="s">
        <v>628</v>
      </c>
      <c r="V121" s="257" t="s">
        <v>629</v>
      </c>
      <c r="W121" s="257" t="s">
        <v>630</v>
      </c>
    </row>
    <row r="122" spans="2:23">
      <c r="B122" s="95">
        <v>1</v>
      </c>
      <c r="C122" s="446" t="s">
        <v>810</v>
      </c>
      <c r="D122" s="691">
        <f>D14-D68</f>
        <v>12.275</v>
      </c>
      <c r="E122" s="691">
        <f>E14-E68</f>
        <v>0</v>
      </c>
      <c r="F122" s="691">
        <f>F14-F68</f>
        <v>0</v>
      </c>
      <c r="G122" s="691">
        <f>G14-G68</f>
        <v>0</v>
      </c>
      <c r="H122" s="691">
        <f>D122+E122-F122-G122</f>
        <v>12.275</v>
      </c>
      <c r="I122" s="691">
        <f t="shared" ref="I122:L137" si="36">I14-I68</f>
        <v>12.275</v>
      </c>
      <c r="J122" s="691">
        <f t="shared" si="36"/>
        <v>0</v>
      </c>
      <c r="K122" s="691">
        <f t="shared" si="36"/>
        <v>0</v>
      </c>
      <c r="L122" s="691">
        <f t="shared" si="36"/>
        <v>0</v>
      </c>
      <c r="M122" s="886">
        <f>I122+J122-K122-L122</f>
        <v>12.275</v>
      </c>
      <c r="N122" s="691">
        <f t="shared" ref="N122:Q137" si="37">N14-N68</f>
        <v>12.275</v>
      </c>
      <c r="O122" s="691">
        <f t="shared" si="37"/>
        <v>0</v>
      </c>
      <c r="P122" s="691">
        <f t="shared" si="37"/>
        <v>0</v>
      </c>
      <c r="Q122" s="691">
        <f t="shared" si="37"/>
        <v>0</v>
      </c>
      <c r="R122" s="691">
        <f>N122+O122-P122-Q122</f>
        <v>12.275</v>
      </c>
      <c r="S122" s="691">
        <f t="shared" ref="S122:V137" si="38">S14-S68</f>
        <v>12.275</v>
      </c>
      <c r="T122" s="691">
        <f t="shared" si="38"/>
        <v>0</v>
      </c>
      <c r="U122" s="691">
        <f t="shared" si="38"/>
        <v>0</v>
      </c>
      <c r="V122" s="691">
        <f t="shared" si="38"/>
        <v>0</v>
      </c>
      <c r="W122" s="886">
        <f>S122+T122-U122-V122</f>
        <v>12.275</v>
      </c>
    </row>
    <row r="123" spans="2:23">
      <c r="B123" s="95">
        <f>B122+1</f>
        <v>2</v>
      </c>
      <c r="C123" s="446" t="s">
        <v>811</v>
      </c>
      <c r="D123" s="691">
        <f t="shared" ref="D123:G138" si="39">D15-D69</f>
        <v>227.60644502203587</v>
      </c>
      <c r="E123" s="691">
        <f t="shared" si="39"/>
        <v>-10.737602123928845</v>
      </c>
      <c r="F123" s="691">
        <f t="shared" si="39"/>
        <v>0</v>
      </c>
      <c r="G123" s="691">
        <f t="shared" si="39"/>
        <v>0</v>
      </c>
      <c r="H123" s="691">
        <f t="shared" ref="H123:H138" si="40">D123+E123-F123-G123</f>
        <v>216.86884289810703</v>
      </c>
      <c r="I123" s="691">
        <f t="shared" si="36"/>
        <v>216.86884289810703</v>
      </c>
      <c r="J123" s="691">
        <f t="shared" si="36"/>
        <v>-10.737602123928845</v>
      </c>
      <c r="K123" s="691">
        <f t="shared" si="36"/>
        <v>0</v>
      </c>
      <c r="L123" s="691">
        <f t="shared" si="36"/>
        <v>0</v>
      </c>
      <c r="M123" s="886">
        <f t="shared" ref="M123:M138" si="41">I123+J123-K123-L123</f>
        <v>206.1312407741782</v>
      </c>
      <c r="N123" s="691">
        <f t="shared" si="37"/>
        <v>206.1312407741782</v>
      </c>
      <c r="O123" s="691">
        <f t="shared" si="37"/>
        <v>-10.737602123928845</v>
      </c>
      <c r="P123" s="691">
        <f t="shared" si="37"/>
        <v>0</v>
      </c>
      <c r="Q123" s="691">
        <f t="shared" si="37"/>
        <v>0</v>
      </c>
      <c r="R123" s="691">
        <f t="shared" ref="R123:R138" si="42">N123+O123-P123-Q123</f>
        <v>195.39363865024936</v>
      </c>
      <c r="S123" s="691">
        <f t="shared" si="38"/>
        <v>195.39363865024936</v>
      </c>
      <c r="T123" s="1049">
        <f t="shared" si="38"/>
        <v>-10.737602123928845</v>
      </c>
      <c r="U123" s="691">
        <f t="shared" si="38"/>
        <v>0</v>
      </c>
      <c r="V123" s="691">
        <f t="shared" si="38"/>
        <v>0</v>
      </c>
      <c r="W123" s="886">
        <f t="shared" ref="W123:W138" si="43">S123+T123-U123-V123</f>
        <v>184.65603652632052</v>
      </c>
    </row>
    <row r="124" spans="2:23">
      <c r="B124" s="95">
        <f t="shared" ref="B124:B138" si="44">B123+1</f>
        <v>3</v>
      </c>
      <c r="C124" s="446" t="s">
        <v>812</v>
      </c>
      <c r="D124" s="691">
        <f t="shared" si="39"/>
        <v>0</v>
      </c>
      <c r="E124" s="691">
        <f t="shared" si="39"/>
        <v>0</v>
      </c>
      <c r="F124" s="691">
        <f t="shared" si="39"/>
        <v>0</v>
      </c>
      <c r="G124" s="691">
        <f t="shared" si="39"/>
        <v>0</v>
      </c>
      <c r="H124" s="691">
        <f t="shared" si="40"/>
        <v>0</v>
      </c>
      <c r="I124" s="691">
        <f t="shared" si="36"/>
        <v>0</v>
      </c>
      <c r="J124" s="691">
        <f t="shared" si="36"/>
        <v>0</v>
      </c>
      <c r="K124" s="691">
        <f t="shared" si="36"/>
        <v>0</v>
      </c>
      <c r="L124" s="691">
        <f t="shared" si="36"/>
        <v>0</v>
      </c>
      <c r="M124" s="886">
        <f t="shared" si="41"/>
        <v>0</v>
      </c>
      <c r="N124" s="691">
        <f t="shared" si="37"/>
        <v>0</v>
      </c>
      <c r="O124" s="691">
        <f t="shared" si="37"/>
        <v>0</v>
      </c>
      <c r="P124" s="691">
        <f t="shared" si="37"/>
        <v>0</v>
      </c>
      <c r="Q124" s="691">
        <f t="shared" si="37"/>
        <v>0</v>
      </c>
      <c r="R124" s="691">
        <f t="shared" si="42"/>
        <v>0</v>
      </c>
      <c r="S124" s="691">
        <f t="shared" si="38"/>
        <v>0</v>
      </c>
      <c r="T124" s="691">
        <f t="shared" si="38"/>
        <v>9.7889999999999997</v>
      </c>
      <c r="U124" s="691">
        <f t="shared" si="38"/>
        <v>0</v>
      </c>
      <c r="V124" s="691">
        <f t="shared" si="38"/>
        <v>0</v>
      </c>
      <c r="W124" s="886">
        <f t="shared" si="43"/>
        <v>9.7889999999999997</v>
      </c>
    </row>
    <row r="125" spans="2:23">
      <c r="B125" s="95">
        <f t="shared" si="44"/>
        <v>4</v>
      </c>
      <c r="C125" s="446" t="s">
        <v>813</v>
      </c>
      <c r="D125" s="691">
        <f t="shared" si="39"/>
        <v>183.91684540364736</v>
      </c>
      <c r="E125" s="691">
        <f t="shared" si="39"/>
        <v>-18.231312000000003</v>
      </c>
      <c r="F125" s="691">
        <f t="shared" si="39"/>
        <v>0</v>
      </c>
      <c r="G125" s="691">
        <f t="shared" si="39"/>
        <v>0</v>
      </c>
      <c r="H125" s="691">
        <f t="shared" si="40"/>
        <v>165.68553340364736</v>
      </c>
      <c r="I125" s="691">
        <f t="shared" si="36"/>
        <v>165.68553340364736</v>
      </c>
      <c r="J125" s="691">
        <f t="shared" si="36"/>
        <v>-18.231312000000003</v>
      </c>
      <c r="K125" s="691">
        <f t="shared" si="36"/>
        <v>0</v>
      </c>
      <c r="L125" s="691">
        <f t="shared" si="36"/>
        <v>0</v>
      </c>
      <c r="M125" s="886">
        <f t="shared" si="41"/>
        <v>147.45422140364735</v>
      </c>
      <c r="N125" s="691">
        <f t="shared" si="37"/>
        <v>147.45422140364735</v>
      </c>
      <c r="O125" s="691">
        <f t="shared" si="37"/>
        <v>-18.231312000000003</v>
      </c>
      <c r="P125" s="691">
        <f t="shared" si="37"/>
        <v>0</v>
      </c>
      <c r="Q125" s="691">
        <f t="shared" si="37"/>
        <v>0</v>
      </c>
      <c r="R125" s="691">
        <f t="shared" si="42"/>
        <v>129.22290940364735</v>
      </c>
      <c r="S125" s="691">
        <f t="shared" si="38"/>
        <v>129.22290940364735</v>
      </c>
      <c r="T125" s="691">
        <f t="shared" si="38"/>
        <v>-18.231312000000003</v>
      </c>
      <c r="U125" s="691">
        <f t="shared" si="38"/>
        <v>0</v>
      </c>
      <c r="V125" s="691">
        <f t="shared" si="38"/>
        <v>0</v>
      </c>
      <c r="W125" s="886">
        <f t="shared" si="43"/>
        <v>110.99159740364735</v>
      </c>
    </row>
    <row r="126" spans="2:23">
      <c r="B126" s="95">
        <f t="shared" si="44"/>
        <v>5</v>
      </c>
      <c r="C126" s="446" t="s">
        <v>814</v>
      </c>
      <c r="D126" s="691">
        <f t="shared" si="39"/>
        <v>285.02274395670082</v>
      </c>
      <c r="E126" s="691">
        <f t="shared" si="39"/>
        <v>-10.829173375328947</v>
      </c>
      <c r="F126" s="691">
        <f t="shared" si="39"/>
        <v>0</v>
      </c>
      <c r="G126" s="691">
        <f t="shared" si="39"/>
        <v>0</v>
      </c>
      <c r="H126" s="691">
        <f t="shared" si="40"/>
        <v>274.19357058137189</v>
      </c>
      <c r="I126" s="691">
        <f t="shared" si="36"/>
        <v>274.19357058137189</v>
      </c>
      <c r="J126" s="691">
        <f t="shared" si="36"/>
        <v>-9.4175372714489445</v>
      </c>
      <c r="K126" s="691">
        <f t="shared" si="36"/>
        <v>0</v>
      </c>
      <c r="L126" s="691">
        <f t="shared" si="36"/>
        <v>0</v>
      </c>
      <c r="M126" s="886">
        <f t="shared" si="41"/>
        <v>264.77603330992292</v>
      </c>
      <c r="N126" s="691">
        <f t="shared" si="37"/>
        <v>264.77603330992292</v>
      </c>
      <c r="O126" s="691">
        <f t="shared" si="37"/>
        <v>-12.650643271448946</v>
      </c>
      <c r="P126" s="691">
        <f t="shared" si="37"/>
        <v>0</v>
      </c>
      <c r="Q126" s="691">
        <f t="shared" si="37"/>
        <v>0</v>
      </c>
      <c r="R126" s="691">
        <f t="shared" si="42"/>
        <v>252.12539003847397</v>
      </c>
      <c r="S126" s="691">
        <f t="shared" si="38"/>
        <v>252.12539003847399</v>
      </c>
      <c r="T126" s="691">
        <f t="shared" si="38"/>
        <v>-10.487383271448946</v>
      </c>
      <c r="U126" s="691">
        <f t="shared" si="38"/>
        <v>0</v>
      </c>
      <c r="V126" s="691">
        <f t="shared" si="38"/>
        <v>0</v>
      </c>
      <c r="W126" s="886">
        <f t="shared" si="43"/>
        <v>241.63800676702505</v>
      </c>
    </row>
    <row r="127" spans="2:23">
      <c r="B127" s="95">
        <f t="shared" si="44"/>
        <v>6</v>
      </c>
      <c r="C127" s="446" t="s">
        <v>256</v>
      </c>
      <c r="D127" s="691">
        <f t="shared" si="39"/>
        <v>3057.5500273150979</v>
      </c>
      <c r="E127" s="691">
        <f t="shared" si="39"/>
        <v>-287.55496058431282</v>
      </c>
      <c r="F127" s="691">
        <f t="shared" si="39"/>
        <v>0</v>
      </c>
      <c r="G127" s="691">
        <f t="shared" si="39"/>
        <v>0</v>
      </c>
      <c r="H127" s="691">
        <f t="shared" si="40"/>
        <v>2769.9950667307849</v>
      </c>
      <c r="I127" s="691">
        <f t="shared" si="36"/>
        <v>2769.9950667307853</v>
      </c>
      <c r="J127" s="691">
        <f t="shared" si="36"/>
        <v>-284.75673969583283</v>
      </c>
      <c r="K127" s="691">
        <f t="shared" si="36"/>
        <v>0</v>
      </c>
      <c r="L127" s="691">
        <f t="shared" si="36"/>
        <v>0</v>
      </c>
      <c r="M127" s="886">
        <f t="shared" si="41"/>
        <v>2485.2383270349524</v>
      </c>
      <c r="N127" s="691">
        <f t="shared" si="37"/>
        <v>2485.2383270349524</v>
      </c>
      <c r="O127" s="691">
        <f t="shared" si="37"/>
        <v>-274.5041774422329</v>
      </c>
      <c r="P127" s="691">
        <f t="shared" si="37"/>
        <v>0</v>
      </c>
      <c r="Q127" s="691">
        <f t="shared" si="37"/>
        <v>0</v>
      </c>
      <c r="R127" s="691">
        <f t="shared" si="42"/>
        <v>2210.7341495927194</v>
      </c>
      <c r="S127" s="691">
        <f t="shared" si="38"/>
        <v>2210.7341495927194</v>
      </c>
      <c r="T127" s="691">
        <f t="shared" si="38"/>
        <v>-253.8391101886329</v>
      </c>
      <c r="U127" s="691">
        <f t="shared" si="38"/>
        <v>0</v>
      </c>
      <c r="V127" s="691">
        <f t="shared" si="38"/>
        <v>0</v>
      </c>
      <c r="W127" s="886">
        <f t="shared" si="43"/>
        <v>1956.8950394040864</v>
      </c>
    </row>
    <row r="128" spans="2:23">
      <c r="B128" s="95">
        <f t="shared" si="44"/>
        <v>7</v>
      </c>
      <c r="C128" s="446" t="s">
        <v>815</v>
      </c>
      <c r="D128" s="691">
        <f t="shared" si="39"/>
        <v>2.9488444850114135</v>
      </c>
      <c r="E128" s="691">
        <f t="shared" si="39"/>
        <v>-0.8944799786349874</v>
      </c>
      <c r="F128" s="691">
        <f t="shared" si="39"/>
        <v>0</v>
      </c>
      <c r="G128" s="691">
        <f t="shared" si="39"/>
        <v>0</v>
      </c>
      <c r="H128" s="691">
        <f t="shared" si="40"/>
        <v>2.0543645063764262</v>
      </c>
      <c r="I128" s="691">
        <f t="shared" si="36"/>
        <v>2.0543645063764262</v>
      </c>
      <c r="J128" s="691">
        <f t="shared" si="36"/>
        <v>-0.8944799786349874</v>
      </c>
      <c r="K128" s="691">
        <f t="shared" si="36"/>
        <v>0</v>
      </c>
      <c r="L128" s="691">
        <f t="shared" si="36"/>
        <v>0</v>
      </c>
      <c r="M128" s="886">
        <f t="shared" si="41"/>
        <v>1.1598845277414389</v>
      </c>
      <c r="N128" s="691">
        <f t="shared" si="37"/>
        <v>1.1598845277414389</v>
      </c>
      <c r="O128" s="691">
        <f t="shared" si="37"/>
        <v>-4.6682201271594177E-2</v>
      </c>
      <c r="P128" s="691">
        <f t="shared" si="37"/>
        <v>0</v>
      </c>
      <c r="Q128" s="691">
        <f t="shared" si="37"/>
        <v>0</v>
      </c>
      <c r="R128" s="691">
        <f t="shared" si="42"/>
        <v>1.1132023264698447</v>
      </c>
      <c r="S128" s="691">
        <f t="shared" si="38"/>
        <v>1.1132023264698447</v>
      </c>
      <c r="T128" s="691">
        <f t="shared" si="38"/>
        <v>-4.6682201271594177E-2</v>
      </c>
      <c r="U128" s="691">
        <f t="shared" si="38"/>
        <v>0</v>
      </c>
      <c r="V128" s="691">
        <f t="shared" si="38"/>
        <v>0</v>
      </c>
      <c r="W128" s="886">
        <f t="shared" si="43"/>
        <v>1.0665201251982506</v>
      </c>
    </row>
    <row r="129" spans="2:33">
      <c r="B129" s="95">
        <f t="shared" si="44"/>
        <v>8</v>
      </c>
      <c r="C129" s="446" t="s">
        <v>816</v>
      </c>
      <c r="D129" s="691">
        <f t="shared" si="39"/>
        <v>9.3646125972679697E-2</v>
      </c>
      <c r="E129" s="691">
        <f t="shared" si="39"/>
        <v>-5.3698039219781581E-3</v>
      </c>
      <c r="F129" s="691">
        <f t="shared" si="39"/>
        <v>0</v>
      </c>
      <c r="G129" s="691">
        <f t="shared" si="39"/>
        <v>0</v>
      </c>
      <c r="H129" s="691">
        <f t="shared" si="40"/>
        <v>8.8276322050701544E-2</v>
      </c>
      <c r="I129" s="691">
        <f t="shared" si="36"/>
        <v>8.8276322050701544E-2</v>
      </c>
      <c r="J129" s="691">
        <f t="shared" si="36"/>
        <v>-5.3698039219781581E-3</v>
      </c>
      <c r="K129" s="691">
        <f t="shared" si="36"/>
        <v>0</v>
      </c>
      <c r="L129" s="691">
        <f t="shared" si="36"/>
        <v>0</v>
      </c>
      <c r="M129" s="886">
        <f t="shared" si="41"/>
        <v>8.2906518128723392E-2</v>
      </c>
      <c r="N129" s="691">
        <f t="shared" si="37"/>
        <v>8.2906518128723378E-2</v>
      </c>
      <c r="O129" s="691">
        <f t="shared" si="37"/>
        <v>-5.3698039219781581E-3</v>
      </c>
      <c r="P129" s="691">
        <f t="shared" si="37"/>
        <v>0</v>
      </c>
      <c r="Q129" s="691">
        <f t="shared" si="37"/>
        <v>0</v>
      </c>
      <c r="R129" s="691">
        <f t="shared" si="42"/>
        <v>7.7536714206745225E-2</v>
      </c>
      <c r="S129" s="691">
        <f t="shared" si="38"/>
        <v>7.7536714206745225E-2</v>
      </c>
      <c r="T129" s="691">
        <f t="shared" si="38"/>
        <v>-5.3698039219781581E-3</v>
      </c>
      <c r="U129" s="691">
        <f t="shared" si="38"/>
        <v>0</v>
      </c>
      <c r="V129" s="691">
        <f t="shared" si="38"/>
        <v>0</v>
      </c>
      <c r="W129" s="886">
        <f t="shared" si="43"/>
        <v>7.2166910284767072E-2</v>
      </c>
    </row>
    <row r="130" spans="2:33">
      <c r="B130" s="95">
        <f t="shared" si="44"/>
        <v>9</v>
      </c>
      <c r="C130" s="446" t="s">
        <v>817</v>
      </c>
      <c r="D130" s="691">
        <f t="shared" si="39"/>
        <v>25.523139239795263</v>
      </c>
      <c r="E130" s="691">
        <f t="shared" si="39"/>
        <v>-2.5586880000000001</v>
      </c>
      <c r="F130" s="691">
        <f t="shared" si="39"/>
        <v>0</v>
      </c>
      <c r="G130" s="691">
        <f t="shared" si="39"/>
        <v>0</v>
      </c>
      <c r="H130" s="691">
        <f t="shared" si="40"/>
        <v>22.964451239795263</v>
      </c>
      <c r="I130" s="691">
        <f t="shared" si="36"/>
        <v>22.964451239795263</v>
      </c>
      <c r="J130" s="691">
        <f t="shared" si="36"/>
        <v>-2.5586880000000001</v>
      </c>
      <c r="K130" s="691">
        <f t="shared" si="36"/>
        <v>0</v>
      </c>
      <c r="L130" s="691">
        <f t="shared" si="36"/>
        <v>0</v>
      </c>
      <c r="M130" s="886">
        <f t="shared" si="41"/>
        <v>20.405763239795263</v>
      </c>
      <c r="N130" s="691">
        <f t="shared" si="37"/>
        <v>20.405763239795263</v>
      </c>
      <c r="O130" s="691">
        <f t="shared" si="37"/>
        <v>-2.5586880000000001</v>
      </c>
      <c r="P130" s="691">
        <f t="shared" si="37"/>
        <v>0</v>
      </c>
      <c r="Q130" s="691">
        <f t="shared" si="37"/>
        <v>0</v>
      </c>
      <c r="R130" s="691">
        <f t="shared" si="42"/>
        <v>17.847075239795263</v>
      </c>
      <c r="S130" s="691">
        <f t="shared" si="38"/>
        <v>17.847075239795263</v>
      </c>
      <c r="T130" s="691">
        <f t="shared" si="38"/>
        <v>-0.98482773944697977</v>
      </c>
      <c r="U130" s="691">
        <f t="shared" si="38"/>
        <v>0</v>
      </c>
      <c r="V130" s="691">
        <f t="shared" si="38"/>
        <v>0</v>
      </c>
      <c r="W130" s="886">
        <f t="shared" si="43"/>
        <v>16.862247500348282</v>
      </c>
    </row>
    <row r="131" spans="2:33">
      <c r="B131" s="95">
        <f t="shared" si="44"/>
        <v>10</v>
      </c>
      <c r="C131" s="446" t="s">
        <v>259</v>
      </c>
      <c r="D131" s="691">
        <f t="shared" si="39"/>
        <v>2.2820880619461645</v>
      </c>
      <c r="E131" s="691">
        <f t="shared" si="39"/>
        <v>1.7658188570634272</v>
      </c>
      <c r="F131" s="691">
        <f t="shared" si="39"/>
        <v>0</v>
      </c>
      <c r="G131" s="691">
        <f t="shared" si="39"/>
        <v>0</v>
      </c>
      <c r="H131" s="691">
        <f t="shared" si="40"/>
        <v>4.0479069190095913</v>
      </c>
      <c r="I131" s="691">
        <f t="shared" si="36"/>
        <v>4.0479069190095913</v>
      </c>
      <c r="J131" s="691">
        <f t="shared" si="36"/>
        <v>-0.52260453193657286</v>
      </c>
      <c r="K131" s="691">
        <f t="shared" si="36"/>
        <v>0</v>
      </c>
      <c r="L131" s="691">
        <f t="shared" si="36"/>
        <v>0</v>
      </c>
      <c r="M131" s="886">
        <f t="shared" si="41"/>
        <v>3.5253023870730185</v>
      </c>
      <c r="N131" s="691">
        <f t="shared" si="37"/>
        <v>3.5253023870730189</v>
      </c>
      <c r="O131" s="691">
        <f t="shared" si="37"/>
        <v>-0.52260453193657286</v>
      </c>
      <c r="P131" s="691">
        <f t="shared" si="37"/>
        <v>0</v>
      </c>
      <c r="Q131" s="691">
        <f t="shared" si="37"/>
        <v>0</v>
      </c>
      <c r="R131" s="691">
        <f t="shared" si="42"/>
        <v>3.002697855136446</v>
      </c>
      <c r="S131" s="691">
        <f t="shared" si="38"/>
        <v>3.002697855136446</v>
      </c>
      <c r="T131" s="691">
        <f t="shared" si="38"/>
        <v>-0.52260453193657286</v>
      </c>
      <c r="U131" s="691">
        <f t="shared" si="38"/>
        <v>0</v>
      </c>
      <c r="V131" s="691">
        <f t="shared" si="38"/>
        <v>0</v>
      </c>
      <c r="W131" s="886">
        <f t="shared" si="43"/>
        <v>2.4800933231998732</v>
      </c>
    </row>
    <row r="132" spans="2:33">
      <c r="B132" s="95">
        <f t="shared" si="44"/>
        <v>11</v>
      </c>
      <c r="C132" s="446" t="s">
        <v>260</v>
      </c>
      <c r="D132" s="691">
        <f t="shared" si="39"/>
        <v>1.9194338683073315</v>
      </c>
      <c r="E132" s="691">
        <f t="shared" si="39"/>
        <v>-4.6104705130915774E-2</v>
      </c>
      <c r="F132" s="691">
        <f t="shared" si="39"/>
        <v>0</v>
      </c>
      <c r="G132" s="691">
        <f t="shared" si="39"/>
        <v>0</v>
      </c>
      <c r="H132" s="691">
        <f t="shared" si="40"/>
        <v>1.8733291631764157</v>
      </c>
      <c r="I132" s="691">
        <f t="shared" si="36"/>
        <v>1.873329163176416</v>
      </c>
      <c r="J132" s="691">
        <f t="shared" si="36"/>
        <v>-0.11593827831091576</v>
      </c>
      <c r="K132" s="691">
        <f t="shared" si="36"/>
        <v>0</v>
      </c>
      <c r="L132" s="691">
        <f t="shared" si="36"/>
        <v>0</v>
      </c>
      <c r="M132" s="886">
        <f t="shared" si="41"/>
        <v>1.7573908848655002</v>
      </c>
      <c r="N132" s="691">
        <f t="shared" si="37"/>
        <v>1.7573908848655004</v>
      </c>
      <c r="O132" s="691">
        <f t="shared" si="37"/>
        <v>-0.19224767500591577</v>
      </c>
      <c r="P132" s="691">
        <f t="shared" si="37"/>
        <v>0</v>
      </c>
      <c r="Q132" s="691">
        <f t="shared" si="37"/>
        <v>0</v>
      </c>
      <c r="R132" s="691">
        <f t="shared" si="42"/>
        <v>1.5651432098595848</v>
      </c>
      <c r="S132" s="691">
        <f t="shared" si="38"/>
        <v>1.5651432098595848</v>
      </c>
      <c r="T132" s="691">
        <f t="shared" si="38"/>
        <v>-0.19224767500591577</v>
      </c>
      <c r="U132" s="691">
        <f t="shared" si="38"/>
        <v>0</v>
      </c>
      <c r="V132" s="691">
        <f t="shared" si="38"/>
        <v>0</v>
      </c>
      <c r="W132" s="886">
        <f t="shared" si="43"/>
        <v>1.3728955348536691</v>
      </c>
    </row>
    <row r="133" spans="2:33">
      <c r="B133" s="95">
        <f t="shared" si="44"/>
        <v>12</v>
      </c>
      <c r="C133" s="446" t="s">
        <v>261</v>
      </c>
      <c r="D133" s="691">
        <f t="shared" si="39"/>
        <v>0.92181900518763593</v>
      </c>
      <c r="E133" s="691">
        <f t="shared" si="39"/>
        <v>-6.9050002701972368E-2</v>
      </c>
      <c r="F133" s="691">
        <f t="shared" si="39"/>
        <v>0</v>
      </c>
      <c r="G133" s="691">
        <f t="shared" si="39"/>
        <v>0</v>
      </c>
      <c r="H133" s="691">
        <f t="shared" si="40"/>
        <v>0.85276900248566356</v>
      </c>
      <c r="I133" s="691">
        <f t="shared" si="36"/>
        <v>0.85276900248566356</v>
      </c>
      <c r="J133" s="691">
        <f t="shared" si="36"/>
        <v>-6.9050002701972368E-2</v>
      </c>
      <c r="K133" s="691">
        <f t="shared" si="36"/>
        <v>0</v>
      </c>
      <c r="L133" s="691">
        <f t="shared" si="36"/>
        <v>0</v>
      </c>
      <c r="M133" s="886">
        <f t="shared" si="41"/>
        <v>0.78371899978369119</v>
      </c>
      <c r="N133" s="691">
        <f t="shared" si="37"/>
        <v>0.78371899978369119</v>
      </c>
      <c r="O133" s="691">
        <f t="shared" si="37"/>
        <v>-6.9050002701972368E-2</v>
      </c>
      <c r="P133" s="691">
        <f t="shared" si="37"/>
        <v>0</v>
      </c>
      <c r="Q133" s="691">
        <f t="shared" si="37"/>
        <v>0</v>
      </c>
      <c r="R133" s="691">
        <f t="shared" si="42"/>
        <v>0.71466899708171883</v>
      </c>
      <c r="S133" s="691">
        <f t="shared" si="38"/>
        <v>0.71466899708171883</v>
      </c>
      <c r="T133" s="691">
        <f t="shared" si="38"/>
        <v>-6.9050002701972368E-2</v>
      </c>
      <c r="U133" s="691">
        <f t="shared" si="38"/>
        <v>0</v>
      </c>
      <c r="V133" s="691">
        <f t="shared" si="38"/>
        <v>0</v>
      </c>
      <c r="W133" s="886">
        <f t="shared" si="43"/>
        <v>0.64561899437974646</v>
      </c>
    </row>
    <row r="134" spans="2:33">
      <c r="B134" s="95">
        <f t="shared" si="44"/>
        <v>13</v>
      </c>
      <c r="C134" s="466" t="s">
        <v>865</v>
      </c>
      <c r="D134" s="691">
        <f t="shared" si="39"/>
        <v>0</v>
      </c>
      <c r="E134" s="691">
        <f t="shared" si="39"/>
        <v>0</v>
      </c>
      <c r="F134" s="691">
        <f t="shared" si="39"/>
        <v>0</v>
      </c>
      <c r="G134" s="691">
        <f t="shared" si="39"/>
        <v>0</v>
      </c>
      <c r="H134" s="691">
        <f t="shared" si="40"/>
        <v>0</v>
      </c>
      <c r="I134" s="691">
        <f t="shared" si="36"/>
        <v>0</v>
      </c>
      <c r="J134" s="691">
        <f t="shared" si="36"/>
        <v>0</v>
      </c>
      <c r="K134" s="691">
        <f t="shared" si="36"/>
        <v>0</v>
      </c>
      <c r="L134" s="691">
        <f t="shared" si="36"/>
        <v>0</v>
      </c>
      <c r="M134" s="886">
        <f t="shared" si="41"/>
        <v>0</v>
      </c>
      <c r="N134" s="691">
        <f t="shared" si="37"/>
        <v>0</v>
      </c>
      <c r="O134" s="691">
        <f t="shared" si="37"/>
        <v>0</v>
      </c>
      <c r="P134" s="691">
        <f t="shared" si="37"/>
        <v>0</v>
      </c>
      <c r="Q134" s="691">
        <f t="shared" si="37"/>
        <v>0</v>
      </c>
      <c r="R134" s="691">
        <f t="shared" si="42"/>
        <v>0</v>
      </c>
      <c r="S134" s="691">
        <f t="shared" si="38"/>
        <v>0</v>
      </c>
      <c r="T134" s="691">
        <f t="shared" si="38"/>
        <v>0</v>
      </c>
      <c r="U134" s="691">
        <f t="shared" si="38"/>
        <v>0</v>
      </c>
      <c r="V134" s="691">
        <f t="shared" si="38"/>
        <v>0</v>
      </c>
      <c r="W134" s="886">
        <f t="shared" si="43"/>
        <v>0</v>
      </c>
    </row>
    <row r="135" spans="2:33">
      <c r="B135" s="95">
        <f t="shared" si="44"/>
        <v>14</v>
      </c>
      <c r="C135" s="466" t="s">
        <v>866</v>
      </c>
      <c r="D135" s="691">
        <f t="shared" si="39"/>
        <v>0</v>
      </c>
      <c r="E135" s="691">
        <f t="shared" si="39"/>
        <v>0.13341787450000001</v>
      </c>
      <c r="F135" s="691">
        <f t="shared" si="39"/>
        <v>0.30060954500000003</v>
      </c>
      <c r="G135" s="691">
        <f t="shared" si="39"/>
        <v>0</v>
      </c>
      <c r="H135" s="691">
        <f t="shared" si="40"/>
        <v>-0.16719167050000003</v>
      </c>
      <c r="I135" s="691">
        <f t="shared" si="36"/>
        <v>-0.16719167050000003</v>
      </c>
      <c r="J135" s="691">
        <f t="shared" si="36"/>
        <v>0.15890559299999998</v>
      </c>
      <c r="K135" s="691">
        <f t="shared" si="36"/>
        <v>0</v>
      </c>
      <c r="L135" s="691">
        <f t="shared" si="36"/>
        <v>0</v>
      </c>
      <c r="M135" s="886">
        <f t="shared" si="41"/>
        <v>-8.2860775000000442E-3</v>
      </c>
      <c r="N135" s="691">
        <f t="shared" si="37"/>
        <v>-8.2860775000000528E-3</v>
      </c>
      <c r="O135" s="691">
        <f t="shared" si="37"/>
        <v>0</v>
      </c>
      <c r="P135" s="691">
        <f t="shared" si="37"/>
        <v>0</v>
      </c>
      <c r="Q135" s="691">
        <f t="shared" si="37"/>
        <v>0</v>
      </c>
      <c r="R135" s="691">
        <f t="shared" si="42"/>
        <v>-8.2860775000000528E-3</v>
      </c>
      <c r="S135" s="691">
        <f t="shared" si="38"/>
        <v>-8.2860775000000528E-3</v>
      </c>
      <c r="T135" s="691">
        <f t="shared" si="38"/>
        <v>0</v>
      </c>
      <c r="U135" s="691">
        <f t="shared" si="38"/>
        <v>0</v>
      </c>
      <c r="V135" s="691">
        <f t="shared" si="38"/>
        <v>0</v>
      </c>
      <c r="W135" s="886">
        <f t="shared" si="43"/>
        <v>-8.2860775000000528E-3</v>
      </c>
    </row>
    <row r="136" spans="2:33">
      <c r="B136" s="95">
        <f t="shared" si="44"/>
        <v>15</v>
      </c>
      <c r="C136" s="466" t="s">
        <v>867</v>
      </c>
      <c r="D136" s="691">
        <f t="shared" si="39"/>
        <v>0</v>
      </c>
      <c r="E136" s="691">
        <f t="shared" si="39"/>
        <v>0</v>
      </c>
      <c r="F136" s="691">
        <f t="shared" si="39"/>
        <v>0</v>
      </c>
      <c r="G136" s="691">
        <f t="shared" si="39"/>
        <v>0</v>
      </c>
      <c r="H136" s="691">
        <f t="shared" si="40"/>
        <v>0</v>
      </c>
      <c r="I136" s="691">
        <f t="shared" si="36"/>
        <v>0</v>
      </c>
      <c r="J136" s="691">
        <f t="shared" si="36"/>
        <v>0</v>
      </c>
      <c r="K136" s="691">
        <f t="shared" si="36"/>
        <v>0</v>
      </c>
      <c r="L136" s="691">
        <f t="shared" si="36"/>
        <v>0</v>
      </c>
      <c r="M136" s="886">
        <f t="shared" si="41"/>
        <v>0</v>
      </c>
      <c r="N136" s="691">
        <f t="shared" si="37"/>
        <v>0</v>
      </c>
      <c r="O136" s="691">
        <f t="shared" si="37"/>
        <v>0</v>
      </c>
      <c r="P136" s="691">
        <f t="shared" si="37"/>
        <v>0</v>
      </c>
      <c r="Q136" s="691">
        <f t="shared" si="37"/>
        <v>0</v>
      </c>
      <c r="R136" s="691">
        <f t="shared" si="42"/>
        <v>0</v>
      </c>
      <c r="S136" s="691">
        <f t="shared" si="38"/>
        <v>0</v>
      </c>
      <c r="T136" s="691">
        <f t="shared" si="38"/>
        <v>0</v>
      </c>
      <c r="U136" s="691">
        <f t="shared" si="38"/>
        <v>0</v>
      </c>
      <c r="V136" s="691">
        <f t="shared" si="38"/>
        <v>0</v>
      </c>
      <c r="W136" s="886">
        <f t="shared" si="43"/>
        <v>0</v>
      </c>
    </row>
    <row r="137" spans="2:33">
      <c r="B137" s="95">
        <f t="shared" si="44"/>
        <v>16</v>
      </c>
      <c r="C137" s="466" t="s">
        <v>818</v>
      </c>
      <c r="D137" s="691">
        <f t="shared" si="39"/>
        <v>0</v>
      </c>
      <c r="E137" s="691">
        <f t="shared" si="39"/>
        <v>0</v>
      </c>
      <c r="F137" s="691">
        <f t="shared" si="39"/>
        <v>0</v>
      </c>
      <c r="G137" s="691">
        <f t="shared" si="39"/>
        <v>0</v>
      </c>
      <c r="H137" s="691">
        <f t="shared" si="40"/>
        <v>0</v>
      </c>
      <c r="I137" s="691">
        <f t="shared" si="36"/>
        <v>0</v>
      </c>
      <c r="J137" s="691">
        <f t="shared" si="36"/>
        <v>0</v>
      </c>
      <c r="K137" s="691">
        <f t="shared" si="36"/>
        <v>0</v>
      </c>
      <c r="L137" s="691">
        <f t="shared" si="36"/>
        <v>0</v>
      </c>
      <c r="M137" s="886">
        <f t="shared" si="41"/>
        <v>0</v>
      </c>
      <c r="N137" s="691">
        <f t="shared" si="37"/>
        <v>0</v>
      </c>
      <c r="O137" s="691">
        <f t="shared" si="37"/>
        <v>0</v>
      </c>
      <c r="P137" s="691">
        <f t="shared" si="37"/>
        <v>0</v>
      </c>
      <c r="Q137" s="691">
        <f t="shared" si="37"/>
        <v>0</v>
      </c>
      <c r="R137" s="691">
        <f t="shared" si="42"/>
        <v>0</v>
      </c>
      <c r="S137" s="691">
        <f t="shared" si="38"/>
        <v>0</v>
      </c>
      <c r="T137" s="691">
        <f t="shared" si="38"/>
        <v>0</v>
      </c>
      <c r="U137" s="691">
        <f t="shared" si="38"/>
        <v>0</v>
      </c>
      <c r="V137" s="691">
        <f t="shared" si="38"/>
        <v>0</v>
      </c>
      <c r="W137" s="886">
        <f t="shared" si="43"/>
        <v>0</v>
      </c>
    </row>
    <row r="138" spans="2:33">
      <c r="B138" s="95">
        <f t="shared" si="44"/>
        <v>17</v>
      </c>
      <c r="C138" s="466" t="s">
        <v>868</v>
      </c>
      <c r="D138" s="691">
        <f t="shared" si="39"/>
        <v>0</v>
      </c>
      <c r="E138" s="691">
        <f t="shared" si="39"/>
        <v>0</v>
      </c>
      <c r="F138" s="691">
        <f t="shared" si="39"/>
        <v>0</v>
      </c>
      <c r="G138" s="691">
        <f t="shared" si="39"/>
        <v>0</v>
      </c>
      <c r="H138" s="691">
        <f t="shared" si="40"/>
        <v>0</v>
      </c>
      <c r="I138" s="691">
        <f t="shared" ref="I138:L138" si="45">I30-I84</f>
        <v>0</v>
      </c>
      <c r="J138" s="691">
        <f t="shared" si="45"/>
        <v>0</v>
      </c>
      <c r="K138" s="691">
        <f t="shared" si="45"/>
        <v>0</v>
      </c>
      <c r="L138" s="691">
        <f t="shared" si="45"/>
        <v>0</v>
      </c>
      <c r="M138" s="886">
        <f t="shared" si="41"/>
        <v>0</v>
      </c>
      <c r="N138" s="691">
        <f t="shared" ref="N138:Q138" si="46">N30-N84</f>
        <v>0</v>
      </c>
      <c r="O138" s="691">
        <f t="shared" si="46"/>
        <v>0</v>
      </c>
      <c r="P138" s="691">
        <f t="shared" si="46"/>
        <v>0</v>
      </c>
      <c r="Q138" s="691">
        <f t="shared" si="46"/>
        <v>0</v>
      </c>
      <c r="R138" s="691">
        <f t="shared" si="42"/>
        <v>0</v>
      </c>
      <c r="S138" s="691">
        <f t="shared" ref="S138:V138" si="47">S30-S84</f>
        <v>0</v>
      </c>
      <c r="T138" s="691">
        <f t="shared" si="47"/>
        <v>0</v>
      </c>
      <c r="U138" s="691">
        <f t="shared" si="47"/>
        <v>0</v>
      </c>
      <c r="V138" s="691">
        <f t="shared" si="47"/>
        <v>0</v>
      </c>
      <c r="W138" s="886">
        <f t="shared" si="43"/>
        <v>0</v>
      </c>
    </row>
    <row r="139" spans="2:33" ht="16">
      <c r="B139" s="83"/>
      <c r="C139" s="97" t="s">
        <v>272</v>
      </c>
      <c r="D139" s="888">
        <f>SUM(D122:D137)</f>
        <v>3800.0600324837023</v>
      </c>
      <c r="E139" s="888">
        <f t="shared" ref="E139:W139" si="48">SUM(E122:E137)</f>
        <v>-329.02750384239704</v>
      </c>
      <c r="F139" s="888">
        <f t="shared" si="48"/>
        <v>0.30060954500000003</v>
      </c>
      <c r="G139" s="888">
        <f t="shared" si="48"/>
        <v>0</v>
      </c>
      <c r="H139" s="888">
        <f t="shared" si="48"/>
        <v>3470.7319190963053</v>
      </c>
      <c r="I139" s="888">
        <f t="shared" si="48"/>
        <v>3470.7319190963058</v>
      </c>
      <c r="J139" s="888">
        <f t="shared" si="48"/>
        <v>-327.15041609371707</v>
      </c>
      <c r="K139" s="888">
        <f t="shared" si="48"/>
        <v>0</v>
      </c>
      <c r="L139" s="888">
        <f t="shared" si="48"/>
        <v>0</v>
      </c>
      <c r="M139" s="888">
        <f t="shared" si="48"/>
        <v>3143.5815030025883</v>
      </c>
      <c r="N139" s="888">
        <f t="shared" si="48"/>
        <v>3143.5815030025883</v>
      </c>
      <c r="O139" s="888">
        <f t="shared" si="48"/>
        <v>-319.51837705244873</v>
      </c>
      <c r="P139" s="888">
        <f t="shared" si="48"/>
        <v>0</v>
      </c>
      <c r="Q139" s="888">
        <f t="shared" si="48"/>
        <v>0</v>
      </c>
      <c r="R139" s="888">
        <f t="shared" si="48"/>
        <v>2824.0631259501401</v>
      </c>
      <c r="S139" s="888">
        <f t="shared" si="48"/>
        <v>2824.0631259501401</v>
      </c>
      <c r="T139" s="888">
        <f t="shared" si="48"/>
        <v>-285.32718953829567</v>
      </c>
      <c r="U139" s="888">
        <f t="shared" si="48"/>
        <v>0</v>
      </c>
      <c r="V139" s="888">
        <f t="shared" si="48"/>
        <v>0</v>
      </c>
      <c r="W139" s="888">
        <f t="shared" si="48"/>
        <v>2538.7359364118438</v>
      </c>
    </row>
    <row r="140" spans="2:33" ht="16">
      <c r="B140" s="259"/>
      <c r="C140" s="261"/>
      <c r="D140" s="261"/>
      <c r="E140" s="261"/>
      <c r="F140" s="261"/>
      <c r="G140" s="261"/>
      <c r="H140" s="261"/>
      <c r="I140" s="259"/>
      <c r="J140" s="259"/>
      <c r="K140" s="259"/>
      <c r="L140" s="259"/>
      <c r="M140" s="259"/>
      <c r="N140" s="259"/>
      <c r="O140" s="259"/>
      <c r="P140" s="259"/>
      <c r="Q140" s="259"/>
      <c r="R140" s="259"/>
      <c r="S140" s="45"/>
      <c r="T140" s="45"/>
      <c r="U140" s="45"/>
      <c r="V140" s="45"/>
      <c r="W140" s="45"/>
      <c r="X140" s="45"/>
      <c r="Y140" s="45"/>
      <c r="Z140" s="45"/>
      <c r="AA140" s="45"/>
      <c r="AB140" s="45"/>
      <c r="AC140" s="45"/>
      <c r="AD140" s="45"/>
      <c r="AE140" s="45"/>
      <c r="AF140" s="45"/>
      <c r="AG140" s="45"/>
    </row>
    <row r="141" spans="2:33" ht="16">
      <c r="B141" s="258" t="s">
        <v>568</v>
      </c>
      <c r="C141" s="263"/>
      <c r="D141" s="263"/>
      <c r="E141" s="263"/>
      <c r="F141" s="263"/>
      <c r="G141" s="261"/>
      <c r="H141" s="261"/>
      <c r="I141" s="259"/>
      <c r="J141" s="259"/>
      <c r="K141" s="259"/>
      <c r="L141" s="259"/>
      <c r="M141" s="259"/>
      <c r="N141" s="259"/>
      <c r="O141" s="259"/>
      <c r="P141" s="259"/>
      <c r="Q141" s="259"/>
      <c r="R141" s="259"/>
      <c r="S141" s="45"/>
      <c r="T141" s="45"/>
      <c r="U141" s="45"/>
      <c r="V141" s="45"/>
      <c r="W141" s="45"/>
      <c r="X141" s="45"/>
      <c r="Y141" s="45"/>
      <c r="Z141" s="45"/>
      <c r="AA141" s="45"/>
      <c r="AB141" s="45"/>
      <c r="AC141" s="45"/>
      <c r="AD141" s="45"/>
      <c r="AE141" s="45"/>
      <c r="AF141" s="45"/>
      <c r="AG141" s="45"/>
    </row>
    <row r="142" spans="2:33" ht="16">
      <c r="B142" s="259"/>
      <c r="C142" s="261"/>
      <c r="D142" s="261"/>
      <c r="E142" s="261"/>
      <c r="F142" s="261"/>
      <c r="G142" s="261"/>
      <c r="H142" s="261"/>
      <c r="I142" s="259"/>
      <c r="J142" s="259"/>
      <c r="K142" s="259"/>
      <c r="L142" s="259"/>
      <c r="M142" s="259"/>
      <c r="N142" s="259"/>
      <c r="O142" s="259"/>
      <c r="P142" s="259"/>
      <c r="Q142" s="259"/>
      <c r="R142" s="259"/>
      <c r="S142" s="45"/>
      <c r="T142" s="45"/>
      <c r="U142" s="45"/>
      <c r="V142" s="45"/>
      <c r="W142" s="45"/>
      <c r="X142" s="45"/>
      <c r="Y142" s="45"/>
      <c r="Z142" s="45"/>
      <c r="AA142" s="45"/>
      <c r="AB142" s="45"/>
      <c r="AC142" s="45"/>
      <c r="AD142" s="45"/>
      <c r="AE142" s="45"/>
      <c r="AF142" s="45"/>
      <c r="AG142" s="45"/>
    </row>
    <row r="143" spans="2:33" ht="15" customHeight="1">
      <c r="B143" s="259"/>
      <c r="C143" s="261"/>
      <c r="D143" s="8"/>
      <c r="E143" s="8"/>
      <c r="F143" s="8"/>
      <c r="G143" s="8"/>
      <c r="H143" s="8"/>
      <c r="I143" s="1"/>
      <c r="J143" s="44"/>
      <c r="K143" s="1"/>
      <c r="L143" s="1"/>
      <c r="M143" s="44"/>
      <c r="N143" s="44"/>
      <c r="O143" s="1"/>
      <c r="P143" s="1"/>
      <c r="Q143" s="1"/>
      <c r="AG143" s="256" t="s">
        <v>10</v>
      </c>
    </row>
    <row r="144" spans="2:33" ht="13.75" customHeight="1">
      <c r="B144" s="1719" t="s">
        <v>341</v>
      </c>
      <c r="C144" s="1719" t="s">
        <v>37</v>
      </c>
      <c r="D144" s="1843" t="s">
        <v>948</v>
      </c>
      <c r="E144" s="1844"/>
      <c r="F144" s="1844"/>
      <c r="G144" s="1844"/>
      <c r="H144" s="1845"/>
      <c r="I144" s="1843" t="s">
        <v>949</v>
      </c>
      <c r="J144" s="1844"/>
      <c r="K144" s="1844"/>
      <c r="L144" s="1844"/>
      <c r="M144" s="1845"/>
      <c r="N144" s="1835" t="s">
        <v>950</v>
      </c>
      <c r="O144" s="1835"/>
      <c r="P144" s="1835"/>
      <c r="Q144" s="1835"/>
      <c r="R144" s="1835"/>
      <c r="S144" s="1835" t="s">
        <v>951</v>
      </c>
      <c r="T144" s="1835"/>
      <c r="U144" s="1835"/>
      <c r="V144" s="1835"/>
      <c r="W144" s="1835"/>
    </row>
    <row r="145" spans="2:23">
      <c r="B145" s="1719"/>
      <c r="C145" s="1719"/>
      <c r="D145" s="1836" t="s">
        <v>21</v>
      </c>
      <c r="E145" s="1837"/>
      <c r="F145" s="1837"/>
      <c r="G145" s="1837"/>
      <c r="H145" s="1838"/>
      <c r="I145" s="1836" t="s">
        <v>21</v>
      </c>
      <c r="J145" s="1837"/>
      <c r="K145" s="1837"/>
      <c r="L145" s="1837"/>
      <c r="M145" s="1838"/>
      <c r="N145" s="1839" t="s">
        <v>21</v>
      </c>
      <c r="O145" s="1840"/>
      <c r="P145" s="1840"/>
      <c r="Q145" s="1840"/>
      <c r="R145" s="1840"/>
      <c r="S145" s="1839" t="s">
        <v>21</v>
      </c>
      <c r="T145" s="1840"/>
      <c r="U145" s="1840"/>
      <c r="V145" s="1840"/>
      <c r="W145" s="1840"/>
    </row>
    <row r="146" spans="2:23" ht="42">
      <c r="B146" s="1719"/>
      <c r="C146" s="1719"/>
      <c r="D146" s="938" t="s">
        <v>268</v>
      </c>
      <c r="E146" s="938" t="s">
        <v>269</v>
      </c>
      <c r="F146" s="260" t="s">
        <v>275</v>
      </c>
      <c r="G146" s="932" t="s">
        <v>555</v>
      </c>
      <c r="H146" s="938" t="s">
        <v>271</v>
      </c>
      <c r="I146" s="938" t="s">
        <v>268</v>
      </c>
      <c r="J146" s="938" t="s">
        <v>269</v>
      </c>
      <c r="K146" s="938" t="s">
        <v>270</v>
      </c>
      <c r="L146" s="932" t="s">
        <v>555</v>
      </c>
      <c r="M146" s="938" t="s">
        <v>271</v>
      </c>
      <c r="N146" s="938" t="s">
        <v>268</v>
      </c>
      <c r="O146" s="938" t="s">
        <v>269</v>
      </c>
      <c r="P146" s="938" t="s">
        <v>270</v>
      </c>
      <c r="Q146" s="932" t="s">
        <v>555</v>
      </c>
      <c r="R146" s="938" t="s">
        <v>271</v>
      </c>
      <c r="S146" s="938" t="s">
        <v>268</v>
      </c>
      <c r="T146" s="938" t="s">
        <v>269</v>
      </c>
      <c r="U146" s="938" t="s">
        <v>270</v>
      </c>
      <c r="V146" s="932" t="s">
        <v>555</v>
      </c>
      <c r="W146" s="938" t="s">
        <v>271</v>
      </c>
    </row>
    <row r="147" spans="2:23" ht="28">
      <c r="B147" s="257"/>
      <c r="C147" s="257"/>
      <c r="D147" s="257" t="s">
        <v>631</v>
      </c>
      <c r="E147" s="257" t="s">
        <v>632</v>
      </c>
      <c r="F147" s="257" t="s">
        <v>633</v>
      </c>
      <c r="G147" s="257" t="s">
        <v>634</v>
      </c>
      <c r="H147" s="257" t="s">
        <v>635</v>
      </c>
      <c r="I147" s="257" t="s">
        <v>631</v>
      </c>
      <c r="J147" s="257" t="s">
        <v>632</v>
      </c>
      <c r="K147" s="257" t="s">
        <v>633</v>
      </c>
      <c r="L147" s="257" t="s">
        <v>634</v>
      </c>
      <c r="M147" s="257" t="s">
        <v>635</v>
      </c>
      <c r="N147" s="257" t="s">
        <v>631</v>
      </c>
      <c r="O147" s="257" t="s">
        <v>632</v>
      </c>
      <c r="P147" s="257" t="s">
        <v>633</v>
      </c>
      <c r="Q147" s="257" t="s">
        <v>634</v>
      </c>
      <c r="R147" s="257" t="s">
        <v>635</v>
      </c>
      <c r="S147" s="257" t="s">
        <v>631</v>
      </c>
      <c r="T147" s="257" t="s">
        <v>632</v>
      </c>
      <c r="U147" s="257" t="s">
        <v>633</v>
      </c>
      <c r="V147" s="257" t="s">
        <v>634</v>
      </c>
      <c r="W147" s="257" t="s">
        <v>635</v>
      </c>
    </row>
    <row r="148" spans="2:23">
      <c r="B148" s="95">
        <v>1</v>
      </c>
      <c r="C148" s="446" t="s">
        <v>810</v>
      </c>
      <c r="D148" s="691">
        <f t="shared" ref="D148:G163" si="49">D40-D95</f>
        <v>12.275</v>
      </c>
      <c r="E148" s="691">
        <f t="shared" si="49"/>
        <v>0</v>
      </c>
      <c r="F148" s="691">
        <f t="shared" si="49"/>
        <v>0</v>
      </c>
      <c r="G148" s="691">
        <f t="shared" si="49"/>
        <v>0</v>
      </c>
      <c r="H148" s="886">
        <f>D148+E148-F148-G148</f>
        <v>12.275</v>
      </c>
      <c r="I148" s="851">
        <f>H148</f>
        <v>12.275</v>
      </c>
      <c r="J148" s="877"/>
      <c r="K148" s="851"/>
      <c r="L148" s="877"/>
      <c r="M148" s="851">
        <f>I148+J148-K148-L148</f>
        <v>12.275</v>
      </c>
      <c r="N148" s="851">
        <f>M148</f>
        <v>12.275</v>
      </c>
      <c r="O148" s="877"/>
      <c r="P148" s="851"/>
      <c r="Q148" s="877"/>
      <c r="R148" s="851">
        <f>N148+O148-P148-Q148</f>
        <v>12.275</v>
      </c>
      <c r="S148" s="851">
        <f>R148</f>
        <v>12.275</v>
      </c>
      <c r="T148" s="877"/>
      <c r="U148" s="851"/>
      <c r="V148" s="877"/>
      <c r="W148" s="851">
        <f>S148+T148-U148-V148</f>
        <v>12.275</v>
      </c>
    </row>
    <row r="149" spans="2:23">
      <c r="B149" s="95">
        <f>B148+1</f>
        <v>2</v>
      </c>
      <c r="C149" s="446" t="s">
        <v>811</v>
      </c>
      <c r="D149" s="691">
        <f t="shared" si="49"/>
        <v>184.65603652632052</v>
      </c>
      <c r="E149" s="691">
        <f t="shared" si="49"/>
        <v>-10.737602123928845</v>
      </c>
      <c r="F149" s="691">
        <f t="shared" si="49"/>
        <v>0</v>
      </c>
      <c r="G149" s="691">
        <f t="shared" si="49"/>
        <v>0</v>
      </c>
      <c r="H149" s="886">
        <f t="shared" ref="H149:H164" si="50">D149+E149-F149-G149</f>
        <v>173.91843440239168</v>
      </c>
      <c r="I149" s="851">
        <f t="shared" ref="I149:I164" si="51">H149</f>
        <v>173.91843440239168</v>
      </c>
      <c r="J149" s="877"/>
      <c r="K149" s="851"/>
      <c r="L149" s="877"/>
      <c r="M149" s="851">
        <f t="shared" ref="M149:M164" si="52">I149+J149-K149-L149</f>
        <v>173.91843440239168</v>
      </c>
      <c r="N149" s="851">
        <f t="shared" ref="N149:N164" si="53">M149</f>
        <v>173.91843440239168</v>
      </c>
      <c r="O149" s="877"/>
      <c r="P149" s="851"/>
      <c r="Q149" s="877"/>
      <c r="R149" s="851">
        <f t="shared" ref="R149:R164" si="54">N149+O149-P149-Q149</f>
        <v>173.91843440239168</v>
      </c>
      <c r="S149" s="851">
        <f t="shared" ref="S149:S164" si="55">R149</f>
        <v>173.91843440239168</v>
      </c>
      <c r="T149" s="877"/>
      <c r="U149" s="851"/>
      <c r="V149" s="877"/>
      <c r="W149" s="851">
        <f t="shared" ref="W149:W164" si="56">S149+T149-U149-V149</f>
        <v>173.91843440239168</v>
      </c>
    </row>
    <row r="150" spans="2:23">
      <c r="B150" s="95">
        <f t="shared" ref="B150:B164" si="57">B149+1</f>
        <v>3</v>
      </c>
      <c r="C150" s="446" t="s">
        <v>812</v>
      </c>
      <c r="D150" s="691">
        <f t="shared" si="49"/>
        <v>9.7889999999999997</v>
      </c>
      <c r="E150" s="691">
        <f t="shared" si="49"/>
        <v>-0.42200000000000004</v>
      </c>
      <c r="F150" s="691">
        <f t="shared" si="49"/>
        <v>0</v>
      </c>
      <c r="G150" s="691">
        <f t="shared" si="49"/>
        <v>0</v>
      </c>
      <c r="H150" s="886">
        <f t="shared" si="50"/>
        <v>9.3669999999999991</v>
      </c>
      <c r="I150" s="851">
        <f t="shared" si="51"/>
        <v>9.3669999999999991</v>
      </c>
      <c r="J150" s="877"/>
      <c r="K150" s="851"/>
      <c r="L150" s="877"/>
      <c r="M150" s="851">
        <f t="shared" si="52"/>
        <v>9.3669999999999991</v>
      </c>
      <c r="N150" s="851">
        <f t="shared" si="53"/>
        <v>9.3669999999999991</v>
      </c>
      <c r="O150" s="877"/>
      <c r="P150" s="851"/>
      <c r="Q150" s="877"/>
      <c r="R150" s="851">
        <f t="shared" si="54"/>
        <v>9.3669999999999991</v>
      </c>
      <c r="S150" s="851">
        <f t="shared" si="55"/>
        <v>9.3669999999999991</v>
      </c>
      <c r="T150" s="877"/>
      <c r="U150" s="851"/>
      <c r="V150" s="877"/>
      <c r="W150" s="851">
        <f t="shared" si="56"/>
        <v>9.3669999999999991</v>
      </c>
    </row>
    <row r="151" spans="2:23">
      <c r="B151" s="95">
        <f t="shared" si="57"/>
        <v>4</v>
      </c>
      <c r="C151" s="446" t="s">
        <v>813</v>
      </c>
      <c r="D151" s="691">
        <f t="shared" si="49"/>
        <v>110.99159740364735</v>
      </c>
      <c r="E151" s="691">
        <f t="shared" si="49"/>
        <v>-6.2667223649559407</v>
      </c>
      <c r="F151" s="691">
        <f t="shared" si="49"/>
        <v>0</v>
      </c>
      <c r="G151" s="691">
        <f t="shared" si="49"/>
        <v>0</v>
      </c>
      <c r="H151" s="886">
        <f t="shared" si="50"/>
        <v>104.72487503869141</v>
      </c>
      <c r="I151" s="851">
        <f t="shared" si="51"/>
        <v>104.72487503869141</v>
      </c>
      <c r="J151" s="877"/>
      <c r="K151" s="851"/>
      <c r="L151" s="877"/>
      <c r="M151" s="851">
        <f t="shared" si="52"/>
        <v>104.72487503869141</v>
      </c>
      <c r="N151" s="851">
        <f t="shared" si="53"/>
        <v>104.72487503869141</v>
      </c>
      <c r="O151" s="877"/>
      <c r="P151" s="851"/>
      <c r="Q151" s="877"/>
      <c r="R151" s="851">
        <f t="shared" si="54"/>
        <v>104.72487503869141</v>
      </c>
      <c r="S151" s="851">
        <f t="shared" si="55"/>
        <v>104.72487503869141</v>
      </c>
      <c r="T151" s="877"/>
      <c r="U151" s="851"/>
      <c r="V151" s="877"/>
      <c r="W151" s="851">
        <f t="shared" si="56"/>
        <v>104.72487503869141</v>
      </c>
    </row>
    <row r="152" spans="2:23">
      <c r="B152" s="95">
        <f t="shared" si="57"/>
        <v>5</v>
      </c>
      <c r="C152" s="446" t="s">
        <v>814</v>
      </c>
      <c r="D152" s="691">
        <f t="shared" si="49"/>
        <v>241.63800676702505</v>
      </c>
      <c r="E152" s="691">
        <f t="shared" si="49"/>
        <v>-12.724123271448946</v>
      </c>
      <c r="F152" s="691">
        <f t="shared" si="49"/>
        <v>0</v>
      </c>
      <c r="G152" s="691">
        <f t="shared" si="49"/>
        <v>0</v>
      </c>
      <c r="H152" s="886">
        <f t="shared" si="50"/>
        <v>228.9138834955761</v>
      </c>
      <c r="I152" s="851">
        <f t="shared" si="51"/>
        <v>228.9138834955761</v>
      </c>
      <c r="J152" s="877"/>
      <c r="K152" s="851"/>
      <c r="L152" s="877"/>
      <c r="M152" s="851">
        <f t="shared" si="52"/>
        <v>228.9138834955761</v>
      </c>
      <c r="N152" s="851">
        <f t="shared" si="53"/>
        <v>228.9138834955761</v>
      </c>
      <c r="O152" s="877"/>
      <c r="P152" s="851"/>
      <c r="Q152" s="877"/>
      <c r="R152" s="851">
        <f t="shared" si="54"/>
        <v>228.9138834955761</v>
      </c>
      <c r="S152" s="851">
        <f t="shared" si="55"/>
        <v>228.9138834955761</v>
      </c>
      <c r="T152" s="877"/>
      <c r="U152" s="851"/>
      <c r="V152" s="877"/>
      <c r="W152" s="851">
        <f t="shared" si="56"/>
        <v>228.9138834955761</v>
      </c>
    </row>
    <row r="153" spans="2:23">
      <c r="B153" s="95">
        <f t="shared" si="57"/>
        <v>6</v>
      </c>
      <c r="C153" s="446" t="s">
        <v>256</v>
      </c>
      <c r="D153" s="691">
        <f t="shared" si="49"/>
        <v>1956.8950394040867</v>
      </c>
      <c r="E153" s="691">
        <f t="shared" si="49"/>
        <v>151.88673231795877</v>
      </c>
      <c r="F153" s="691">
        <f t="shared" si="49"/>
        <v>0</v>
      </c>
      <c r="G153" s="691">
        <f t="shared" si="49"/>
        <v>0</v>
      </c>
      <c r="H153" s="886">
        <f t="shared" si="50"/>
        <v>2108.7817717220455</v>
      </c>
      <c r="I153" s="851">
        <f t="shared" si="51"/>
        <v>2108.7817717220455</v>
      </c>
      <c r="J153" s="877"/>
      <c r="K153" s="851"/>
      <c r="L153" s="877"/>
      <c r="M153" s="851">
        <f t="shared" si="52"/>
        <v>2108.7817717220455</v>
      </c>
      <c r="N153" s="851">
        <f t="shared" si="53"/>
        <v>2108.7817717220455</v>
      </c>
      <c r="O153" s="877"/>
      <c r="P153" s="851"/>
      <c r="Q153" s="877"/>
      <c r="R153" s="851">
        <f t="shared" si="54"/>
        <v>2108.7817717220455</v>
      </c>
      <c r="S153" s="851">
        <f t="shared" si="55"/>
        <v>2108.7817717220455</v>
      </c>
      <c r="T153" s="877"/>
      <c r="U153" s="851"/>
      <c r="V153" s="877"/>
      <c r="W153" s="851">
        <f t="shared" si="56"/>
        <v>2108.7817717220455</v>
      </c>
    </row>
    <row r="154" spans="2:23">
      <c r="B154" s="95">
        <f t="shared" si="57"/>
        <v>7</v>
      </c>
      <c r="C154" s="446" t="s">
        <v>815</v>
      </c>
      <c r="D154" s="691">
        <f t="shared" si="49"/>
        <v>1.0665201251982506</v>
      </c>
      <c r="E154" s="691">
        <f t="shared" si="49"/>
        <v>-4.6682201271594177E-2</v>
      </c>
      <c r="F154" s="691">
        <f t="shared" si="49"/>
        <v>0</v>
      </c>
      <c r="G154" s="691">
        <f t="shared" si="49"/>
        <v>0</v>
      </c>
      <c r="H154" s="886">
        <f t="shared" si="50"/>
        <v>1.0198379239266564</v>
      </c>
      <c r="I154" s="851">
        <f t="shared" si="51"/>
        <v>1.0198379239266564</v>
      </c>
      <c r="J154" s="877"/>
      <c r="K154" s="851"/>
      <c r="L154" s="877"/>
      <c r="M154" s="851">
        <f t="shared" si="52"/>
        <v>1.0198379239266564</v>
      </c>
      <c r="N154" s="851">
        <f t="shared" si="53"/>
        <v>1.0198379239266564</v>
      </c>
      <c r="O154" s="877"/>
      <c r="P154" s="851"/>
      <c r="Q154" s="877"/>
      <c r="R154" s="851">
        <f t="shared" si="54"/>
        <v>1.0198379239266564</v>
      </c>
      <c r="S154" s="851">
        <f t="shared" si="55"/>
        <v>1.0198379239266564</v>
      </c>
      <c r="T154" s="877"/>
      <c r="U154" s="851"/>
      <c r="V154" s="877"/>
      <c r="W154" s="851">
        <f t="shared" si="56"/>
        <v>1.0198379239266564</v>
      </c>
    </row>
    <row r="155" spans="2:23">
      <c r="B155" s="95">
        <f t="shared" si="57"/>
        <v>8</v>
      </c>
      <c r="C155" s="446" t="s">
        <v>816</v>
      </c>
      <c r="D155" s="691">
        <f t="shared" si="49"/>
        <v>7.2166910284767072E-2</v>
      </c>
      <c r="E155" s="691">
        <f t="shared" si="49"/>
        <v>-5.3698039219781581E-3</v>
      </c>
      <c r="F155" s="691">
        <f t="shared" si="49"/>
        <v>0</v>
      </c>
      <c r="G155" s="691">
        <f t="shared" si="49"/>
        <v>0</v>
      </c>
      <c r="H155" s="886">
        <f t="shared" si="50"/>
        <v>6.6797106362788919E-2</v>
      </c>
      <c r="I155" s="851">
        <f t="shared" si="51"/>
        <v>6.6797106362788919E-2</v>
      </c>
      <c r="J155" s="877"/>
      <c r="K155" s="851"/>
      <c r="L155" s="877"/>
      <c r="M155" s="851">
        <f t="shared" si="52"/>
        <v>6.6797106362788919E-2</v>
      </c>
      <c r="N155" s="851">
        <f t="shared" si="53"/>
        <v>6.6797106362788919E-2</v>
      </c>
      <c r="O155" s="877"/>
      <c r="P155" s="851"/>
      <c r="Q155" s="877"/>
      <c r="R155" s="851">
        <f t="shared" si="54"/>
        <v>6.6797106362788919E-2</v>
      </c>
      <c r="S155" s="851">
        <f t="shared" si="55"/>
        <v>6.6797106362788919E-2</v>
      </c>
      <c r="T155" s="877"/>
      <c r="U155" s="851"/>
      <c r="V155" s="877"/>
      <c r="W155" s="851">
        <f t="shared" si="56"/>
        <v>6.6797106362788919E-2</v>
      </c>
    </row>
    <row r="156" spans="2:23">
      <c r="B156" s="95">
        <f t="shared" si="57"/>
        <v>9</v>
      </c>
      <c r="C156" s="446" t="s">
        <v>817</v>
      </c>
      <c r="D156" s="691">
        <f t="shared" si="49"/>
        <v>16.862247500348282</v>
      </c>
      <c r="E156" s="691">
        <f t="shared" si="49"/>
        <v>-0.98482773944697966</v>
      </c>
      <c r="F156" s="691">
        <f t="shared" si="49"/>
        <v>0</v>
      </c>
      <c r="G156" s="691">
        <f t="shared" si="49"/>
        <v>0</v>
      </c>
      <c r="H156" s="886">
        <f t="shared" si="50"/>
        <v>15.877419760901303</v>
      </c>
      <c r="I156" s="851">
        <f t="shared" si="51"/>
        <v>15.877419760901303</v>
      </c>
      <c r="J156" s="877"/>
      <c r="K156" s="851"/>
      <c r="L156" s="877"/>
      <c r="M156" s="851">
        <f t="shared" si="52"/>
        <v>15.877419760901303</v>
      </c>
      <c r="N156" s="851">
        <f t="shared" si="53"/>
        <v>15.877419760901303</v>
      </c>
      <c r="O156" s="877"/>
      <c r="P156" s="851"/>
      <c r="Q156" s="877"/>
      <c r="R156" s="851">
        <f t="shared" si="54"/>
        <v>15.877419760901303</v>
      </c>
      <c r="S156" s="851">
        <f t="shared" si="55"/>
        <v>15.877419760901303</v>
      </c>
      <c r="T156" s="877"/>
      <c r="U156" s="851"/>
      <c r="V156" s="877"/>
      <c r="W156" s="851">
        <f t="shared" si="56"/>
        <v>15.877419760901303</v>
      </c>
    </row>
    <row r="157" spans="2:23">
      <c r="B157" s="95">
        <f t="shared" si="57"/>
        <v>10</v>
      </c>
      <c r="C157" s="446" t="s">
        <v>259</v>
      </c>
      <c r="D157" s="691">
        <f t="shared" si="49"/>
        <v>2.4800933231998732</v>
      </c>
      <c r="E157" s="691">
        <f t="shared" si="49"/>
        <v>1.2276142180634271</v>
      </c>
      <c r="F157" s="691">
        <f t="shared" si="49"/>
        <v>0</v>
      </c>
      <c r="G157" s="691">
        <f t="shared" si="49"/>
        <v>0</v>
      </c>
      <c r="H157" s="886">
        <f t="shared" si="50"/>
        <v>3.7077075412633</v>
      </c>
      <c r="I157" s="851">
        <f t="shared" si="51"/>
        <v>3.7077075412633</v>
      </c>
      <c r="J157" s="877"/>
      <c r="K157" s="851"/>
      <c r="L157" s="877"/>
      <c r="M157" s="851">
        <f t="shared" si="52"/>
        <v>3.7077075412633</v>
      </c>
      <c r="N157" s="851">
        <f t="shared" si="53"/>
        <v>3.7077075412633</v>
      </c>
      <c r="O157" s="877"/>
      <c r="P157" s="851"/>
      <c r="Q157" s="877"/>
      <c r="R157" s="851">
        <f t="shared" si="54"/>
        <v>3.7077075412633</v>
      </c>
      <c r="S157" s="851">
        <f t="shared" si="55"/>
        <v>3.7077075412633</v>
      </c>
      <c r="T157" s="877"/>
      <c r="U157" s="851"/>
      <c r="V157" s="877"/>
      <c r="W157" s="851">
        <f t="shared" si="56"/>
        <v>3.7077075412633</v>
      </c>
    </row>
    <row r="158" spans="2:23">
      <c r="B158" s="95">
        <f t="shared" si="57"/>
        <v>11</v>
      </c>
      <c r="C158" s="446" t="s">
        <v>260</v>
      </c>
      <c r="D158" s="691">
        <f t="shared" si="49"/>
        <v>1.3728955348536691</v>
      </c>
      <c r="E158" s="691">
        <f t="shared" si="49"/>
        <v>-0.19224767500591577</v>
      </c>
      <c r="F158" s="691">
        <f t="shared" si="49"/>
        <v>0</v>
      </c>
      <c r="G158" s="691">
        <f t="shared" si="49"/>
        <v>0</v>
      </c>
      <c r="H158" s="886">
        <f t="shared" si="50"/>
        <v>1.1806478598477534</v>
      </c>
      <c r="I158" s="851">
        <f t="shared" si="51"/>
        <v>1.1806478598477534</v>
      </c>
      <c r="J158" s="877"/>
      <c r="K158" s="851"/>
      <c r="L158" s="877"/>
      <c r="M158" s="851">
        <f t="shared" si="52"/>
        <v>1.1806478598477534</v>
      </c>
      <c r="N158" s="851">
        <f t="shared" si="53"/>
        <v>1.1806478598477534</v>
      </c>
      <c r="O158" s="877"/>
      <c r="P158" s="851"/>
      <c r="Q158" s="877"/>
      <c r="R158" s="851">
        <f t="shared" si="54"/>
        <v>1.1806478598477534</v>
      </c>
      <c r="S158" s="851">
        <f t="shared" si="55"/>
        <v>1.1806478598477534</v>
      </c>
      <c r="T158" s="877"/>
      <c r="U158" s="851"/>
      <c r="V158" s="877"/>
      <c r="W158" s="851">
        <f t="shared" si="56"/>
        <v>1.1806478598477534</v>
      </c>
    </row>
    <row r="159" spans="2:23">
      <c r="B159" s="95">
        <f t="shared" si="57"/>
        <v>12</v>
      </c>
      <c r="C159" s="446" t="s">
        <v>261</v>
      </c>
      <c r="D159" s="691">
        <f t="shared" si="49"/>
        <v>0.64561899437974646</v>
      </c>
      <c r="E159" s="691">
        <f t="shared" si="49"/>
        <v>-6.9050002701972368E-2</v>
      </c>
      <c r="F159" s="691">
        <f t="shared" si="49"/>
        <v>0</v>
      </c>
      <c r="G159" s="691">
        <f t="shared" si="49"/>
        <v>0</v>
      </c>
      <c r="H159" s="886">
        <f t="shared" si="50"/>
        <v>0.57656899167777409</v>
      </c>
      <c r="I159" s="851">
        <f t="shared" si="51"/>
        <v>0.57656899167777409</v>
      </c>
      <c r="J159" s="877"/>
      <c r="K159" s="851"/>
      <c r="L159" s="877"/>
      <c r="M159" s="851">
        <f t="shared" si="52"/>
        <v>0.57656899167777409</v>
      </c>
      <c r="N159" s="851">
        <f t="shared" si="53"/>
        <v>0.57656899167777409</v>
      </c>
      <c r="O159" s="877"/>
      <c r="P159" s="851"/>
      <c r="Q159" s="877"/>
      <c r="R159" s="851">
        <f t="shared" si="54"/>
        <v>0.57656899167777409</v>
      </c>
      <c r="S159" s="851">
        <f t="shared" si="55"/>
        <v>0.57656899167777409</v>
      </c>
      <c r="T159" s="877"/>
      <c r="U159" s="851"/>
      <c r="V159" s="877"/>
      <c r="W159" s="851">
        <f t="shared" si="56"/>
        <v>0.57656899167777409</v>
      </c>
    </row>
    <row r="160" spans="2:23">
      <c r="B160" s="95">
        <f t="shared" si="57"/>
        <v>13</v>
      </c>
      <c r="C160" s="466" t="s">
        <v>865</v>
      </c>
      <c r="D160" s="691">
        <f t="shared" si="49"/>
        <v>0</v>
      </c>
      <c r="E160" s="691">
        <f t="shared" si="49"/>
        <v>0</v>
      </c>
      <c r="F160" s="691">
        <f t="shared" si="49"/>
        <v>0</v>
      </c>
      <c r="G160" s="691">
        <f t="shared" si="49"/>
        <v>0</v>
      </c>
      <c r="H160" s="886">
        <f t="shared" si="50"/>
        <v>0</v>
      </c>
      <c r="I160" s="851">
        <f t="shared" si="51"/>
        <v>0</v>
      </c>
      <c r="J160" s="877"/>
      <c r="K160" s="851"/>
      <c r="L160" s="877"/>
      <c r="M160" s="851">
        <f t="shared" si="52"/>
        <v>0</v>
      </c>
      <c r="N160" s="851">
        <f t="shared" si="53"/>
        <v>0</v>
      </c>
      <c r="O160" s="877"/>
      <c r="P160" s="851"/>
      <c r="Q160" s="877"/>
      <c r="R160" s="851">
        <f t="shared" si="54"/>
        <v>0</v>
      </c>
      <c r="S160" s="851">
        <f t="shared" si="55"/>
        <v>0</v>
      </c>
      <c r="T160" s="877"/>
      <c r="U160" s="851"/>
      <c r="V160" s="877"/>
      <c r="W160" s="851">
        <f t="shared" si="56"/>
        <v>0</v>
      </c>
    </row>
    <row r="161" spans="2:23">
      <c r="B161" s="95">
        <f t="shared" si="57"/>
        <v>14</v>
      </c>
      <c r="C161" s="466" t="s">
        <v>866</v>
      </c>
      <c r="D161" s="691">
        <f t="shared" si="49"/>
        <v>-8.2860775000000528E-3</v>
      </c>
      <c r="E161" s="691">
        <f t="shared" si="49"/>
        <v>0</v>
      </c>
      <c r="F161" s="691">
        <f t="shared" si="49"/>
        <v>0</v>
      </c>
      <c r="G161" s="691">
        <f t="shared" si="49"/>
        <v>0</v>
      </c>
      <c r="H161" s="886">
        <f t="shared" si="50"/>
        <v>-8.2860775000000528E-3</v>
      </c>
      <c r="I161" s="851">
        <f t="shared" si="51"/>
        <v>-8.2860775000000528E-3</v>
      </c>
      <c r="J161" s="877"/>
      <c r="K161" s="851"/>
      <c r="L161" s="877"/>
      <c r="M161" s="851">
        <f t="shared" si="52"/>
        <v>-8.2860775000000528E-3</v>
      </c>
      <c r="N161" s="851">
        <f t="shared" si="53"/>
        <v>-8.2860775000000528E-3</v>
      </c>
      <c r="O161" s="877"/>
      <c r="P161" s="851"/>
      <c r="Q161" s="877"/>
      <c r="R161" s="851">
        <f t="shared" si="54"/>
        <v>-8.2860775000000528E-3</v>
      </c>
      <c r="S161" s="851">
        <f t="shared" si="55"/>
        <v>-8.2860775000000528E-3</v>
      </c>
      <c r="T161" s="877"/>
      <c r="U161" s="851"/>
      <c r="V161" s="877"/>
      <c r="W161" s="851">
        <f t="shared" si="56"/>
        <v>-8.2860775000000528E-3</v>
      </c>
    </row>
    <row r="162" spans="2:23">
      <c r="B162" s="95">
        <f t="shared" si="57"/>
        <v>15</v>
      </c>
      <c r="C162" s="466" t="s">
        <v>867</v>
      </c>
      <c r="D162" s="691">
        <f t="shared" si="49"/>
        <v>0</v>
      </c>
      <c r="E162" s="691">
        <f t="shared" si="49"/>
        <v>0</v>
      </c>
      <c r="F162" s="691">
        <f t="shared" si="49"/>
        <v>0</v>
      </c>
      <c r="G162" s="691">
        <f t="shared" si="49"/>
        <v>0</v>
      </c>
      <c r="H162" s="886">
        <f t="shared" si="50"/>
        <v>0</v>
      </c>
      <c r="I162" s="851">
        <f t="shared" si="51"/>
        <v>0</v>
      </c>
      <c r="J162" s="877"/>
      <c r="K162" s="851"/>
      <c r="L162" s="877"/>
      <c r="M162" s="851">
        <f t="shared" si="52"/>
        <v>0</v>
      </c>
      <c r="N162" s="851">
        <f t="shared" si="53"/>
        <v>0</v>
      </c>
      <c r="O162" s="877"/>
      <c r="P162" s="851"/>
      <c r="Q162" s="877"/>
      <c r="R162" s="851">
        <f t="shared" si="54"/>
        <v>0</v>
      </c>
      <c r="S162" s="851">
        <f t="shared" si="55"/>
        <v>0</v>
      </c>
      <c r="T162" s="877"/>
      <c r="U162" s="851"/>
      <c r="V162" s="877"/>
      <c r="W162" s="851">
        <f t="shared" si="56"/>
        <v>0</v>
      </c>
    </row>
    <row r="163" spans="2:23">
      <c r="B163" s="95">
        <f t="shared" si="57"/>
        <v>16</v>
      </c>
      <c r="C163" s="466" t="s">
        <v>818</v>
      </c>
      <c r="D163" s="691">
        <f t="shared" si="49"/>
        <v>0</v>
      </c>
      <c r="E163" s="691">
        <f t="shared" si="49"/>
        <v>0</v>
      </c>
      <c r="F163" s="691">
        <f t="shared" si="49"/>
        <v>0</v>
      </c>
      <c r="G163" s="691">
        <f t="shared" si="49"/>
        <v>0</v>
      </c>
      <c r="H163" s="886">
        <f t="shared" si="50"/>
        <v>0</v>
      </c>
      <c r="I163" s="851">
        <f t="shared" si="51"/>
        <v>0</v>
      </c>
      <c r="J163" s="877"/>
      <c r="K163" s="851"/>
      <c r="L163" s="877"/>
      <c r="M163" s="851">
        <f t="shared" si="52"/>
        <v>0</v>
      </c>
      <c r="N163" s="851">
        <f t="shared" si="53"/>
        <v>0</v>
      </c>
      <c r="O163" s="877"/>
      <c r="P163" s="851"/>
      <c r="Q163" s="877"/>
      <c r="R163" s="851">
        <f t="shared" si="54"/>
        <v>0</v>
      </c>
      <c r="S163" s="851">
        <f t="shared" si="55"/>
        <v>0</v>
      </c>
      <c r="T163" s="877"/>
      <c r="U163" s="851"/>
      <c r="V163" s="877"/>
      <c r="W163" s="851">
        <f t="shared" si="56"/>
        <v>0</v>
      </c>
    </row>
    <row r="164" spans="2:23">
      <c r="B164" s="95">
        <f t="shared" si="57"/>
        <v>17</v>
      </c>
      <c r="C164" s="466" t="s">
        <v>868</v>
      </c>
      <c r="D164" s="691">
        <f t="shared" ref="D164:G164" si="58">D56-D111</f>
        <v>0</v>
      </c>
      <c r="E164" s="691">
        <f t="shared" si="58"/>
        <v>0</v>
      </c>
      <c r="F164" s="691">
        <f t="shared" si="58"/>
        <v>0</v>
      </c>
      <c r="G164" s="691">
        <f t="shared" si="58"/>
        <v>0</v>
      </c>
      <c r="H164" s="886">
        <f t="shared" si="50"/>
        <v>0</v>
      </c>
      <c r="I164" s="851">
        <f t="shared" si="51"/>
        <v>0</v>
      </c>
      <c r="J164" s="877"/>
      <c r="K164" s="851"/>
      <c r="L164" s="877"/>
      <c r="M164" s="851">
        <f t="shared" si="52"/>
        <v>0</v>
      </c>
      <c r="N164" s="851">
        <f t="shared" si="53"/>
        <v>0</v>
      </c>
      <c r="O164" s="877"/>
      <c r="P164" s="851"/>
      <c r="Q164" s="877"/>
      <c r="R164" s="851">
        <f t="shared" si="54"/>
        <v>0</v>
      </c>
      <c r="S164" s="851">
        <f t="shared" si="55"/>
        <v>0</v>
      </c>
      <c r="T164" s="877"/>
      <c r="U164" s="851"/>
      <c r="V164" s="877"/>
      <c r="W164" s="851">
        <f t="shared" si="56"/>
        <v>0</v>
      </c>
    </row>
    <row r="165" spans="2:23" ht="16">
      <c r="B165" s="83"/>
      <c r="C165" s="97" t="s">
        <v>272</v>
      </c>
      <c r="D165" s="888">
        <f>SUM(D148:D163)</f>
        <v>2538.7359364118442</v>
      </c>
      <c r="E165" s="888">
        <f>SUM(E148:E163)</f>
        <v>121.66572135334002</v>
      </c>
      <c r="F165" s="888">
        <f>SUM(F148:F163)</f>
        <v>0</v>
      </c>
      <c r="G165" s="888">
        <f>SUM(G148:G163)</f>
        <v>0</v>
      </c>
      <c r="H165" s="888">
        <f>SUM(H148:H163)</f>
        <v>2660.4016577651846</v>
      </c>
      <c r="I165" s="888">
        <f t="shared" ref="I165:W165" si="59">SUM(I148:I164)</f>
        <v>2660.4016577651846</v>
      </c>
      <c r="J165" s="888">
        <f t="shared" si="59"/>
        <v>0</v>
      </c>
      <c r="K165" s="888">
        <f t="shared" si="59"/>
        <v>0</v>
      </c>
      <c r="L165" s="888">
        <f t="shared" si="59"/>
        <v>0</v>
      </c>
      <c r="M165" s="888">
        <f t="shared" si="59"/>
        <v>2660.4016577651846</v>
      </c>
      <c r="N165" s="888">
        <f t="shared" si="59"/>
        <v>2660.4016577651846</v>
      </c>
      <c r="O165" s="888">
        <f t="shared" si="59"/>
        <v>0</v>
      </c>
      <c r="P165" s="888">
        <f t="shared" si="59"/>
        <v>0</v>
      </c>
      <c r="Q165" s="888">
        <f t="shared" si="59"/>
        <v>0</v>
      </c>
      <c r="R165" s="888">
        <f t="shared" si="59"/>
        <v>2660.4016577651846</v>
      </c>
      <c r="S165" s="888">
        <f t="shared" si="59"/>
        <v>2660.4016577651846</v>
      </c>
      <c r="T165" s="888">
        <f t="shared" si="59"/>
        <v>0</v>
      </c>
      <c r="U165" s="888">
        <f t="shared" si="59"/>
        <v>0</v>
      </c>
      <c r="V165" s="888">
        <f t="shared" si="59"/>
        <v>0</v>
      </c>
      <c r="W165" s="888">
        <f t="shared" si="59"/>
        <v>2660.4016577651846</v>
      </c>
    </row>
    <row r="166" spans="2:23">
      <c r="B166" s="265"/>
      <c r="C166" s="79"/>
      <c r="D166" s="79"/>
      <c r="E166" s="79"/>
      <c r="F166" s="79"/>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A61" zoomScale="56" zoomScaleNormal="68" zoomScaleSheetLayoutView="70" workbookViewId="0">
      <selection activeCell="T73" sqref="T73"/>
    </sheetView>
  </sheetViews>
  <sheetFormatPr defaultColWidth="9.453125" defaultRowHeight="14"/>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c r="B1" s="53"/>
    </row>
    <row r="2" spans="1:23">
      <c r="B2" s="53"/>
    </row>
    <row r="3" spans="1:23">
      <c r="B3" s="53"/>
    </row>
    <row r="4" spans="1:23">
      <c r="B4" s="19"/>
      <c r="I4" s="18"/>
      <c r="J4" s="18"/>
      <c r="K4" s="366" t="str">
        <f>Index!B2</f>
        <v xml:space="preserve">      Maharashtra State Power Generation Company Ltd.</v>
      </c>
      <c r="L4" s="362"/>
      <c r="M4" s="18"/>
      <c r="N4" s="18"/>
      <c r="O4" s="18"/>
      <c r="P4" s="18"/>
      <c r="Q4" s="18"/>
      <c r="R4" s="18"/>
    </row>
    <row r="5" spans="1:23">
      <c r="B5" s="19"/>
      <c r="I5" s="65"/>
      <c r="J5" s="65"/>
      <c r="K5" s="362" t="str">
        <f>Index!B3</f>
        <v>MYT Petition Formats for Bhusawal Units 4&amp;5</v>
      </c>
      <c r="L5" s="362"/>
      <c r="M5" s="65"/>
      <c r="N5" s="65"/>
      <c r="O5" s="65"/>
      <c r="P5" s="65"/>
      <c r="Q5" s="65"/>
      <c r="R5" s="65"/>
    </row>
    <row r="6" spans="1:23">
      <c r="B6" s="18"/>
      <c r="I6" s="66"/>
      <c r="J6" s="67"/>
      <c r="K6" s="72" t="s">
        <v>265</v>
      </c>
      <c r="L6" s="72"/>
      <c r="M6" s="67"/>
      <c r="N6" s="19"/>
      <c r="O6" s="18"/>
      <c r="P6" s="18"/>
      <c r="Q6" s="18"/>
      <c r="R6" s="18"/>
    </row>
    <row r="7" spans="1:23">
      <c r="C7" s="19"/>
      <c r="D7" s="19"/>
      <c r="E7" s="19"/>
      <c r="F7" s="19"/>
      <c r="G7" s="19"/>
      <c r="H7" s="19"/>
      <c r="J7" s="6"/>
      <c r="M7" s="6"/>
      <c r="N7" s="6"/>
    </row>
    <row r="8" spans="1:23">
      <c r="A8" s="5" t="s">
        <v>266</v>
      </c>
      <c r="B8" s="364" t="s">
        <v>267</v>
      </c>
      <c r="C8" s="364"/>
      <c r="D8" s="364"/>
      <c r="E8" s="364"/>
      <c r="F8" s="364"/>
      <c r="G8" s="364"/>
      <c r="H8" s="364"/>
      <c r="I8" s="1"/>
      <c r="J8" s="44"/>
      <c r="K8" s="1"/>
      <c r="L8" s="1"/>
      <c r="M8" s="44"/>
      <c r="N8" s="44"/>
      <c r="O8" s="1"/>
      <c r="P8" s="1"/>
      <c r="Q8" s="1"/>
      <c r="R8" s="250"/>
    </row>
    <row r="9" spans="1:23">
      <c r="B9" s="255"/>
      <c r="C9" s="8"/>
      <c r="D9" s="8"/>
      <c r="E9" s="8"/>
      <c r="F9" s="8"/>
      <c r="G9" s="8"/>
      <c r="H9" s="8"/>
      <c r="I9" s="1"/>
      <c r="J9" s="44"/>
      <c r="K9" s="1"/>
      <c r="L9" s="1"/>
      <c r="M9" s="256" t="s">
        <v>10</v>
      </c>
      <c r="N9" s="44"/>
      <c r="O9" s="1"/>
      <c r="P9" s="1"/>
      <c r="Q9" s="1"/>
    </row>
    <row r="10" spans="1:23" ht="15.75" customHeight="1">
      <c r="B10" s="1719" t="s">
        <v>341</v>
      </c>
      <c r="C10" s="1719" t="s">
        <v>37</v>
      </c>
      <c r="D10" s="1839" t="s">
        <v>509</v>
      </c>
      <c r="E10" s="1839"/>
      <c r="F10" s="1839"/>
      <c r="G10" s="1839"/>
      <c r="H10" s="1839"/>
      <c r="I10" s="1839" t="s">
        <v>510</v>
      </c>
      <c r="J10" s="1839"/>
      <c r="K10" s="1839"/>
      <c r="L10" s="1839"/>
      <c r="M10" s="1839"/>
      <c r="N10" s="1835" t="s">
        <v>511</v>
      </c>
      <c r="O10" s="1835"/>
      <c r="P10" s="1835"/>
      <c r="Q10" s="1835"/>
      <c r="R10" s="1835"/>
      <c r="S10" s="1835" t="s">
        <v>947</v>
      </c>
      <c r="T10" s="1835"/>
      <c r="U10" s="1835"/>
      <c r="V10" s="1835"/>
      <c r="W10" s="1835"/>
    </row>
    <row r="11" spans="1:23" ht="15.75" customHeight="1">
      <c r="B11" s="1719"/>
      <c r="C11" s="1719"/>
      <c r="D11" s="1841" t="s">
        <v>7</v>
      </c>
      <c r="E11" s="1842"/>
      <c r="F11" s="1842"/>
      <c r="G11" s="1842"/>
      <c r="H11" s="1842"/>
      <c r="I11" s="1841" t="s">
        <v>7</v>
      </c>
      <c r="J11" s="1842"/>
      <c r="K11" s="1842"/>
      <c r="L11" s="1842"/>
      <c r="M11" s="1842"/>
      <c r="N11" s="1841" t="s">
        <v>12</v>
      </c>
      <c r="O11" s="1842"/>
      <c r="P11" s="1842"/>
      <c r="Q11" s="1842"/>
      <c r="R11" s="1842"/>
      <c r="S11" s="1839" t="s">
        <v>21</v>
      </c>
      <c r="T11" s="1840"/>
      <c r="U11" s="1840"/>
      <c r="V11" s="1840"/>
      <c r="W11" s="1840"/>
    </row>
    <row r="12" spans="1:23" s="35" customFormat="1" ht="42">
      <c r="B12" s="1719"/>
      <c r="C12" s="1719"/>
      <c r="D12" s="363" t="s">
        <v>268</v>
      </c>
      <c r="E12" s="363" t="s">
        <v>269</v>
      </c>
      <c r="F12" s="363" t="s">
        <v>270</v>
      </c>
      <c r="G12" s="809" t="s">
        <v>555</v>
      </c>
      <c r="H12" s="363" t="s">
        <v>271</v>
      </c>
      <c r="I12" s="697" t="s">
        <v>268</v>
      </c>
      <c r="J12" s="697" t="s">
        <v>269</v>
      </c>
      <c r="K12" s="697" t="s">
        <v>270</v>
      </c>
      <c r="L12" s="697" t="s">
        <v>555</v>
      </c>
      <c r="M12" s="697" t="s">
        <v>271</v>
      </c>
      <c r="N12" s="365" t="s">
        <v>268</v>
      </c>
      <c r="O12" s="365" t="s">
        <v>269</v>
      </c>
      <c r="P12" s="365" t="s">
        <v>270</v>
      </c>
      <c r="Q12" s="363" t="s">
        <v>555</v>
      </c>
      <c r="R12" s="365" t="s">
        <v>271</v>
      </c>
      <c r="S12" s="365" t="s">
        <v>268</v>
      </c>
      <c r="T12" s="365" t="s">
        <v>269</v>
      </c>
      <c r="U12" s="365" t="s">
        <v>270</v>
      </c>
      <c r="V12" s="363" t="s">
        <v>555</v>
      </c>
      <c r="W12" s="365" t="s">
        <v>271</v>
      </c>
    </row>
    <row r="13" spans="1:23" s="36" customFormat="1" ht="28">
      <c r="B13" s="257"/>
      <c r="C13" s="257"/>
      <c r="D13" s="257" t="s">
        <v>81</v>
      </c>
      <c r="E13" s="257" t="s">
        <v>82</v>
      </c>
      <c r="F13" s="257" t="s">
        <v>462</v>
      </c>
      <c r="G13" s="257" t="s">
        <v>392</v>
      </c>
      <c r="H13" s="257" t="s">
        <v>556</v>
      </c>
      <c r="I13" s="257" t="s">
        <v>410</v>
      </c>
      <c r="J13" s="257" t="s">
        <v>512</v>
      </c>
      <c r="K13" s="257" t="s">
        <v>411</v>
      </c>
      <c r="L13" s="257" t="s">
        <v>412</v>
      </c>
      <c r="M13" s="257" t="s">
        <v>621</v>
      </c>
      <c r="N13" s="257" t="s">
        <v>563</v>
      </c>
      <c r="O13" s="257" t="s">
        <v>564</v>
      </c>
      <c r="P13" s="257" t="s">
        <v>565</v>
      </c>
      <c r="Q13" s="257" t="s">
        <v>624</v>
      </c>
      <c r="R13" s="257" t="s">
        <v>625</v>
      </c>
      <c r="S13" s="257" t="s">
        <v>626</v>
      </c>
      <c r="T13" s="257" t="s">
        <v>627</v>
      </c>
      <c r="U13" s="257" t="s">
        <v>628</v>
      </c>
      <c r="V13" s="257" t="s">
        <v>629</v>
      </c>
      <c r="W13" s="257" t="s">
        <v>630</v>
      </c>
    </row>
    <row r="14" spans="1:23" s="418" customFormat="1">
      <c r="B14" s="464">
        <v>1</v>
      </c>
      <c r="C14" s="466" t="s">
        <v>810</v>
      </c>
      <c r="D14" s="467">
        <v>12.275</v>
      </c>
      <c r="E14" s="467">
        <v>0</v>
      </c>
      <c r="F14" s="467">
        <v>0</v>
      </c>
      <c r="G14" s="467"/>
      <c r="H14" s="467">
        <f>D14+E14-F14-G14</f>
        <v>12.275</v>
      </c>
      <c r="I14" s="442">
        <f>H14</f>
        <v>12.275</v>
      </c>
      <c r="J14" s="467">
        <v>0</v>
      </c>
      <c r="K14" s="467">
        <v>0</v>
      </c>
      <c r="L14" s="467"/>
      <c r="M14" s="442">
        <f>I14+J14-K14-L14</f>
        <v>12.275</v>
      </c>
      <c r="N14" s="467">
        <f>M14</f>
        <v>12.275</v>
      </c>
      <c r="O14" s="467">
        <v>0</v>
      </c>
      <c r="P14" s="467">
        <v>0</v>
      </c>
      <c r="Q14" s="467"/>
      <c r="R14" s="467">
        <f>N14+O14-P14-Q14</f>
        <v>12.275</v>
      </c>
      <c r="S14" s="442">
        <f>R14</f>
        <v>12.275</v>
      </c>
      <c r="T14" s="877">
        <v>0</v>
      </c>
      <c r="U14" s="851">
        <v>0</v>
      </c>
      <c r="V14" s="467"/>
      <c r="W14" s="442">
        <f>S14+T14-U14-V14</f>
        <v>12.275</v>
      </c>
    </row>
    <row r="15" spans="1:23" s="418" customFormat="1">
      <c r="B15" s="464">
        <f>B14+1</f>
        <v>2</v>
      </c>
      <c r="C15" s="466" t="s">
        <v>811</v>
      </c>
      <c r="D15" s="467">
        <v>321.48509353080374</v>
      </c>
      <c r="E15" s="467">
        <v>0</v>
      </c>
      <c r="F15" s="467">
        <v>0</v>
      </c>
      <c r="G15" s="467"/>
      <c r="H15" s="467">
        <f t="shared" ref="H15:H30" si="0">D15+E15-F15-G15</f>
        <v>321.48509353080374</v>
      </c>
      <c r="I15" s="442">
        <f t="shared" ref="I15:I30" si="1">H15</f>
        <v>321.48509353080374</v>
      </c>
      <c r="J15" s="467">
        <v>0</v>
      </c>
      <c r="K15" s="467">
        <v>0</v>
      </c>
      <c r="L15" s="467"/>
      <c r="M15" s="442">
        <f t="shared" ref="M15:M30" si="2">I15+J15-K15-L15</f>
        <v>321.48509353080374</v>
      </c>
      <c r="N15" s="467">
        <f t="shared" ref="N15:N30" si="3">M15</f>
        <v>321.48509353080374</v>
      </c>
      <c r="O15" s="467">
        <v>0</v>
      </c>
      <c r="P15" s="467">
        <v>0</v>
      </c>
      <c r="Q15" s="467"/>
      <c r="R15" s="467">
        <f t="shared" ref="R15:R30" si="4">N15+O15-P15-Q15</f>
        <v>321.48509353080374</v>
      </c>
      <c r="S15" s="442">
        <f t="shared" ref="S15:S30" si="5">R15</f>
        <v>321.48509353080374</v>
      </c>
      <c r="T15" s="877">
        <v>0</v>
      </c>
      <c r="U15" s="851">
        <v>0</v>
      </c>
      <c r="V15" s="467"/>
      <c r="W15" s="442">
        <f t="shared" ref="W15:W25" si="6">S15+T15-U15-V15</f>
        <v>321.48509353080374</v>
      </c>
    </row>
    <row r="16" spans="1:23" s="418" customFormat="1">
      <c r="B16" s="464">
        <f t="shared" ref="B16:B30" si="7">B15+1</f>
        <v>3</v>
      </c>
      <c r="C16" s="466" t="s">
        <v>812</v>
      </c>
      <c r="D16" s="467">
        <v>0</v>
      </c>
      <c r="E16" s="467">
        <v>0</v>
      </c>
      <c r="F16" s="468">
        <v>0</v>
      </c>
      <c r="G16" s="468"/>
      <c r="H16" s="467">
        <f t="shared" si="0"/>
        <v>0</v>
      </c>
      <c r="I16" s="442">
        <f t="shared" si="1"/>
        <v>0</v>
      </c>
      <c r="J16" s="467">
        <v>0</v>
      </c>
      <c r="K16" s="468">
        <v>0</v>
      </c>
      <c r="L16" s="468"/>
      <c r="M16" s="442">
        <f t="shared" si="2"/>
        <v>0</v>
      </c>
      <c r="N16" s="467">
        <f t="shared" si="3"/>
        <v>0</v>
      </c>
      <c r="O16" s="467">
        <v>0</v>
      </c>
      <c r="P16" s="468">
        <v>0</v>
      </c>
      <c r="Q16" s="467"/>
      <c r="R16" s="467">
        <f t="shared" si="4"/>
        <v>0</v>
      </c>
      <c r="S16" s="442">
        <f t="shared" si="5"/>
        <v>0</v>
      </c>
      <c r="T16" s="877">
        <v>0</v>
      </c>
      <c r="U16" s="851">
        <v>0</v>
      </c>
      <c r="V16" s="467"/>
      <c r="W16" s="442">
        <f t="shared" si="6"/>
        <v>0</v>
      </c>
    </row>
    <row r="17" spans="2:23" s="418" customFormat="1">
      <c r="B17" s="464">
        <f t="shared" si="7"/>
        <v>4</v>
      </c>
      <c r="C17" s="466" t="s">
        <v>813</v>
      </c>
      <c r="D17" s="467">
        <v>345.29</v>
      </c>
      <c r="E17" s="467">
        <v>0</v>
      </c>
      <c r="F17" s="468">
        <v>0</v>
      </c>
      <c r="G17" s="468"/>
      <c r="H17" s="467">
        <f t="shared" si="0"/>
        <v>345.29</v>
      </c>
      <c r="I17" s="442">
        <f t="shared" si="1"/>
        <v>345.29</v>
      </c>
      <c r="J17" s="467">
        <v>0</v>
      </c>
      <c r="K17" s="468">
        <v>0</v>
      </c>
      <c r="L17" s="468"/>
      <c r="M17" s="442">
        <f t="shared" si="2"/>
        <v>345.29</v>
      </c>
      <c r="N17" s="467">
        <f t="shared" si="3"/>
        <v>345.29</v>
      </c>
      <c r="O17" s="467">
        <v>0</v>
      </c>
      <c r="P17" s="468">
        <v>0</v>
      </c>
      <c r="Q17" s="467"/>
      <c r="R17" s="467">
        <f t="shared" si="4"/>
        <v>345.29</v>
      </c>
      <c r="S17" s="442">
        <f t="shared" si="5"/>
        <v>345.29</v>
      </c>
      <c r="T17" s="877">
        <v>0</v>
      </c>
      <c r="U17" s="851">
        <v>0</v>
      </c>
      <c r="V17" s="467"/>
      <c r="W17" s="442">
        <f t="shared" si="6"/>
        <v>345.29</v>
      </c>
    </row>
    <row r="18" spans="2:23" s="418" customFormat="1">
      <c r="B18" s="464">
        <f t="shared" si="7"/>
        <v>5</v>
      </c>
      <c r="C18" s="466" t="s">
        <v>814</v>
      </c>
      <c r="D18" s="467">
        <v>373.89469099427981</v>
      </c>
      <c r="E18" s="467">
        <v>1.6870836</v>
      </c>
      <c r="F18" s="468">
        <v>0</v>
      </c>
      <c r="G18" s="468"/>
      <c r="H18" s="467">
        <f t="shared" si="0"/>
        <v>375.58177459427981</v>
      </c>
      <c r="I18" s="442">
        <f t="shared" si="1"/>
        <v>375.58177459427981</v>
      </c>
      <c r="J18" s="467">
        <v>3.18</v>
      </c>
      <c r="K18" s="468">
        <v>0</v>
      </c>
      <c r="L18" s="468"/>
      <c r="M18" s="442">
        <f t="shared" si="2"/>
        <v>378.76177459427981</v>
      </c>
      <c r="N18" s="467">
        <f t="shared" si="3"/>
        <v>378.76177459427981</v>
      </c>
      <c r="O18" s="467">
        <v>0</v>
      </c>
      <c r="P18" s="468">
        <v>0</v>
      </c>
      <c r="Q18" s="467"/>
      <c r="R18" s="467">
        <f t="shared" si="4"/>
        <v>378.76177459427981</v>
      </c>
      <c r="S18" s="442">
        <f t="shared" si="5"/>
        <v>378.76177459427981</v>
      </c>
      <c r="T18" s="877">
        <v>0</v>
      </c>
      <c r="U18" s="851">
        <v>0</v>
      </c>
      <c r="V18" s="467"/>
      <c r="W18" s="442">
        <f t="shared" si="6"/>
        <v>378.76177459427981</v>
      </c>
    </row>
    <row r="19" spans="2:23" s="11" customFormat="1">
      <c r="B19" s="464">
        <f t="shared" si="7"/>
        <v>6</v>
      </c>
      <c r="C19" s="466" t="s">
        <v>256</v>
      </c>
      <c r="D19" s="467">
        <v>5626.2006263786525</v>
      </c>
      <c r="E19" s="467">
        <v>9.7662618000000005</v>
      </c>
      <c r="F19" s="467">
        <v>0</v>
      </c>
      <c r="G19" s="467"/>
      <c r="H19" s="467">
        <f t="shared" si="0"/>
        <v>5635.9668881786529</v>
      </c>
      <c r="I19" s="442">
        <f t="shared" si="1"/>
        <v>5635.9668881786529</v>
      </c>
      <c r="J19" s="467">
        <v>13.17</v>
      </c>
      <c r="K19" s="467">
        <v>0</v>
      </c>
      <c r="L19" s="467"/>
      <c r="M19" s="442">
        <f t="shared" si="2"/>
        <v>5649.136888178653</v>
      </c>
      <c r="N19" s="467">
        <f t="shared" si="3"/>
        <v>5649.136888178653</v>
      </c>
      <c r="O19" s="467">
        <v>24.414801000000001</v>
      </c>
      <c r="P19" s="467">
        <v>0</v>
      </c>
      <c r="Q19" s="467"/>
      <c r="R19" s="467">
        <f t="shared" si="4"/>
        <v>5673.5516891786529</v>
      </c>
      <c r="S19" s="442">
        <f t="shared" si="5"/>
        <v>5673.5516891786529</v>
      </c>
      <c r="T19" s="877">
        <v>0</v>
      </c>
      <c r="U19" s="851">
        <v>0</v>
      </c>
      <c r="V19" s="467"/>
      <c r="W19" s="442">
        <f t="shared" si="6"/>
        <v>5673.5516891786529</v>
      </c>
    </row>
    <row r="20" spans="2:23" s="11" customFormat="1">
      <c r="B20" s="464">
        <f t="shared" si="7"/>
        <v>7</v>
      </c>
      <c r="C20" s="466" t="s">
        <v>815</v>
      </c>
      <c r="D20" s="467">
        <v>4.9693332146388194</v>
      </c>
      <c r="E20" s="467">
        <v>0</v>
      </c>
      <c r="F20" s="818">
        <v>0</v>
      </c>
      <c r="G20" s="467"/>
      <c r="H20" s="467">
        <f t="shared" si="0"/>
        <v>4.9693332146388194</v>
      </c>
      <c r="I20" s="442">
        <f t="shared" si="1"/>
        <v>4.9693332146388194</v>
      </c>
      <c r="J20" s="467">
        <v>0</v>
      </c>
      <c r="K20" s="818">
        <v>0</v>
      </c>
      <c r="L20" s="467"/>
      <c r="M20" s="442">
        <f t="shared" si="2"/>
        <v>4.9693332146388194</v>
      </c>
      <c r="N20" s="467">
        <f t="shared" si="3"/>
        <v>4.9693332146388194</v>
      </c>
      <c r="O20" s="467">
        <v>0</v>
      </c>
      <c r="P20" s="818">
        <v>0</v>
      </c>
      <c r="Q20" s="467"/>
      <c r="R20" s="467">
        <f t="shared" si="4"/>
        <v>4.9693332146388194</v>
      </c>
      <c r="S20" s="442">
        <f t="shared" si="5"/>
        <v>4.9693332146388194</v>
      </c>
      <c r="T20" s="877">
        <v>0</v>
      </c>
      <c r="U20" s="851">
        <v>0</v>
      </c>
      <c r="V20" s="467"/>
      <c r="W20" s="442">
        <f t="shared" si="6"/>
        <v>4.9693332146388194</v>
      </c>
    </row>
    <row r="21" spans="2:23" s="11" customFormat="1">
      <c r="B21" s="464">
        <f t="shared" si="7"/>
        <v>8</v>
      </c>
      <c r="C21" s="466" t="s">
        <v>816</v>
      </c>
      <c r="D21" s="467">
        <v>0.10170083185564693</v>
      </c>
      <c r="E21" s="467">
        <v>0</v>
      </c>
      <c r="F21" s="467">
        <v>0</v>
      </c>
      <c r="G21" s="467"/>
      <c r="H21" s="467">
        <f t="shared" si="0"/>
        <v>0.10170083185564693</v>
      </c>
      <c r="I21" s="442">
        <f t="shared" si="1"/>
        <v>0.10170083185564693</v>
      </c>
      <c r="J21" s="467">
        <v>0</v>
      </c>
      <c r="K21" s="467">
        <v>0</v>
      </c>
      <c r="L21" s="467"/>
      <c r="M21" s="442">
        <f t="shared" si="2"/>
        <v>0.10170083185564693</v>
      </c>
      <c r="N21" s="467">
        <f t="shared" si="3"/>
        <v>0.10170083185564693</v>
      </c>
      <c r="O21" s="467">
        <v>0</v>
      </c>
      <c r="P21" s="467">
        <v>0</v>
      </c>
      <c r="Q21" s="467"/>
      <c r="R21" s="467">
        <f t="shared" si="4"/>
        <v>0.10170083185564693</v>
      </c>
      <c r="S21" s="442">
        <f t="shared" si="5"/>
        <v>0.10170083185564693</v>
      </c>
      <c r="T21" s="877">
        <v>0</v>
      </c>
      <c r="U21" s="851">
        <v>0</v>
      </c>
      <c r="V21" s="467"/>
      <c r="W21" s="442">
        <f t="shared" si="6"/>
        <v>0.10170083185564693</v>
      </c>
    </row>
    <row r="22" spans="2:23" s="11" customFormat="1">
      <c r="B22" s="464">
        <f t="shared" si="7"/>
        <v>9</v>
      </c>
      <c r="C22" s="466" t="s">
        <v>817</v>
      </c>
      <c r="D22" s="467">
        <v>48.46</v>
      </c>
      <c r="E22" s="467">
        <v>0</v>
      </c>
      <c r="F22" s="467">
        <v>0</v>
      </c>
      <c r="G22" s="467"/>
      <c r="H22" s="467">
        <f t="shared" si="0"/>
        <v>48.46</v>
      </c>
      <c r="I22" s="442">
        <f t="shared" si="1"/>
        <v>48.46</v>
      </c>
      <c r="J22" s="467">
        <v>0</v>
      </c>
      <c r="K22" s="467">
        <v>0</v>
      </c>
      <c r="L22" s="467"/>
      <c r="M22" s="442">
        <f t="shared" si="2"/>
        <v>48.46</v>
      </c>
      <c r="N22" s="467">
        <f t="shared" si="3"/>
        <v>48.46</v>
      </c>
      <c r="O22" s="467">
        <v>0</v>
      </c>
      <c r="P22" s="467">
        <v>0</v>
      </c>
      <c r="Q22" s="467"/>
      <c r="R22" s="467">
        <f t="shared" si="4"/>
        <v>48.46</v>
      </c>
      <c r="S22" s="442">
        <f t="shared" si="5"/>
        <v>48.46</v>
      </c>
      <c r="T22" s="877">
        <v>0</v>
      </c>
      <c r="U22" s="851">
        <v>0</v>
      </c>
      <c r="V22" s="467"/>
      <c r="W22" s="442">
        <f t="shared" si="6"/>
        <v>48.46</v>
      </c>
    </row>
    <row r="23" spans="2:23" s="11" customFormat="1">
      <c r="B23" s="464">
        <f t="shared" si="7"/>
        <v>10</v>
      </c>
      <c r="C23" s="466" t="s">
        <v>259</v>
      </c>
      <c r="D23" s="467">
        <v>3.316447936174451</v>
      </c>
      <c r="E23" s="467">
        <v>2.1846524</v>
      </c>
      <c r="F23" s="467">
        <v>0</v>
      </c>
      <c r="G23" s="467"/>
      <c r="H23" s="467">
        <f t="shared" si="0"/>
        <v>5.501100336174451</v>
      </c>
      <c r="I23" s="442">
        <f t="shared" si="1"/>
        <v>5.501100336174451</v>
      </c>
      <c r="J23" s="467">
        <v>0</v>
      </c>
      <c r="K23" s="467">
        <v>0</v>
      </c>
      <c r="L23" s="467"/>
      <c r="M23" s="442">
        <f t="shared" si="2"/>
        <v>5.501100336174451</v>
      </c>
      <c r="N23" s="467">
        <f t="shared" si="3"/>
        <v>5.501100336174451</v>
      </c>
      <c r="O23" s="467">
        <v>0</v>
      </c>
      <c r="P23" s="467">
        <v>0</v>
      </c>
      <c r="Q23" s="467"/>
      <c r="R23" s="467">
        <f t="shared" si="4"/>
        <v>5.501100336174451</v>
      </c>
      <c r="S23" s="442">
        <f t="shared" si="5"/>
        <v>5.501100336174451</v>
      </c>
      <c r="T23" s="877">
        <v>0</v>
      </c>
      <c r="U23" s="851">
        <v>0</v>
      </c>
      <c r="V23" s="467"/>
      <c r="W23" s="442">
        <f t="shared" si="6"/>
        <v>5.501100336174451</v>
      </c>
    </row>
    <row r="24" spans="2:23" s="11" customFormat="1">
      <c r="B24" s="464">
        <f t="shared" si="7"/>
        <v>11</v>
      </c>
      <c r="C24" s="466" t="s">
        <v>260</v>
      </c>
      <c r="D24" s="467">
        <v>2.8259988727632823</v>
      </c>
      <c r="E24" s="467">
        <v>0.13712089999999999</v>
      </c>
      <c r="F24" s="467">
        <v>0</v>
      </c>
      <c r="G24" s="467"/>
      <c r="H24" s="467">
        <f t="shared" si="0"/>
        <v>2.9631197727632825</v>
      </c>
      <c r="I24" s="442">
        <f t="shared" si="1"/>
        <v>2.9631197727632825</v>
      </c>
      <c r="J24" s="467">
        <v>7.3968300000000001E-2</v>
      </c>
      <c r="K24" s="467">
        <v>0</v>
      </c>
      <c r="L24" s="467"/>
      <c r="M24" s="442">
        <f t="shared" si="2"/>
        <v>3.0370880727632827</v>
      </c>
      <c r="N24" s="467">
        <f t="shared" si="3"/>
        <v>3.0370880727632827</v>
      </c>
      <c r="O24" s="467">
        <v>0</v>
      </c>
      <c r="P24" s="467">
        <v>0</v>
      </c>
      <c r="Q24" s="467"/>
      <c r="R24" s="467">
        <f t="shared" si="4"/>
        <v>3.0370880727632827</v>
      </c>
      <c r="S24" s="442">
        <f t="shared" si="5"/>
        <v>3.0370880727632827</v>
      </c>
      <c r="T24" s="877">
        <v>0</v>
      </c>
      <c r="U24" s="851">
        <v>0</v>
      </c>
      <c r="V24" s="467"/>
      <c r="W24" s="442">
        <f t="shared" si="6"/>
        <v>3.0370880727632827</v>
      </c>
    </row>
    <row r="25" spans="2:23" s="11" customFormat="1">
      <c r="B25" s="464">
        <f t="shared" si="7"/>
        <v>12</v>
      </c>
      <c r="C25" s="466" t="s">
        <v>261</v>
      </c>
      <c r="D25" s="467">
        <v>1.0908373254655983</v>
      </c>
      <c r="E25" s="467">
        <v>0</v>
      </c>
      <c r="F25" s="467">
        <v>0</v>
      </c>
      <c r="G25" s="467"/>
      <c r="H25" s="467">
        <f t="shared" si="0"/>
        <v>1.0908373254655983</v>
      </c>
      <c r="I25" s="442">
        <f t="shared" si="1"/>
        <v>1.0908373254655983</v>
      </c>
      <c r="J25" s="467">
        <v>0</v>
      </c>
      <c r="K25" s="467">
        <v>0</v>
      </c>
      <c r="L25" s="467"/>
      <c r="M25" s="442">
        <f t="shared" si="2"/>
        <v>1.0908373254655983</v>
      </c>
      <c r="N25" s="467">
        <f t="shared" si="3"/>
        <v>1.0908373254655983</v>
      </c>
      <c r="O25" s="467">
        <v>0</v>
      </c>
      <c r="P25" s="467">
        <v>0</v>
      </c>
      <c r="Q25" s="467"/>
      <c r="R25" s="467">
        <f t="shared" si="4"/>
        <v>1.0908373254655983</v>
      </c>
      <c r="S25" s="442">
        <f t="shared" si="5"/>
        <v>1.0908373254655983</v>
      </c>
      <c r="T25" s="877">
        <v>0</v>
      </c>
      <c r="U25" s="851">
        <v>0</v>
      </c>
      <c r="V25" s="467"/>
      <c r="W25" s="442">
        <f t="shared" si="6"/>
        <v>1.0908373254655983</v>
      </c>
    </row>
    <row r="26" spans="2:23" s="11" customFormat="1">
      <c r="B26" s="464">
        <f t="shared" si="7"/>
        <v>13</v>
      </c>
      <c r="C26" s="466" t="s">
        <v>865</v>
      </c>
      <c r="D26" s="467">
        <v>0</v>
      </c>
      <c r="E26" s="467">
        <v>0</v>
      </c>
      <c r="F26" s="467">
        <v>0</v>
      </c>
      <c r="G26" s="467"/>
      <c r="H26" s="467">
        <f t="shared" si="0"/>
        <v>0</v>
      </c>
      <c r="I26" s="442">
        <f t="shared" si="1"/>
        <v>0</v>
      </c>
      <c r="J26" s="467">
        <v>0</v>
      </c>
      <c r="K26" s="467">
        <v>0</v>
      </c>
      <c r="L26" s="467"/>
      <c r="M26" s="442">
        <f t="shared" si="2"/>
        <v>0</v>
      </c>
      <c r="N26" s="467">
        <f t="shared" si="3"/>
        <v>0</v>
      </c>
      <c r="O26" s="467">
        <v>0</v>
      </c>
      <c r="P26" s="467">
        <v>0</v>
      </c>
      <c r="Q26" s="467"/>
      <c r="R26" s="467">
        <f t="shared" si="4"/>
        <v>0</v>
      </c>
      <c r="S26" s="442">
        <f t="shared" si="5"/>
        <v>0</v>
      </c>
      <c r="T26" s="877">
        <v>0</v>
      </c>
      <c r="U26" s="851">
        <v>0</v>
      </c>
      <c r="V26" s="467"/>
      <c r="W26" s="442">
        <f t="shared" ref="W26:W30" si="8">S26+T26-U26-V26</f>
        <v>0</v>
      </c>
    </row>
    <row r="27" spans="2:23" s="11" customFormat="1">
      <c r="B27" s="464">
        <f t="shared" si="7"/>
        <v>14</v>
      </c>
      <c r="C27" s="466" t="s">
        <v>866</v>
      </c>
      <c r="D27" s="467">
        <v>0</v>
      </c>
      <c r="E27" s="467">
        <v>0.14423554</v>
      </c>
      <c r="F27" s="467">
        <v>0.30060954500000003</v>
      </c>
      <c r="G27" s="467"/>
      <c r="H27" s="467">
        <f t="shared" si="0"/>
        <v>-0.15637400500000004</v>
      </c>
      <c r="I27" s="442">
        <f t="shared" si="1"/>
        <v>-0.15637400500000004</v>
      </c>
      <c r="J27" s="467">
        <v>0.15890559299999998</v>
      </c>
      <c r="K27" s="467">
        <v>0</v>
      </c>
      <c r="L27" s="467"/>
      <c r="M27" s="442">
        <f t="shared" si="2"/>
        <v>2.5315879999999458E-3</v>
      </c>
      <c r="N27" s="467">
        <f t="shared" si="3"/>
        <v>2.5315879999999458E-3</v>
      </c>
      <c r="O27" s="467">
        <v>0</v>
      </c>
      <c r="P27" s="467">
        <v>0</v>
      </c>
      <c r="Q27" s="467"/>
      <c r="R27" s="467">
        <f t="shared" si="4"/>
        <v>2.5315879999999458E-3</v>
      </c>
      <c r="S27" s="442">
        <f t="shared" si="5"/>
        <v>2.5315879999999458E-3</v>
      </c>
      <c r="T27" s="877">
        <v>0</v>
      </c>
      <c r="U27" s="851">
        <v>0</v>
      </c>
      <c r="V27" s="467"/>
      <c r="W27" s="442">
        <f t="shared" si="8"/>
        <v>2.5315879999999458E-3</v>
      </c>
    </row>
    <row r="28" spans="2:23" s="11" customFormat="1">
      <c r="B28" s="464">
        <f t="shared" si="7"/>
        <v>15</v>
      </c>
      <c r="C28" s="466" t="s">
        <v>867</v>
      </c>
      <c r="D28" s="467">
        <v>0</v>
      </c>
      <c r="E28" s="467">
        <v>0</v>
      </c>
      <c r="F28" s="467">
        <v>0</v>
      </c>
      <c r="G28" s="467"/>
      <c r="H28" s="467">
        <f t="shared" si="0"/>
        <v>0</v>
      </c>
      <c r="I28" s="442">
        <f t="shared" si="1"/>
        <v>0</v>
      </c>
      <c r="J28" s="467">
        <v>0</v>
      </c>
      <c r="K28" s="467">
        <v>0</v>
      </c>
      <c r="L28" s="467"/>
      <c r="M28" s="442">
        <f t="shared" si="2"/>
        <v>0</v>
      </c>
      <c r="N28" s="467">
        <f t="shared" si="3"/>
        <v>0</v>
      </c>
      <c r="O28" s="467">
        <v>0</v>
      </c>
      <c r="P28" s="467">
        <v>0</v>
      </c>
      <c r="Q28" s="467"/>
      <c r="R28" s="467">
        <f t="shared" si="4"/>
        <v>0</v>
      </c>
      <c r="S28" s="442">
        <f t="shared" si="5"/>
        <v>0</v>
      </c>
      <c r="T28" s="877">
        <v>0</v>
      </c>
      <c r="U28" s="851">
        <v>0</v>
      </c>
      <c r="V28" s="467"/>
      <c r="W28" s="442">
        <f t="shared" si="8"/>
        <v>0</v>
      </c>
    </row>
    <row r="29" spans="2:23" s="11" customFormat="1">
      <c r="B29" s="464">
        <f t="shared" si="7"/>
        <v>16</v>
      </c>
      <c r="C29" s="466" t="s">
        <v>818</v>
      </c>
      <c r="D29" s="467">
        <v>0</v>
      </c>
      <c r="E29" s="467">
        <v>0</v>
      </c>
      <c r="F29" s="467">
        <v>0</v>
      </c>
      <c r="G29" s="467"/>
      <c r="H29" s="467">
        <f t="shared" si="0"/>
        <v>0</v>
      </c>
      <c r="I29" s="442">
        <f t="shared" si="1"/>
        <v>0</v>
      </c>
      <c r="J29" s="467">
        <v>0</v>
      </c>
      <c r="K29" s="467">
        <v>0</v>
      </c>
      <c r="L29" s="467"/>
      <c r="M29" s="442">
        <f t="shared" si="2"/>
        <v>0</v>
      </c>
      <c r="N29" s="467">
        <f t="shared" si="3"/>
        <v>0</v>
      </c>
      <c r="O29" s="467">
        <v>0</v>
      </c>
      <c r="P29" s="467">
        <v>0</v>
      </c>
      <c r="Q29" s="467"/>
      <c r="R29" s="467">
        <f t="shared" si="4"/>
        <v>0</v>
      </c>
      <c r="S29" s="442">
        <f t="shared" si="5"/>
        <v>0</v>
      </c>
      <c r="T29" s="877">
        <v>0</v>
      </c>
      <c r="U29" s="851">
        <v>0</v>
      </c>
      <c r="V29" s="467"/>
      <c r="W29" s="442">
        <f t="shared" si="8"/>
        <v>0</v>
      </c>
    </row>
    <row r="30" spans="2:23" s="11" customFormat="1">
      <c r="B30" s="464">
        <f t="shared" si="7"/>
        <v>17</v>
      </c>
      <c r="C30" s="466" t="s">
        <v>868</v>
      </c>
      <c r="D30" s="467">
        <v>0</v>
      </c>
      <c r="E30" s="467">
        <v>0</v>
      </c>
      <c r="F30" s="467">
        <v>0</v>
      </c>
      <c r="G30" s="467"/>
      <c r="H30" s="467">
        <f t="shared" si="0"/>
        <v>0</v>
      </c>
      <c r="I30" s="442">
        <f t="shared" si="1"/>
        <v>0</v>
      </c>
      <c r="J30" s="467">
        <v>0</v>
      </c>
      <c r="K30" s="467">
        <v>0</v>
      </c>
      <c r="L30" s="467"/>
      <c r="M30" s="442">
        <f t="shared" si="2"/>
        <v>0</v>
      </c>
      <c r="N30" s="467">
        <f t="shared" si="3"/>
        <v>0</v>
      </c>
      <c r="O30" s="467">
        <v>0</v>
      </c>
      <c r="P30" s="467">
        <v>0</v>
      </c>
      <c r="Q30" s="467"/>
      <c r="R30" s="467">
        <f t="shared" si="4"/>
        <v>0</v>
      </c>
      <c r="S30" s="442">
        <f t="shared" si="5"/>
        <v>0</v>
      </c>
      <c r="T30" s="877">
        <v>0</v>
      </c>
      <c r="U30" s="851">
        <v>0</v>
      </c>
      <c r="V30" s="467"/>
      <c r="W30" s="442">
        <f t="shared" si="8"/>
        <v>0</v>
      </c>
    </row>
    <row r="31" spans="2:23" s="1" customFormat="1" ht="16">
      <c r="B31" s="83"/>
      <c r="C31" s="97" t="s">
        <v>272</v>
      </c>
      <c r="D31" s="347">
        <f>SUM(D14:D30)</f>
        <v>6739.9097290846339</v>
      </c>
      <c r="E31" s="347">
        <f>SUM(E14:E30)</f>
        <v>13.919354240000001</v>
      </c>
      <c r="F31" s="347">
        <f t="shared" ref="F31:M31" si="9">SUM(F14:F30)</f>
        <v>0.30060954500000003</v>
      </c>
      <c r="G31" s="347">
        <f t="shared" si="9"/>
        <v>0</v>
      </c>
      <c r="H31" s="347">
        <f t="shared" si="9"/>
        <v>6753.5284737796337</v>
      </c>
      <c r="I31" s="347">
        <f t="shared" si="9"/>
        <v>6753.5284737796337</v>
      </c>
      <c r="J31" s="347">
        <f t="shared" si="9"/>
        <v>16.582873893000002</v>
      </c>
      <c r="K31" s="347">
        <f t="shared" si="9"/>
        <v>0</v>
      </c>
      <c r="L31" s="347">
        <f t="shared" si="9"/>
        <v>0</v>
      </c>
      <c r="M31" s="347">
        <f t="shared" si="9"/>
        <v>6770.1113476726341</v>
      </c>
      <c r="N31" s="347">
        <f t="shared" ref="N31:W31" si="10">SUM(N14:N30)</f>
        <v>6770.1113476726341</v>
      </c>
      <c r="O31" s="347">
        <f t="shared" si="10"/>
        <v>24.414801000000001</v>
      </c>
      <c r="P31" s="347">
        <f t="shared" si="10"/>
        <v>0</v>
      </c>
      <c r="Q31" s="347">
        <f t="shared" si="10"/>
        <v>0</v>
      </c>
      <c r="R31" s="347">
        <f t="shared" si="10"/>
        <v>6794.526148672634</v>
      </c>
      <c r="S31" s="347">
        <f t="shared" si="10"/>
        <v>6794.526148672634</v>
      </c>
      <c r="T31" s="347">
        <f t="shared" si="10"/>
        <v>0</v>
      </c>
      <c r="U31" s="347">
        <f t="shared" si="10"/>
        <v>0</v>
      </c>
      <c r="V31" s="347">
        <f t="shared" si="10"/>
        <v>0</v>
      </c>
      <c r="W31" s="347">
        <f t="shared" si="10"/>
        <v>6794.526148672634</v>
      </c>
    </row>
    <row r="32" spans="2:23" s="1" customFormat="1">
      <c r="B32" s="364"/>
      <c r="C32" s="8"/>
      <c r="D32" s="8"/>
      <c r="E32" s="8"/>
      <c r="F32" s="8"/>
      <c r="G32" s="8"/>
      <c r="H32" s="8"/>
      <c r="J32" s="44"/>
      <c r="M32" s="44"/>
      <c r="N32" s="44"/>
    </row>
    <row r="33" spans="1:33">
      <c r="B33" s="1846" t="s">
        <v>566</v>
      </c>
      <c r="C33" s="1846"/>
      <c r="D33" s="1846"/>
      <c r="E33" s="1846"/>
      <c r="F33" s="1846"/>
      <c r="G33" s="1846"/>
      <c r="H33" s="8"/>
      <c r="I33" s="1"/>
      <c r="J33" s="44"/>
      <c r="K33" s="1"/>
      <c r="L33" s="1"/>
      <c r="M33" s="44"/>
      <c r="N33" s="44"/>
      <c r="O33" s="1"/>
      <c r="P33" s="1"/>
      <c r="Q33" s="1"/>
      <c r="R33" s="1"/>
    </row>
    <row r="34" spans="1:33">
      <c r="B34" s="364"/>
      <c r="C34" s="8"/>
      <c r="D34" s="8"/>
      <c r="E34" s="8"/>
      <c r="F34" s="8"/>
      <c r="G34" s="8"/>
      <c r="H34" s="8"/>
      <c r="I34" s="1"/>
      <c r="J34" s="44"/>
      <c r="K34" s="1"/>
      <c r="L34" s="1"/>
      <c r="M34" s="44"/>
      <c r="N34" s="44"/>
      <c r="O34" s="1"/>
      <c r="P34" s="1"/>
      <c r="Q34" s="1"/>
      <c r="R34" s="1"/>
    </row>
    <row r="35" spans="1:33" ht="15.75" customHeight="1">
      <c r="B35" s="364"/>
      <c r="C35" s="8"/>
      <c r="D35" s="8"/>
      <c r="E35" s="8"/>
      <c r="F35" s="8"/>
      <c r="G35" s="8"/>
      <c r="H35" s="8"/>
      <c r="I35" s="1"/>
      <c r="J35" s="44"/>
      <c r="K35" s="1"/>
      <c r="L35" s="1"/>
      <c r="M35" s="44"/>
      <c r="N35" s="44"/>
      <c r="O35" s="1"/>
      <c r="P35" s="1"/>
      <c r="Q35" s="1"/>
      <c r="AG35" s="256" t="s">
        <v>10</v>
      </c>
    </row>
    <row r="36" spans="1:33" ht="15.75" customHeight="1">
      <c r="B36" s="1719" t="s">
        <v>341</v>
      </c>
      <c r="C36" s="1719" t="s">
        <v>37</v>
      </c>
      <c r="D36" s="1843" t="s">
        <v>948</v>
      </c>
      <c r="E36" s="1844"/>
      <c r="F36" s="1844"/>
      <c r="G36" s="1844"/>
      <c r="H36" s="1845"/>
      <c r="I36" s="1843" t="s">
        <v>949</v>
      </c>
      <c r="J36" s="1844"/>
      <c r="K36" s="1844"/>
      <c r="L36" s="1844"/>
      <c r="M36" s="1845"/>
      <c r="N36" s="1835" t="s">
        <v>950</v>
      </c>
      <c r="O36" s="1835"/>
      <c r="P36" s="1835"/>
      <c r="Q36" s="1835"/>
      <c r="R36" s="1835"/>
      <c r="S36" s="1835" t="s">
        <v>951</v>
      </c>
      <c r="T36" s="1835"/>
      <c r="U36" s="1835"/>
      <c r="V36" s="1835"/>
      <c r="W36" s="1835"/>
    </row>
    <row r="37" spans="1:33" s="35" customFormat="1">
      <c r="B37" s="1719"/>
      <c r="C37" s="1719"/>
      <c r="D37" s="1836" t="s">
        <v>21</v>
      </c>
      <c r="E37" s="1837"/>
      <c r="F37" s="1837"/>
      <c r="G37" s="1837"/>
      <c r="H37" s="1838"/>
      <c r="I37" s="1836" t="s">
        <v>21</v>
      </c>
      <c r="J37" s="1837"/>
      <c r="K37" s="1837"/>
      <c r="L37" s="1837"/>
      <c r="M37" s="1838"/>
      <c r="N37" s="1839" t="s">
        <v>21</v>
      </c>
      <c r="O37" s="1840"/>
      <c r="P37" s="1840"/>
      <c r="Q37" s="1840"/>
      <c r="R37" s="1840"/>
      <c r="S37" s="1839" t="s">
        <v>21</v>
      </c>
      <c r="T37" s="1840"/>
      <c r="U37" s="1840"/>
      <c r="V37" s="1840"/>
      <c r="W37" s="1840"/>
    </row>
    <row r="38" spans="1:33" s="36" customFormat="1" ht="42">
      <c r="B38" s="1719"/>
      <c r="C38" s="1719"/>
      <c r="D38" s="870" t="s">
        <v>268</v>
      </c>
      <c r="E38" s="870" t="s">
        <v>269</v>
      </c>
      <c r="F38" s="870" t="s">
        <v>270</v>
      </c>
      <c r="G38" s="868" t="s">
        <v>555</v>
      </c>
      <c r="H38" s="870" t="s">
        <v>271</v>
      </c>
      <c r="I38" s="870" t="s">
        <v>268</v>
      </c>
      <c r="J38" s="870" t="s">
        <v>269</v>
      </c>
      <c r="K38" s="870" t="s">
        <v>270</v>
      </c>
      <c r="L38" s="868" t="s">
        <v>555</v>
      </c>
      <c r="M38" s="870" t="s">
        <v>271</v>
      </c>
      <c r="N38" s="701" t="s">
        <v>268</v>
      </c>
      <c r="O38" s="701" t="s">
        <v>269</v>
      </c>
      <c r="P38" s="701" t="s">
        <v>270</v>
      </c>
      <c r="Q38" s="697" t="s">
        <v>555</v>
      </c>
      <c r="R38" s="701" t="s">
        <v>271</v>
      </c>
      <c r="S38" s="701" t="s">
        <v>268</v>
      </c>
      <c r="T38" s="701" t="s">
        <v>269</v>
      </c>
      <c r="U38" s="701" t="s">
        <v>270</v>
      </c>
      <c r="V38" s="697" t="s">
        <v>555</v>
      </c>
      <c r="W38" s="701" t="s">
        <v>271</v>
      </c>
    </row>
    <row r="39" spans="1:33" s="6" customFormat="1" ht="28">
      <c r="B39" s="257"/>
      <c r="C39" s="257"/>
      <c r="D39" s="257" t="s">
        <v>631</v>
      </c>
      <c r="E39" s="257" t="s">
        <v>632</v>
      </c>
      <c r="F39" s="257" t="s">
        <v>633</v>
      </c>
      <c r="G39" s="257" t="s">
        <v>634</v>
      </c>
      <c r="H39" s="257" t="s">
        <v>635</v>
      </c>
      <c r="I39" s="257" t="s">
        <v>631</v>
      </c>
      <c r="J39" s="257" t="s">
        <v>632</v>
      </c>
      <c r="K39" s="257" t="s">
        <v>633</v>
      </c>
      <c r="L39" s="257" t="s">
        <v>634</v>
      </c>
      <c r="M39" s="257" t="s">
        <v>635</v>
      </c>
      <c r="N39" s="257" t="s">
        <v>631</v>
      </c>
      <c r="O39" s="257" t="s">
        <v>632</v>
      </c>
      <c r="P39" s="257" t="s">
        <v>633</v>
      </c>
      <c r="Q39" s="257" t="s">
        <v>634</v>
      </c>
      <c r="R39" s="257" t="s">
        <v>635</v>
      </c>
      <c r="S39" s="257" t="s">
        <v>631</v>
      </c>
      <c r="T39" s="257" t="s">
        <v>632</v>
      </c>
      <c r="U39" s="257" t="s">
        <v>633</v>
      </c>
      <c r="V39" s="257" t="s">
        <v>634</v>
      </c>
      <c r="W39" s="257" t="s">
        <v>635</v>
      </c>
    </row>
    <row r="40" spans="1:33" s="418" customFormat="1">
      <c r="B40" s="464">
        <v>1</v>
      </c>
      <c r="C40" s="466" t="s">
        <v>810</v>
      </c>
      <c r="D40" s="442">
        <f t="shared" ref="D40:D56" si="11">W14</f>
        <v>12.275</v>
      </c>
      <c r="E40" s="877">
        <v>0</v>
      </c>
      <c r="F40" s="851">
        <v>0</v>
      </c>
      <c r="G40" s="467"/>
      <c r="H40" s="442">
        <f>D40+E40-F40-G40</f>
        <v>12.275</v>
      </c>
      <c r="I40" s="442">
        <f>H40</f>
        <v>12.275</v>
      </c>
      <c r="J40" s="877">
        <v>0</v>
      </c>
      <c r="K40" s="851">
        <v>0</v>
      </c>
      <c r="L40" s="467"/>
      <c r="M40" s="442">
        <f>I40+J40-K40-L40</f>
        <v>12.275</v>
      </c>
      <c r="N40" s="442">
        <f>M40</f>
        <v>12.275</v>
      </c>
      <c r="O40" s="877">
        <v>0</v>
      </c>
      <c r="P40" s="851">
        <v>0</v>
      </c>
      <c r="Q40" s="467"/>
      <c r="R40" s="442">
        <f>N40+O40-P40-Q40</f>
        <v>12.275</v>
      </c>
      <c r="S40" s="442">
        <f>R40</f>
        <v>12.275</v>
      </c>
      <c r="T40" s="877">
        <v>0</v>
      </c>
      <c r="U40" s="851">
        <v>0</v>
      </c>
      <c r="V40" s="467"/>
      <c r="W40" s="442">
        <f>S40+T40-U40-V40</f>
        <v>12.275</v>
      </c>
    </row>
    <row r="41" spans="1:33" s="418" customFormat="1">
      <c r="B41" s="464">
        <f>B40+1</f>
        <v>2</v>
      </c>
      <c r="C41" s="466" t="s">
        <v>811</v>
      </c>
      <c r="D41" s="442">
        <f t="shared" si="11"/>
        <v>321.48509353080374</v>
      </c>
      <c r="E41" s="877">
        <v>0</v>
      </c>
      <c r="F41" s="851">
        <v>0</v>
      </c>
      <c r="G41" s="467"/>
      <c r="H41" s="442">
        <f t="shared" ref="H41:H56" si="12">D41+E41-F41-G41</f>
        <v>321.48509353080374</v>
      </c>
      <c r="I41" s="442">
        <f t="shared" ref="I41:I56" si="13">H41</f>
        <v>321.48509353080374</v>
      </c>
      <c r="J41" s="877">
        <v>0</v>
      </c>
      <c r="K41" s="851">
        <v>0</v>
      </c>
      <c r="L41" s="467"/>
      <c r="M41" s="442">
        <f t="shared" ref="M41:M56" si="14">I41+J41-K41-L41</f>
        <v>321.48509353080374</v>
      </c>
      <c r="N41" s="442">
        <f t="shared" ref="N41:N56" si="15">M41</f>
        <v>321.48509353080374</v>
      </c>
      <c r="O41" s="877">
        <v>0</v>
      </c>
      <c r="P41" s="851">
        <v>0</v>
      </c>
      <c r="Q41" s="467"/>
      <c r="R41" s="442">
        <f t="shared" ref="R41:R56" si="16">N41+O41-P41-Q41</f>
        <v>321.48509353080374</v>
      </c>
      <c r="S41" s="442">
        <f t="shared" ref="S41:S56" si="17">R41</f>
        <v>321.48509353080374</v>
      </c>
      <c r="T41" s="877">
        <v>0</v>
      </c>
      <c r="U41" s="851">
        <v>0</v>
      </c>
      <c r="V41" s="467"/>
      <c r="W41" s="442">
        <f t="shared" ref="W41:W56" si="18">S41+T41-U41-V41</f>
        <v>321.48509353080374</v>
      </c>
    </row>
    <row r="42" spans="1:33" s="11" customFormat="1">
      <c r="A42" s="418"/>
      <c r="B42" s="464">
        <f t="shared" ref="B42:B56" si="19">B41+1</f>
        <v>3</v>
      </c>
      <c r="C42" s="466" t="s">
        <v>812</v>
      </c>
      <c r="D42" s="442">
        <f t="shared" si="11"/>
        <v>0</v>
      </c>
      <c r="E42" s="877">
        <v>0</v>
      </c>
      <c r="F42" s="851">
        <v>0</v>
      </c>
      <c r="G42" s="467"/>
      <c r="H42" s="442">
        <f t="shared" si="12"/>
        <v>0</v>
      </c>
      <c r="I42" s="442">
        <f t="shared" si="13"/>
        <v>0</v>
      </c>
      <c r="J42" s="877">
        <v>0</v>
      </c>
      <c r="K42" s="851">
        <v>0</v>
      </c>
      <c r="L42" s="467"/>
      <c r="M42" s="442">
        <f t="shared" si="14"/>
        <v>0</v>
      </c>
      <c r="N42" s="442">
        <f t="shared" si="15"/>
        <v>0</v>
      </c>
      <c r="O42" s="877">
        <v>0</v>
      </c>
      <c r="P42" s="851">
        <v>0</v>
      </c>
      <c r="Q42" s="467"/>
      <c r="R42" s="442">
        <f t="shared" si="16"/>
        <v>0</v>
      </c>
      <c r="S42" s="442">
        <f t="shared" si="17"/>
        <v>0</v>
      </c>
      <c r="T42" s="877">
        <v>0</v>
      </c>
      <c r="U42" s="851">
        <v>0</v>
      </c>
      <c r="V42" s="467"/>
      <c r="W42" s="442">
        <f t="shared" si="18"/>
        <v>0</v>
      </c>
    </row>
    <row r="43" spans="1:33" s="11" customFormat="1">
      <c r="A43" s="418"/>
      <c r="B43" s="464">
        <f t="shared" si="19"/>
        <v>4</v>
      </c>
      <c r="C43" s="466" t="s">
        <v>813</v>
      </c>
      <c r="D43" s="442">
        <f t="shared" si="11"/>
        <v>345.29</v>
      </c>
      <c r="E43" s="877">
        <v>0</v>
      </c>
      <c r="F43" s="851">
        <v>0</v>
      </c>
      <c r="G43" s="467"/>
      <c r="H43" s="442">
        <f t="shared" si="12"/>
        <v>345.29</v>
      </c>
      <c r="I43" s="442">
        <f t="shared" si="13"/>
        <v>345.29</v>
      </c>
      <c r="J43" s="877">
        <v>0</v>
      </c>
      <c r="K43" s="851">
        <v>0</v>
      </c>
      <c r="L43" s="467"/>
      <c r="M43" s="442">
        <f t="shared" si="14"/>
        <v>345.29</v>
      </c>
      <c r="N43" s="442">
        <f t="shared" si="15"/>
        <v>345.29</v>
      </c>
      <c r="O43" s="877">
        <v>0</v>
      </c>
      <c r="P43" s="851">
        <v>0</v>
      </c>
      <c r="Q43" s="467"/>
      <c r="R43" s="442">
        <f t="shared" si="16"/>
        <v>345.29</v>
      </c>
      <c r="S43" s="442">
        <f t="shared" si="17"/>
        <v>345.29</v>
      </c>
      <c r="T43" s="877">
        <v>0</v>
      </c>
      <c r="U43" s="851">
        <v>0</v>
      </c>
      <c r="V43" s="467"/>
      <c r="W43" s="442">
        <f t="shared" si="18"/>
        <v>345.29</v>
      </c>
    </row>
    <row r="44" spans="1:33" s="11" customFormat="1">
      <c r="A44" s="418"/>
      <c r="B44" s="464">
        <f t="shared" si="19"/>
        <v>5</v>
      </c>
      <c r="C44" s="466" t="s">
        <v>814</v>
      </c>
      <c r="D44" s="442">
        <f t="shared" si="11"/>
        <v>378.76177459427981</v>
      </c>
      <c r="E44" s="877">
        <v>0</v>
      </c>
      <c r="F44" s="851">
        <v>0</v>
      </c>
      <c r="G44" s="467"/>
      <c r="H44" s="442">
        <f t="shared" si="12"/>
        <v>378.76177459427981</v>
      </c>
      <c r="I44" s="442">
        <f t="shared" si="13"/>
        <v>378.76177459427981</v>
      </c>
      <c r="J44" s="877">
        <v>0</v>
      </c>
      <c r="K44" s="851">
        <v>0</v>
      </c>
      <c r="L44" s="467"/>
      <c r="M44" s="442">
        <f t="shared" si="14"/>
        <v>378.76177459427981</v>
      </c>
      <c r="N44" s="442">
        <f t="shared" si="15"/>
        <v>378.76177459427981</v>
      </c>
      <c r="O44" s="877">
        <v>0</v>
      </c>
      <c r="P44" s="851">
        <v>0</v>
      </c>
      <c r="Q44" s="467"/>
      <c r="R44" s="442">
        <f t="shared" si="16"/>
        <v>378.76177459427981</v>
      </c>
      <c r="S44" s="442">
        <f t="shared" si="17"/>
        <v>378.76177459427981</v>
      </c>
      <c r="T44" s="877">
        <v>0</v>
      </c>
      <c r="U44" s="851">
        <v>0</v>
      </c>
      <c r="V44" s="467"/>
      <c r="W44" s="442">
        <f t="shared" si="18"/>
        <v>378.76177459427981</v>
      </c>
    </row>
    <row r="45" spans="1:33" s="11" customFormat="1">
      <c r="A45" s="418"/>
      <c r="B45" s="464">
        <f t="shared" si="19"/>
        <v>6</v>
      </c>
      <c r="C45" s="466" t="s">
        <v>256</v>
      </c>
      <c r="D45" s="442">
        <f t="shared" si="11"/>
        <v>5673.5516891786529</v>
      </c>
      <c r="E45" s="877">
        <v>106.145</v>
      </c>
      <c r="F45" s="851">
        <v>0</v>
      </c>
      <c r="G45" s="467"/>
      <c r="H45" s="442">
        <f t="shared" si="12"/>
        <v>5779.6966891786533</v>
      </c>
      <c r="I45" s="442">
        <f t="shared" si="13"/>
        <v>5779.6966891786533</v>
      </c>
      <c r="J45" s="877">
        <v>42.457999999999998</v>
      </c>
      <c r="K45" s="851">
        <v>0</v>
      </c>
      <c r="L45" s="467"/>
      <c r="M45" s="442">
        <f t="shared" si="14"/>
        <v>5822.1546891786529</v>
      </c>
      <c r="N45" s="442">
        <f t="shared" si="15"/>
        <v>5822.1546891786529</v>
      </c>
      <c r="O45" s="877">
        <v>0</v>
      </c>
      <c r="P45" s="851">
        <v>0</v>
      </c>
      <c r="Q45" s="467"/>
      <c r="R45" s="442">
        <f t="shared" si="16"/>
        <v>5822.1546891786529</v>
      </c>
      <c r="S45" s="442">
        <f t="shared" si="17"/>
        <v>5822.1546891786529</v>
      </c>
      <c r="T45" s="877">
        <v>0</v>
      </c>
      <c r="U45" s="851">
        <v>0</v>
      </c>
      <c r="V45" s="467"/>
      <c r="W45" s="442">
        <f t="shared" si="18"/>
        <v>5822.1546891786529</v>
      </c>
    </row>
    <row r="46" spans="1:33" s="11" customFormat="1">
      <c r="A46" s="418"/>
      <c r="B46" s="464">
        <f t="shared" si="19"/>
        <v>7</v>
      </c>
      <c r="C46" s="466" t="s">
        <v>815</v>
      </c>
      <c r="D46" s="442">
        <f t="shared" si="11"/>
        <v>4.9693332146388194</v>
      </c>
      <c r="E46" s="877">
        <v>0</v>
      </c>
      <c r="F46" s="851">
        <v>0</v>
      </c>
      <c r="G46" s="467"/>
      <c r="H46" s="442">
        <f t="shared" si="12"/>
        <v>4.9693332146388194</v>
      </c>
      <c r="I46" s="442">
        <f t="shared" si="13"/>
        <v>4.9693332146388194</v>
      </c>
      <c r="J46" s="877">
        <v>0</v>
      </c>
      <c r="K46" s="851">
        <v>0</v>
      </c>
      <c r="L46" s="467"/>
      <c r="M46" s="442">
        <f t="shared" si="14"/>
        <v>4.9693332146388194</v>
      </c>
      <c r="N46" s="442">
        <f t="shared" si="15"/>
        <v>4.9693332146388194</v>
      </c>
      <c r="O46" s="877">
        <v>0</v>
      </c>
      <c r="P46" s="851">
        <v>0</v>
      </c>
      <c r="Q46" s="467"/>
      <c r="R46" s="442">
        <f t="shared" si="16"/>
        <v>4.9693332146388194</v>
      </c>
      <c r="S46" s="442">
        <f t="shared" si="17"/>
        <v>4.9693332146388194</v>
      </c>
      <c r="T46" s="877">
        <v>0</v>
      </c>
      <c r="U46" s="851">
        <v>0</v>
      </c>
      <c r="V46" s="467"/>
      <c r="W46" s="442">
        <f t="shared" si="18"/>
        <v>4.9693332146388194</v>
      </c>
    </row>
    <row r="47" spans="1:33" s="11" customFormat="1">
      <c r="A47" s="418"/>
      <c r="B47" s="464">
        <f t="shared" si="19"/>
        <v>8</v>
      </c>
      <c r="C47" s="466" t="s">
        <v>816</v>
      </c>
      <c r="D47" s="442">
        <f t="shared" si="11"/>
        <v>0.10170083185564693</v>
      </c>
      <c r="E47" s="877">
        <v>0</v>
      </c>
      <c r="F47" s="851">
        <v>0</v>
      </c>
      <c r="G47" s="467"/>
      <c r="H47" s="442">
        <f t="shared" si="12"/>
        <v>0.10170083185564693</v>
      </c>
      <c r="I47" s="442">
        <f t="shared" si="13"/>
        <v>0.10170083185564693</v>
      </c>
      <c r="J47" s="877">
        <v>0</v>
      </c>
      <c r="K47" s="851">
        <v>0</v>
      </c>
      <c r="L47" s="467"/>
      <c r="M47" s="442">
        <f t="shared" si="14"/>
        <v>0.10170083185564693</v>
      </c>
      <c r="N47" s="442">
        <f t="shared" si="15"/>
        <v>0.10170083185564693</v>
      </c>
      <c r="O47" s="877">
        <v>0</v>
      </c>
      <c r="P47" s="851">
        <v>0</v>
      </c>
      <c r="Q47" s="467"/>
      <c r="R47" s="442">
        <f t="shared" si="16"/>
        <v>0.10170083185564693</v>
      </c>
      <c r="S47" s="442">
        <f t="shared" si="17"/>
        <v>0.10170083185564693</v>
      </c>
      <c r="T47" s="877">
        <v>0</v>
      </c>
      <c r="U47" s="851">
        <v>0</v>
      </c>
      <c r="V47" s="467"/>
      <c r="W47" s="442">
        <f t="shared" si="18"/>
        <v>0.10170083185564693</v>
      </c>
    </row>
    <row r="48" spans="1:33" s="11" customFormat="1">
      <c r="A48" s="418"/>
      <c r="B48" s="464">
        <f t="shared" si="19"/>
        <v>9</v>
      </c>
      <c r="C48" s="466" t="s">
        <v>817</v>
      </c>
      <c r="D48" s="442">
        <f t="shared" si="11"/>
        <v>48.46</v>
      </c>
      <c r="E48" s="877">
        <v>0</v>
      </c>
      <c r="F48" s="851">
        <v>0</v>
      </c>
      <c r="G48" s="467"/>
      <c r="H48" s="442">
        <f t="shared" si="12"/>
        <v>48.46</v>
      </c>
      <c r="I48" s="442">
        <f t="shared" si="13"/>
        <v>48.46</v>
      </c>
      <c r="J48" s="877">
        <v>0</v>
      </c>
      <c r="K48" s="851">
        <v>0</v>
      </c>
      <c r="L48" s="467"/>
      <c r="M48" s="442">
        <f t="shared" si="14"/>
        <v>48.46</v>
      </c>
      <c r="N48" s="442">
        <f t="shared" si="15"/>
        <v>48.46</v>
      </c>
      <c r="O48" s="877">
        <v>0</v>
      </c>
      <c r="P48" s="851">
        <v>0</v>
      </c>
      <c r="Q48" s="467"/>
      <c r="R48" s="442">
        <f t="shared" si="16"/>
        <v>48.46</v>
      </c>
      <c r="S48" s="442">
        <f t="shared" si="17"/>
        <v>48.46</v>
      </c>
      <c r="T48" s="877">
        <v>0</v>
      </c>
      <c r="U48" s="851">
        <v>0</v>
      </c>
      <c r="V48" s="467"/>
      <c r="W48" s="442">
        <f t="shared" si="18"/>
        <v>48.46</v>
      </c>
    </row>
    <row r="49" spans="1:23" s="11" customFormat="1">
      <c r="A49" s="418"/>
      <c r="B49" s="464">
        <f t="shared" si="19"/>
        <v>10</v>
      </c>
      <c r="C49" s="466" t="s">
        <v>259</v>
      </c>
      <c r="D49" s="442">
        <f t="shared" si="11"/>
        <v>5.501100336174451</v>
      </c>
      <c r="E49" s="877">
        <v>0</v>
      </c>
      <c r="F49" s="851">
        <v>0</v>
      </c>
      <c r="G49" s="467"/>
      <c r="H49" s="442">
        <f t="shared" si="12"/>
        <v>5.501100336174451</v>
      </c>
      <c r="I49" s="442">
        <f t="shared" si="13"/>
        <v>5.501100336174451</v>
      </c>
      <c r="J49" s="877">
        <v>0</v>
      </c>
      <c r="K49" s="851">
        <v>0</v>
      </c>
      <c r="L49" s="467"/>
      <c r="M49" s="442">
        <f t="shared" si="14"/>
        <v>5.501100336174451</v>
      </c>
      <c r="N49" s="442">
        <f t="shared" si="15"/>
        <v>5.501100336174451</v>
      </c>
      <c r="O49" s="877">
        <v>0</v>
      </c>
      <c r="P49" s="851">
        <v>0</v>
      </c>
      <c r="Q49" s="467"/>
      <c r="R49" s="442">
        <f t="shared" si="16"/>
        <v>5.501100336174451</v>
      </c>
      <c r="S49" s="442">
        <f t="shared" si="17"/>
        <v>5.501100336174451</v>
      </c>
      <c r="T49" s="877">
        <v>0</v>
      </c>
      <c r="U49" s="851">
        <v>0</v>
      </c>
      <c r="V49" s="467"/>
      <c r="W49" s="442">
        <f t="shared" si="18"/>
        <v>5.501100336174451</v>
      </c>
    </row>
    <row r="50" spans="1:23" s="11" customFormat="1">
      <c r="A50" s="418"/>
      <c r="B50" s="464">
        <f t="shared" si="19"/>
        <v>11</v>
      </c>
      <c r="C50" s="466" t="s">
        <v>260</v>
      </c>
      <c r="D50" s="442">
        <f t="shared" si="11"/>
        <v>3.0370880727632827</v>
      </c>
      <c r="E50" s="877">
        <v>0</v>
      </c>
      <c r="F50" s="851">
        <v>0</v>
      </c>
      <c r="G50" s="467"/>
      <c r="H50" s="442">
        <f t="shared" si="12"/>
        <v>3.0370880727632827</v>
      </c>
      <c r="I50" s="442">
        <f t="shared" si="13"/>
        <v>3.0370880727632827</v>
      </c>
      <c r="J50" s="877">
        <v>0</v>
      </c>
      <c r="K50" s="851">
        <v>0</v>
      </c>
      <c r="L50" s="467"/>
      <c r="M50" s="442">
        <f t="shared" si="14"/>
        <v>3.0370880727632827</v>
      </c>
      <c r="N50" s="442">
        <f t="shared" si="15"/>
        <v>3.0370880727632827</v>
      </c>
      <c r="O50" s="877">
        <v>0</v>
      </c>
      <c r="P50" s="851">
        <v>0</v>
      </c>
      <c r="Q50" s="467"/>
      <c r="R50" s="442">
        <f t="shared" si="16"/>
        <v>3.0370880727632827</v>
      </c>
      <c r="S50" s="442">
        <f t="shared" si="17"/>
        <v>3.0370880727632827</v>
      </c>
      <c r="T50" s="877">
        <v>0</v>
      </c>
      <c r="U50" s="851">
        <v>0</v>
      </c>
      <c r="V50" s="467"/>
      <c r="W50" s="442">
        <f t="shared" si="18"/>
        <v>3.0370880727632827</v>
      </c>
    </row>
    <row r="51" spans="1:23" s="2" customFormat="1">
      <c r="A51" s="418"/>
      <c r="B51" s="464">
        <f t="shared" si="19"/>
        <v>12</v>
      </c>
      <c r="C51" s="466" t="s">
        <v>261</v>
      </c>
      <c r="D51" s="442">
        <f t="shared" si="11"/>
        <v>1.0908373254655983</v>
      </c>
      <c r="E51" s="877">
        <v>0</v>
      </c>
      <c r="F51" s="851">
        <v>0</v>
      </c>
      <c r="G51" s="467"/>
      <c r="H51" s="442">
        <f t="shared" si="12"/>
        <v>1.0908373254655983</v>
      </c>
      <c r="I51" s="442">
        <f t="shared" si="13"/>
        <v>1.0908373254655983</v>
      </c>
      <c r="J51" s="877">
        <v>0</v>
      </c>
      <c r="K51" s="851">
        <v>0</v>
      </c>
      <c r="L51" s="467"/>
      <c r="M51" s="442">
        <f t="shared" si="14"/>
        <v>1.0908373254655983</v>
      </c>
      <c r="N51" s="442">
        <f t="shared" si="15"/>
        <v>1.0908373254655983</v>
      </c>
      <c r="O51" s="877">
        <v>0</v>
      </c>
      <c r="P51" s="851">
        <v>0</v>
      </c>
      <c r="Q51" s="467"/>
      <c r="R51" s="442">
        <f t="shared" si="16"/>
        <v>1.0908373254655983</v>
      </c>
      <c r="S51" s="442">
        <f t="shared" si="17"/>
        <v>1.0908373254655983</v>
      </c>
      <c r="T51" s="877">
        <v>0</v>
      </c>
      <c r="U51" s="851">
        <v>0</v>
      </c>
      <c r="V51" s="467"/>
      <c r="W51" s="442">
        <f t="shared" si="18"/>
        <v>1.0908373254655983</v>
      </c>
    </row>
    <row r="52" spans="1:23" s="2" customFormat="1">
      <c r="A52" s="418"/>
      <c r="B52" s="464">
        <f t="shared" si="19"/>
        <v>13</v>
      </c>
      <c r="C52" s="466" t="s">
        <v>865</v>
      </c>
      <c r="D52" s="442">
        <f t="shared" si="11"/>
        <v>0</v>
      </c>
      <c r="E52" s="877">
        <v>0</v>
      </c>
      <c r="F52" s="851">
        <v>0</v>
      </c>
      <c r="G52" s="467"/>
      <c r="H52" s="442">
        <f t="shared" si="12"/>
        <v>0</v>
      </c>
      <c r="I52" s="442">
        <f t="shared" si="13"/>
        <v>0</v>
      </c>
      <c r="J52" s="877">
        <v>0</v>
      </c>
      <c r="K52" s="851">
        <v>0</v>
      </c>
      <c r="L52" s="467"/>
      <c r="M52" s="442">
        <f t="shared" si="14"/>
        <v>0</v>
      </c>
      <c r="N52" s="442">
        <f t="shared" si="15"/>
        <v>0</v>
      </c>
      <c r="O52" s="877">
        <v>0</v>
      </c>
      <c r="P52" s="851">
        <v>0</v>
      </c>
      <c r="Q52" s="467"/>
      <c r="R52" s="442">
        <f t="shared" si="16"/>
        <v>0</v>
      </c>
      <c r="S52" s="442">
        <f t="shared" si="17"/>
        <v>0</v>
      </c>
      <c r="T52" s="877">
        <v>0</v>
      </c>
      <c r="U52" s="851">
        <v>0</v>
      </c>
      <c r="V52" s="467"/>
      <c r="W52" s="442">
        <f t="shared" si="18"/>
        <v>0</v>
      </c>
    </row>
    <row r="53" spans="1:23" s="2" customFormat="1">
      <c r="A53" s="418"/>
      <c r="B53" s="464">
        <f t="shared" si="19"/>
        <v>14</v>
      </c>
      <c r="C53" s="466" t="s">
        <v>866</v>
      </c>
      <c r="D53" s="442">
        <f t="shared" si="11"/>
        <v>2.5315879999999458E-3</v>
      </c>
      <c r="E53" s="877">
        <v>0</v>
      </c>
      <c r="F53" s="851">
        <v>0</v>
      </c>
      <c r="G53" s="467"/>
      <c r="H53" s="442">
        <f t="shared" si="12"/>
        <v>2.5315879999999458E-3</v>
      </c>
      <c r="I53" s="442">
        <f t="shared" si="13"/>
        <v>2.5315879999999458E-3</v>
      </c>
      <c r="J53" s="877">
        <v>0</v>
      </c>
      <c r="K53" s="851">
        <v>0</v>
      </c>
      <c r="L53" s="467"/>
      <c r="M53" s="442">
        <f t="shared" si="14"/>
        <v>2.5315879999999458E-3</v>
      </c>
      <c r="N53" s="442">
        <f t="shared" si="15"/>
        <v>2.5315879999999458E-3</v>
      </c>
      <c r="O53" s="877">
        <v>0</v>
      </c>
      <c r="P53" s="851">
        <v>0</v>
      </c>
      <c r="Q53" s="467"/>
      <c r="R53" s="442">
        <f t="shared" si="16"/>
        <v>2.5315879999999458E-3</v>
      </c>
      <c r="S53" s="442">
        <f t="shared" si="17"/>
        <v>2.5315879999999458E-3</v>
      </c>
      <c r="T53" s="877">
        <v>0</v>
      </c>
      <c r="U53" s="851">
        <v>0</v>
      </c>
      <c r="V53" s="467"/>
      <c r="W53" s="442">
        <f t="shared" si="18"/>
        <v>2.5315879999999458E-3</v>
      </c>
    </row>
    <row r="54" spans="1:23" s="2" customFormat="1">
      <c r="A54" s="418"/>
      <c r="B54" s="464">
        <f t="shared" si="19"/>
        <v>15</v>
      </c>
      <c r="C54" s="466" t="s">
        <v>867</v>
      </c>
      <c r="D54" s="442">
        <f t="shared" si="11"/>
        <v>0</v>
      </c>
      <c r="E54" s="877">
        <v>0</v>
      </c>
      <c r="F54" s="851">
        <v>0</v>
      </c>
      <c r="G54" s="467"/>
      <c r="H54" s="442">
        <f t="shared" si="12"/>
        <v>0</v>
      </c>
      <c r="I54" s="442">
        <f t="shared" si="13"/>
        <v>0</v>
      </c>
      <c r="J54" s="877">
        <v>0</v>
      </c>
      <c r="K54" s="851">
        <v>0</v>
      </c>
      <c r="L54" s="467"/>
      <c r="M54" s="442">
        <f t="shared" si="14"/>
        <v>0</v>
      </c>
      <c r="N54" s="442">
        <f t="shared" si="15"/>
        <v>0</v>
      </c>
      <c r="O54" s="877">
        <v>0</v>
      </c>
      <c r="P54" s="851">
        <v>0</v>
      </c>
      <c r="Q54" s="467"/>
      <c r="R54" s="442">
        <f t="shared" si="16"/>
        <v>0</v>
      </c>
      <c r="S54" s="442">
        <f t="shared" si="17"/>
        <v>0</v>
      </c>
      <c r="T54" s="877">
        <v>0</v>
      </c>
      <c r="U54" s="851">
        <v>0</v>
      </c>
      <c r="V54" s="467"/>
      <c r="W54" s="442">
        <f t="shared" si="18"/>
        <v>0</v>
      </c>
    </row>
    <row r="55" spans="1:23" s="2" customFormat="1">
      <c r="A55" s="418"/>
      <c r="B55" s="464">
        <f t="shared" si="19"/>
        <v>16</v>
      </c>
      <c r="C55" s="466" t="s">
        <v>818</v>
      </c>
      <c r="D55" s="442">
        <f t="shared" si="11"/>
        <v>0</v>
      </c>
      <c r="E55" s="877">
        <v>0</v>
      </c>
      <c r="F55" s="851">
        <v>0</v>
      </c>
      <c r="G55" s="467"/>
      <c r="H55" s="442">
        <f t="shared" si="12"/>
        <v>0</v>
      </c>
      <c r="I55" s="442">
        <f t="shared" si="13"/>
        <v>0</v>
      </c>
      <c r="J55" s="877">
        <v>0</v>
      </c>
      <c r="K55" s="851">
        <v>0</v>
      </c>
      <c r="L55" s="467"/>
      <c r="M55" s="442">
        <f t="shared" si="14"/>
        <v>0</v>
      </c>
      <c r="N55" s="442">
        <f t="shared" si="15"/>
        <v>0</v>
      </c>
      <c r="O55" s="877">
        <v>0</v>
      </c>
      <c r="P55" s="851">
        <v>0</v>
      </c>
      <c r="Q55" s="467"/>
      <c r="R55" s="442">
        <f t="shared" si="16"/>
        <v>0</v>
      </c>
      <c r="S55" s="442">
        <f t="shared" si="17"/>
        <v>0</v>
      </c>
      <c r="T55" s="877">
        <v>0</v>
      </c>
      <c r="U55" s="851">
        <v>0</v>
      </c>
      <c r="V55" s="467"/>
      <c r="W55" s="442">
        <f t="shared" si="18"/>
        <v>0</v>
      </c>
    </row>
    <row r="56" spans="1:23" s="2" customFormat="1">
      <c r="A56" s="418"/>
      <c r="B56" s="464">
        <f t="shared" si="19"/>
        <v>17</v>
      </c>
      <c r="C56" s="466" t="s">
        <v>868</v>
      </c>
      <c r="D56" s="442">
        <f t="shared" si="11"/>
        <v>0</v>
      </c>
      <c r="E56" s="877">
        <v>0</v>
      </c>
      <c r="F56" s="851">
        <v>0</v>
      </c>
      <c r="G56" s="467"/>
      <c r="H56" s="442">
        <f t="shared" si="12"/>
        <v>0</v>
      </c>
      <c r="I56" s="442">
        <f t="shared" si="13"/>
        <v>0</v>
      </c>
      <c r="J56" s="877">
        <v>0</v>
      </c>
      <c r="K56" s="851">
        <v>0</v>
      </c>
      <c r="L56" s="467"/>
      <c r="M56" s="442">
        <f t="shared" si="14"/>
        <v>0</v>
      </c>
      <c r="N56" s="442">
        <f t="shared" si="15"/>
        <v>0</v>
      </c>
      <c r="O56" s="877">
        <v>0</v>
      </c>
      <c r="P56" s="851">
        <v>0</v>
      </c>
      <c r="Q56" s="467"/>
      <c r="R56" s="442">
        <f t="shared" si="16"/>
        <v>0</v>
      </c>
      <c r="S56" s="442">
        <f t="shared" si="17"/>
        <v>0</v>
      </c>
      <c r="T56" s="877">
        <v>0</v>
      </c>
      <c r="U56" s="851">
        <v>0</v>
      </c>
      <c r="V56" s="467"/>
      <c r="W56" s="442">
        <f t="shared" si="18"/>
        <v>0</v>
      </c>
    </row>
    <row r="57" spans="1:23" s="1" customFormat="1" ht="16">
      <c r="B57" s="83"/>
      <c r="C57" s="97" t="s">
        <v>272</v>
      </c>
      <c r="D57" s="347">
        <f>SUM(D40:D56)</f>
        <v>6794.526148672634</v>
      </c>
      <c r="E57" s="347">
        <f>SUM(E40:E56)</f>
        <v>106.145</v>
      </c>
      <c r="F57" s="347">
        <f>SUM(F40:F56)</f>
        <v>0</v>
      </c>
      <c r="G57" s="347">
        <f>SUM(G40:G56)</f>
        <v>0</v>
      </c>
      <c r="H57" s="347">
        <f>SUM(H40:H56)</f>
        <v>6900.6711486726344</v>
      </c>
      <c r="I57" s="347">
        <f t="shared" ref="I57:M57" si="20">SUM(I40:I56)</f>
        <v>6900.6711486726344</v>
      </c>
      <c r="J57" s="347">
        <f t="shared" si="20"/>
        <v>42.457999999999998</v>
      </c>
      <c r="K57" s="347">
        <f t="shared" si="20"/>
        <v>0</v>
      </c>
      <c r="L57" s="347">
        <f t="shared" si="20"/>
        <v>0</v>
      </c>
      <c r="M57" s="347">
        <f t="shared" si="20"/>
        <v>6943.1291486726341</v>
      </c>
      <c r="N57" s="347">
        <f t="shared" ref="N57:W57" si="21">SUM(N40:N56)</f>
        <v>6943.1291486726341</v>
      </c>
      <c r="O57" s="347">
        <f t="shared" si="21"/>
        <v>0</v>
      </c>
      <c r="P57" s="347">
        <f t="shared" si="21"/>
        <v>0</v>
      </c>
      <c r="Q57" s="347">
        <f t="shared" si="21"/>
        <v>0</v>
      </c>
      <c r="R57" s="347">
        <f t="shared" si="21"/>
        <v>6943.1291486726341</v>
      </c>
      <c r="S57" s="347">
        <f t="shared" si="21"/>
        <v>6943.1291486726341</v>
      </c>
      <c r="T57" s="347">
        <f t="shared" si="21"/>
        <v>0</v>
      </c>
      <c r="U57" s="347">
        <f t="shared" si="21"/>
        <v>0</v>
      </c>
      <c r="V57" s="347">
        <f t="shared" si="21"/>
        <v>0</v>
      </c>
      <c r="W57" s="347">
        <f t="shared" si="21"/>
        <v>6943.1291486726341</v>
      </c>
    </row>
    <row r="58" spans="1:23" s="1" customFormat="1" ht="16">
      <c r="B58" s="259"/>
      <c r="C58" s="259"/>
      <c r="D58" s="259"/>
      <c r="E58" s="259"/>
      <c r="F58" s="259"/>
      <c r="G58" s="259"/>
      <c r="H58" s="259"/>
      <c r="I58" s="259"/>
      <c r="J58" s="259"/>
      <c r="K58" s="259"/>
      <c r="L58" s="259"/>
      <c r="M58" s="259"/>
      <c r="N58" s="259"/>
      <c r="O58" s="259"/>
    </row>
    <row r="59" spans="1:23" ht="16">
      <c r="B59" s="259"/>
      <c r="C59" s="259"/>
      <c r="D59" s="259"/>
      <c r="E59" s="259"/>
      <c r="F59" s="259"/>
      <c r="G59" s="259"/>
      <c r="H59" s="259"/>
      <c r="I59" s="259"/>
      <c r="J59" s="259"/>
      <c r="K59" s="259"/>
      <c r="L59" s="259"/>
      <c r="M59" s="259"/>
      <c r="N59" s="259"/>
      <c r="O59" s="259"/>
      <c r="P59" s="1"/>
      <c r="Q59" s="1"/>
      <c r="R59" s="1"/>
    </row>
    <row r="60" spans="1:23">
      <c r="B60" s="1"/>
      <c r="C60" s="1"/>
      <c r="D60" s="1"/>
      <c r="E60" s="1"/>
      <c r="F60" s="1"/>
      <c r="G60" s="1"/>
      <c r="H60" s="1"/>
      <c r="I60" s="1"/>
      <c r="J60" s="1"/>
      <c r="K60" s="1"/>
      <c r="L60" s="1"/>
      <c r="M60" s="1"/>
      <c r="N60" s="1"/>
      <c r="O60" s="1"/>
      <c r="P60" s="1"/>
      <c r="Q60" s="1"/>
      <c r="R60" s="1"/>
    </row>
    <row r="61" spans="1:23">
      <c r="B61" s="364" t="s">
        <v>273</v>
      </c>
      <c r="C61" s="1"/>
      <c r="D61" s="1"/>
      <c r="E61" s="1"/>
      <c r="F61" s="1"/>
      <c r="G61" s="1"/>
      <c r="H61" s="1"/>
      <c r="I61" s="1"/>
      <c r="J61" s="1"/>
      <c r="K61" s="1"/>
      <c r="L61" s="1"/>
      <c r="M61" s="1"/>
      <c r="N61" s="1"/>
      <c r="O61" s="1"/>
      <c r="P61" s="1"/>
      <c r="Q61" s="1"/>
      <c r="R61" s="1"/>
    </row>
    <row r="62" spans="1:23">
      <c r="B62" s="364"/>
      <c r="C62" s="1"/>
      <c r="D62" s="1"/>
      <c r="E62" s="1"/>
      <c r="F62" s="1"/>
      <c r="G62" s="1"/>
      <c r="H62" s="1"/>
      <c r="I62" s="1"/>
      <c r="J62" s="1"/>
      <c r="K62" s="1"/>
      <c r="L62" s="1"/>
      <c r="M62" s="1"/>
      <c r="N62" s="1"/>
      <c r="O62" s="1"/>
      <c r="P62" s="1"/>
      <c r="Q62" s="1"/>
      <c r="R62" s="1"/>
    </row>
    <row r="63" spans="1:23" ht="15" customHeight="1">
      <c r="B63" s="1"/>
      <c r="C63" s="1"/>
      <c r="D63" s="8"/>
      <c r="E63" s="8"/>
      <c r="F63" s="8"/>
      <c r="G63" s="8"/>
      <c r="H63" s="8"/>
      <c r="I63" s="1"/>
      <c r="J63" s="44"/>
      <c r="K63" s="1"/>
      <c r="L63" s="1"/>
      <c r="M63" s="256" t="s">
        <v>10</v>
      </c>
      <c r="N63" s="44"/>
      <c r="O63" s="1"/>
      <c r="P63" s="1"/>
      <c r="Q63" s="1"/>
    </row>
    <row r="64" spans="1:23" ht="15" customHeight="1">
      <c r="B64" s="1719" t="s">
        <v>341</v>
      </c>
      <c r="C64" s="1719" t="s">
        <v>37</v>
      </c>
      <c r="D64" s="1836" t="s">
        <v>509</v>
      </c>
      <c r="E64" s="1837"/>
      <c r="F64" s="1837"/>
      <c r="G64" s="1837"/>
      <c r="H64" s="1838"/>
      <c r="I64" s="1839" t="s">
        <v>510</v>
      </c>
      <c r="J64" s="1839"/>
      <c r="K64" s="1839"/>
      <c r="L64" s="1839"/>
      <c r="M64" s="1839"/>
      <c r="N64" s="1835" t="s">
        <v>511</v>
      </c>
      <c r="O64" s="1835"/>
      <c r="P64" s="1835"/>
      <c r="Q64" s="1835"/>
      <c r="R64" s="1835"/>
      <c r="S64" s="1835" t="s">
        <v>947</v>
      </c>
      <c r="T64" s="1835"/>
      <c r="U64" s="1835"/>
      <c r="V64" s="1835"/>
      <c r="W64" s="1835"/>
    </row>
    <row r="65" spans="1:25">
      <c r="B65" s="1719"/>
      <c r="C65" s="1719"/>
      <c r="D65" s="1841" t="s">
        <v>7</v>
      </c>
      <c r="E65" s="1842"/>
      <c r="F65" s="1842"/>
      <c r="G65" s="1842"/>
      <c r="H65" s="1842"/>
      <c r="I65" s="1841" t="s">
        <v>7</v>
      </c>
      <c r="J65" s="1842"/>
      <c r="K65" s="1842"/>
      <c r="L65" s="1842"/>
      <c r="M65" s="1842"/>
      <c r="N65" s="1841" t="s">
        <v>12</v>
      </c>
      <c r="O65" s="1842"/>
      <c r="P65" s="1842"/>
      <c r="Q65" s="1842"/>
      <c r="R65" s="1842"/>
      <c r="S65" s="1839" t="s">
        <v>21</v>
      </c>
      <c r="T65" s="1840"/>
      <c r="U65" s="1840"/>
      <c r="V65" s="1840"/>
      <c r="W65" s="1840"/>
    </row>
    <row r="66" spans="1:25" ht="56">
      <c r="A66" s="5" t="s">
        <v>777</v>
      </c>
      <c r="B66" s="1719"/>
      <c r="C66" s="1719"/>
      <c r="D66" s="365" t="s">
        <v>274</v>
      </c>
      <c r="E66" s="365" t="s">
        <v>269</v>
      </c>
      <c r="F66" s="260" t="s">
        <v>275</v>
      </c>
      <c r="G66" s="363" t="s">
        <v>555</v>
      </c>
      <c r="H66" s="365" t="s">
        <v>276</v>
      </c>
      <c r="I66" s="701" t="s">
        <v>274</v>
      </c>
      <c r="J66" s="701" t="s">
        <v>269</v>
      </c>
      <c r="K66" s="260" t="s">
        <v>275</v>
      </c>
      <c r="L66" s="697" t="s">
        <v>555</v>
      </c>
      <c r="M66" s="701" t="s">
        <v>276</v>
      </c>
      <c r="N66" s="365" t="s">
        <v>274</v>
      </c>
      <c r="O66" s="365" t="s">
        <v>269</v>
      </c>
      <c r="P66" s="260" t="s">
        <v>275</v>
      </c>
      <c r="Q66" s="363" t="s">
        <v>555</v>
      </c>
      <c r="R66" s="365" t="s">
        <v>276</v>
      </c>
      <c r="S66" s="365" t="s">
        <v>274</v>
      </c>
      <c r="T66" s="365" t="s">
        <v>269</v>
      </c>
      <c r="U66" s="260" t="s">
        <v>275</v>
      </c>
      <c r="V66" s="363" t="s">
        <v>555</v>
      </c>
      <c r="W66" s="365" t="s">
        <v>276</v>
      </c>
    </row>
    <row r="67" spans="1:25" ht="28">
      <c r="B67" s="257"/>
      <c r="C67" s="257"/>
      <c r="D67" s="257" t="s">
        <v>81</v>
      </c>
      <c r="E67" s="257" t="s">
        <v>82</v>
      </c>
      <c r="F67" s="257" t="s">
        <v>462</v>
      </c>
      <c r="G67" s="257" t="s">
        <v>392</v>
      </c>
      <c r="H67" s="257" t="s">
        <v>556</v>
      </c>
      <c r="I67" s="257" t="s">
        <v>410</v>
      </c>
      <c r="J67" s="257" t="s">
        <v>512</v>
      </c>
      <c r="K67" s="257" t="s">
        <v>411</v>
      </c>
      <c r="L67" s="257" t="s">
        <v>412</v>
      </c>
      <c r="M67" s="257" t="s">
        <v>621</v>
      </c>
      <c r="N67" s="257" t="s">
        <v>563</v>
      </c>
      <c r="O67" s="257" t="s">
        <v>564</v>
      </c>
      <c r="P67" s="257" t="s">
        <v>565</v>
      </c>
      <c r="Q67" s="257" t="s">
        <v>624</v>
      </c>
      <c r="R67" s="257" t="s">
        <v>625</v>
      </c>
      <c r="S67" s="257" t="s">
        <v>626</v>
      </c>
      <c r="T67" s="257" t="s">
        <v>627</v>
      </c>
      <c r="U67" s="257" t="s">
        <v>628</v>
      </c>
      <c r="V67" s="257" t="s">
        <v>629</v>
      </c>
      <c r="W67" s="257" t="s">
        <v>630</v>
      </c>
    </row>
    <row r="68" spans="1:25">
      <c r="A68" s="456">
        <v>0</v>
      </c>
      <c r="B68" s="95">
        <v>1</v>
      </c>
      <c r="C68" s="446" t="s">
        <v>810</v>
      </c>
      <c r="D68" s="348">
        <v>0</v>
      </c>
      <c r="E68" s="691">
        <f t="shared" ref="E68:E84" si="22">IF((IFERROR(D68/((D14+E14)*90%),0))&lt;70%,MIN((MAX((D14+E14)*90%-D68,0)),(D14+E14/2)*$Y68),MAX((E14+D14)*90%-D68,0)/E$86)</f>
        <v>0</v>
      </c>
      <c r="F68" s="348">
        <f>IFERROR(IF(D68=0,0,D68/D14*F14),0)</f>
        <v>0</v>
      </c>
      <c r="G68" s="349"/>
      <c r="H68" s="348">
        <f>D68+E68-F68-G68</f>
        <v>0</v>
      </c>
      <c r="I68" s="345">
        <f>H68</f>
        <v>0</v>
      </c>
      <c r="J68" s="691">
        <f>IF((IFERROR(I68/((I14+J14)*90%),0))&lt;70%,MIN((MAX((I14+J14)*90%-I68,0)),(I14+J14/2)*$A68),MAX((J14+I14)*90%-I68,0)/J$86)</f>
        <v>0</v>
      </c>
      <c r="K68" s="348">
        <f>IFERROR(IF(I68=0,0,I68/I14*K14),0)</f>
        <v>0</v>
      </c>
      <c r="L68" s="349"/>
      <c r="M68" s="345">
        <f t="shared" ref="M68:M79" si="23">I68+J68-K68-L68</f>
        <v>0</v>
      </c>
      <c r="N68" s="348">
        <f>M68</f>
        <v>0</v>
      </c>
      <c r="O68" s="691">
        <f t="shared" ref="O68:O84" si="24">IF((IFERROR(N68/((N14+O14)*90%),0))&lt;70%,MIN((MAX((N14+O14)*90%-N68,0)),(N14+O14/2)*$A95),MAX((O14+N14)*90%-N68,0)/O$86)</f>
        <v>0</v>
      </c>
      <c r="P68" s="348">
        <f t="shared" ref="P68:P84" si="25">IFERROR(IF(N68=0,0,N68/N14*P14),0)</f>
        <v>0</v>
      </c>
      <c r="Q68" s="349"/>
      <c r="R68" s="348">
        <f>N68+O68-P68-Q68</f>
        <v>0</v>
      </c>
      <c r="S68" s="345">
        <f>R68</f>
        <v>0</v>
      </c>
      <c r="T68" s="691">
        <f t="shared" ref="T68:T84" si="26">IF((IFERROR(S68/((S14+T14)*90%),0))&lt;70%,MIN((MAX((S14+T14)*90%-S68,0)),(S14+T14/2)*$A95),MAX((T14+S14)*90%-S68,0)/T$86)</f>
        <v>0</v>
      </c>
      <c r="U68" s="348">
        <f t="shared" ref="U68:U84" si="27">IFERROR(IF(S68=0,0,S68/S14*U14),0)</f>
        <v>0</v>
      </c>
      <c r="V68" s="349"/>
      <c r="W68" s="345">
        <f>S68+T68-U68-V68</f>
        <v>0</v>
      </c>
      <c r="Y68" s="690">
        <v>0</v>
      </c>
    </row>
    <row r="69" spans="1:25">
      <c r="A69" s="456">
        <v>3.3399999999999999E-2</v>
      </c>
      <c r="B69" s="95">
        <f>B68+1</f>
        <v>2</v>
      </c>
      <c r="C69" s="446" t="s">
        <v>811</v>
      </c>
      <c r="D69" s="348">
        <v>93.878648508767867</v>
      </c>
      <c r="E69" s="691">
        <f t="shared" si="22"/>
        <v>10.737602123928845</v>
      </c>
      <c r="F69" s="348">
        <f t="shared" ref="F69:F84" si="28">IFERROR(IF(D69=0,0,D69/D15*F15),0)</f>
        <v>0</v>
      </c>
      <c r="G69" s="349"/>
      <c r="H69" s="812">
        <f>D69+E69-F69-G69</f>
        <v>104.6162506326967</v>
      </c>
      <c r="I69" s="345">
        <f t="shared" ref="I69:I79" si="29">H69</f>
        <v>104.6162506326967</v>
      </c>
      <c r="J69" s="691">
        <f t="shared" ref="J69:J84" si="30">IF((IFERROR(I69/((I15+J15)*90%),0))&lt;70%,MIN((MAX((I15+J15)*90%-I69,0)),(I15+J15/2)*$A69),MAX((J15+I15)*90%-I69,0)/J$86)</f>
        <v>10.737602123928845</v>
      </c>
      <c r="K69" s="348">
        <f t="shared" ref="K69:K84" si="31">IFERROR(IF(I69=0,0,I69/I15*K15),0)</f>
        <v>0</v>
      </c>
      <c r="L69" s="349"/>
      <c r="M69" s="345">
        <f t="shared" si="23"/>
        <v>115.35385275662554</v>
      </c>
      <c r="N69" s="348">
        <f t="shared" ref="N69:N84" si="32">M69</f>
        <v>115.35385275662554</v>
      </c>
      <c r="O69" s="691">
        <f t="shared" si="24"/>
        <v>10.737602123928845</v>
      </c>
      <c r="P69" s="348">
        <f t="shared" si="25"/>
        <v>0</v>
      </c>
      <c r="Q69" s="349"/>
      <c r="R69" s="348">
        <f t="shared" ref="R69:R79" si="33">N69+O69-P69-Q69</f>
        <v>126.09145488055438</v>
      </c>
      <c r="S69" s="345">
        <f t="shared" ref="S69:S79" si="34">R69</f>
        <v>126.09145488055438</v>
      </c>
      <c r="T69" s="691">
        <f t="shared" si="26"/>
        <v>10.737602123928845</v>
      </c>
      <c r="U69" s="348">
        <f t="shared" si="27"/>
        <v>0</v>
      </c>
      <c r="V69" s="349"/>
      <c r="W69" s="345">
        <f t="shared" ref="W69:W79" si="35">S69+T69-U69-V69</f>
        <v>136.82905700448322</v>
      </c>
      <c r="Y69" s="690">
        <v>3.3399999999999999E-2</v>
      </c>
    </row>
    <row r="70" spans="1:25">
      <c r="A70" s="456">
        <v>5.28E-2</v>
      </c>
      <c r="B70" s="95">
        <f t="shared" ref="B70:B84" si="36">B69+1</f>
        <v>3</v>
      </c>
      <c r="C70" s="446" t="s">
        <v>812</v>
      </c>
      <c r="D70" s="348">
        <v>0</v>
      </c>
      <c r="E70" s="691">
        <f t="shared" si="22"/>
        <v>0</v>
      </c>
      <c r="F70" s="348">
        <f t="shared" si="28"/>
        <v>0</v>
      </c>
      <c r="G70" s="349"/>
      <c r="H70" s="348">
        <f t="shared" ref="H70:H84" si="37">D70+E70-F70-G70</f>
        <v>0</v>
      </c>
      <c r="I70" s="345">
        <f t="shared" si="29"/>
        <v>0</v>
      </c>
      <c r="J70" s="691">
        <f t="shared" si="30"/>
        <v>0</v>
      </c>
      <c r="K70" s="348">
        <f t="shared" si="31"/>
        <v>0</v>
      </c>
      <c r="L70" s="349"/>
      <c r="M70" s="345">
        <f t="shared" si="23"/>
        <v>0</v>
      </c>
      <c r="N70" s="348">
        <f t="shared" si="32"/>
        <v>0</v>
      </c>
      <c r="O70" s="691">
        <f t="shared" si="24"/>
        <v>0</v>
      </c>
      <c r="P70" s="348">
        <f t="shared" si="25"/>
        <v>0</v>
      </c>
      <c r="Q70" s="349"/>
      <c r="R70" s="348">
        <f t="shared" si="33"/>
        <v>0</v>
      </c>
      <c r="S70" s="345">
        <f t="shared" si="34"/>
        <v>0</v>
      </c>
      <c r="T70" s="691">
        <f t="shared" si="26"/>
        <v>0</v>
      </c>
      <c r="U70" s="348">
        <f t="shared" si="27"/>
        <v>0</v>
      </c>
      <c r="V70" s="349"/>
      <c r="W70" s="345">
        <f t="shared" si="35"/>
        <v>0</v>
      </c>
      <c r="Y70" s="690">
        <v>5.28E-2</v>
      </c>
    </row>
    <row r="71" spans="1:25">
      <c r="A71" s="456">
        <v>5.28E-2</v>
      </c>
      <c r="B71" s="95">
        <f t="shared" si="36"/>
        <v>4</v>
      </c>
      <c r="C71" s="446" t="s">
        <v>813</v>
      </c>
      <c r="D71" s="348">
        <v>161.37315459635266</v>
      </c>
      <c r="E71" s="691">
        <f t="shared" si="22"/>
        <v>18.231312000000003</v>
      </c>
      <c r="F71" s="348">
        <f t="shared" si="28"/>
        <v>0</v>
      </c>
      <c r="G71" s="349"/>
      <c r="H71" s="348">
        <f t="shared" si="37"/>
        <v>179.60446659635267</v>
      </c>
      <c r="I71" s="345">
        <f t="shared" si="29"/>
        <v>179.60446659635267</v>
      </c>
      <c r="J71" s="691">
        <f t="shared" si="30"/>
        <v>18.231312000000003</v>
      </c>
      <c r="K71" s="348">
        <f t="shared" si="31"/>
        <v>0</v>
      </c>
      <c r="L71" s="349"/>
      <c r="M71" s="345">
        <f t="shared" si="23"/>
        <v>197.83577859635267</v>
      </c>
      <c r="N71" s="348">
        <f t="shared" si="32"/>
        <v>197.83577859635267</v>
      </c>
      <c r="O71" s="691">
        <f t="shared" si="24"/>
        <v>18.231312000000003</v>
      </c>
      <c r="P71" s="348">
        <f t="shared" si="25"/>
        <v>0</v>
      </c>
      <c r="Q71" s="349"/>
      <c r="R71" s="348">
        <f t="shared" si="33"/>
        <v>216.06709059635267</v>
      </c>
      <c r="S71" s="345">
        <f t="shared" si="34"/>
        <v>216.06709059635267</v>
      </c>
      <c r="T71" s="691">
        <f t="shared" si="26"/>
        <v>18.231312000000003</v>
      </c>
      <c r="U71" s="348">
        <f t="shared" si="27"/>
        <v>0</v>
      </c>
      <c r="V71" s="349"/>
      <c r="W71" s="345">
        <f t="shared" si="35"/>
        <v>234.29840259635267</v>
      </c>
      <c r="Y71" s="690">
        <v>5.28E-2</v>
      </c>
    </row>
    <row r="72" spans="1:25">
      <c r="A72" s="456">
        <v>3.3399999999999999E-2</v>
      </c>
      <c r="B72" s="95">
        <f t="shared" si="36"/>
        <v>5</v>
      </c>
      <c r="C72" s="446" t="s">
        <v>814</v>
      </c>
      <c r="D72" s="348">
        <v>88.871947037578991</v>
      </c>
      <c r="E72" s="691">
        <f t="shared" si="22"/>
        <v>12.516256975328947</v>
      </c>
      <c r="F72" s="348">
        <f t="shared" si="28"/>
        <v>0</v>
      </c>
      <c r="G72" s="349"/>
      <c r="H72" s="348">
        <f t="shared" si="37"/>
        <v>101.38820401290793</v>
      </c>
      <c r="I72" s="345">
        <f t="shared" si="29"/>
        <v>101.38820401290793</v>
      </c>
      <c r="J72" s="691">
        <f t="shared" si="30"/>
        <v>12.597537271448944</v>
      </c>
      <c r="K72" s="348">
        <f t="shared" si="31"/>
        <v>0</v>
      </c>
      <c r="L72" s="349"/>
      <c r="M72" s="345">
        <f t="shared" si="23"/>
        <v>113.98574128435688</v>
      </c>
      <c r="N72" s="348">
        <f t="shared" si="32"/>
        <v>113.98574128435688</v>
      </c>
      <c r="O72" s="691">
        <f t="shared" si="24"/>
        <v>12.650643271448946</v>
      </c>
      <c r="P72" s="348">
        <f t="shared" si="25"/>
        <v>0</v>
      </c>
      <c r="Q72" s="349"/>
      <c r="R72" s="348">
        <f t="shared" si="33"/>
        <v>126.63638455580582</v>
      </c>
      <c r="S72" s="345">
        <f t="shared" si="34"/>
        <v>126.63638455580582</v>
      </c>
      <c r="T72" s="691">
        <f t="shared" si="26"/>
        <v>12.650643271448946</v>
      </c>
      <c r="U72" s="348">
        <f t="shared" si="27"/>
        <v>0</v>
      </c>
      <c r="V72" s="349"/>
      <c r="W72" s="345">
        <f t="shared" si="35"/>
        <v>139.28702782725478</v>
      </c>
      <c r="Y72" s="690">
        <v>3.3399999999999999E-2</v>
      </c>
    </row>
    <row r="73" spans="1:25">
      <c r="A73" s="456">
        <v>5.28E-2</v>
      </c>
      <c r="B73" s="95">
        <f t="shared" si="36"/>
        <v>6</v>
      </c>
      <c r="C73" s="446" t="s">
        <v>256</v>
      </c>
      <c r="D73" s="348">
        <v>2568.6505990635546</v>
      </c>
      <c r="E73" s="691">
        <f t="shared" si="22"/>
        <v>297.32122238431282</v>
      </c>
      <c r="F73" s="348">
        <f>IFERROR(IF(D73=0,0,D73/D19*F19),0)</f>
        <v>0</v>
      </c>
      <c r="G73" s="349"/>
      <c r="H73" s="348">
        <f t="shared" si="37"/>
        <v>2865.9718214478676</v>
      </c>
      <c r="I73" s="345">
        <f t="shared" si="29"/>
        <v>2865.9718214478676</v>
      </c>
      <c r="J73" s="691">
        <f t="shared" si="30"/>
        <v>297.92673969583285</v>
      </c>
      <c r="K73" s="348">
        <f t="shared" si="31"/>
        <v>0</v>
      </c>
      <c r="L73" s="349"/>
      <c r="M73" s="345">
        <f t="shared" si="23"/>
        <v>3163.8985611437006</v>
      </c>
      <c r="N73" s="348">
        <f t="shared" si="32"/>
        <v>3163.8985611437006</v>
      </c>
      <c r="O73" s="691">
        <f t="shared" si="24"/>
        <v>298.91897844223291</v>
      </c>
      <c r="P73" s="348">
        <f t="shared" si="25"/>
        <v>0</v>
      </c>
      <c r="Q73" s="349"/>
      <c r="R73" s="348">
        <f t="shared" si="33"/>
        <v>3462.8175395859334</v>
      </c>
      <c r="S73" s="345">
        <f t="shared" si="34"/>
        <v>3462.8175395859334</v>
      </c>
      <c r="T73" s="691">
        <f t="shared" si="26"/>
        <v>299.56352918863286</v>
      </c>
      <c r="U73" s="348">
        <f t="shared" si="27"/>
        <v>0</v>
      </c>
      <c r="V73" s="349"/>
      <c r="W73" s="345">
        <f t="shared" si="35"/>
        <v>3762.3810687745663</v>
      </c>
      <c r="Y73" s="690">
        <v>5.28E-2</v>
      </c>
    </row>
    <row r="74" spans="1:25">
      <c r="A74" s="456">
        <v>0.18</v>
      </c>
      <c r="B74" s="95">
        <f t="shared" si="36"/>
        <v>7</v>
      </c>
      <c r="C74" s="446" t="s">
        <v>815</v>
      </c>
      <c r="D74" s="348">
        <v>2.0204887296274059</v>
      </c>
      <c r="E74" s="691">
        <f t="shared" si="22"/>
        <v>0.8944799786349874</v>
      </c>
      <c r="F74" s="348">
        <f t="shared" si="28"/>
        <v>0</v>
      </c>
      <c r="G74" s="349"/>
      <c r="H74" s="348">
        <f t="shared" si="37"/>
        <v>2.9149687082623932</v>
      </c>
      <c r="I74" s="345">
        <f t="shared" si="29"/>
        <v>2.9149687082623932</v>
      </c>
      <c r="J74" s="691">
        <f t="shared" si="30"/>
        <v>0.8944799786349874</v>
      </c>
      <c r="K74" s="348">
        <f t="shared" si="31"/>
        <v>0</v>
      </c>
      <c r="L74" s="349"/>
      <c r="M74" s="345">
        <f t="shared" si="23"/>
        <v>3.8094486868973805</v>
      </c>
      <c r="N74" s="348">
        <f t="shared" si="32"/>
        <v>3.8094486868973805</v>
      </c>
      <c r="O74" s="691">
        <f t="shared" si="24"/>
        <v>4.6682201271594177E-2</v>
      </c>
      <c r="P74" s="348">
        <f t="shared" si="25"/>
        <v>0</v>
      </c>
      <c r="Q74" s="349"/>
      <c r="R74" s="348">
        <f t="shared" si="33"/>
        <v>3.8561308881689746</v>
      </c>
      <c r="S74" s="345">
        <f t="shared" si="34"/>
        <v>3.8561308881689746</v>
      </c>
      <c r="T74" s="691">
        <f t="shared" si="26"/>
        <v>4.6682201271594177E-2</v>
      </c>
      <c r="U74" s="348">
        <f t="shared" si="27"/>
        <v>0</v>
      </c>
      <c r="V74" s="349"/>
      <c r="W74" s="345">
        <f t="shared" si="35"/>
        <v>3.9028130894405688</v>
      </c>
      <c r="Y74" s="690">
        <v>0.18</v>
      </c>
    </row>
    <row r="75" spans="1:25">
      <c r="A75" s="456">
        <v>5.28E-2</v>
      </c>
      <c r="B75" s="95">
        <f t="shared" si="36"/>
        <v>8</v>
      </c>
      <c r="C75" s="446" t="s">
        <v>816</v>
      </c>
      <c r="D75" s="348">
        <v>8.0547058829672363E-3</v>
      </c>
      <c r="E75" s="691">
        <f t="shared" si="22"/>
        <v>5.3698039219781581E-3</v>
      </c>
      <c r="F75" s="348">
        <f t="shared" si="28"/>
        <v>0</v>
      </c>
      <c r="G75" s="349"/>
      <c r="H75" s="348">
        <f t="shared" si="37"/>
        <v>1.3424509804945394E-2</v>
      </c>
      <c r="I75" s="345">
        <f t="shared" si="29"/>
        <v>1.3424509804945394E-2</v>
      </c>
      <c r="J75" s="691">
        <f t="shared" si="30"/>
        <v>5.3698039219781581E-3</v>
      </c>
      <c r="K75" s="348">
        <f t="shared" si="31"/>
        <v>0</v>
      </c>
      <c r="L75" s="349"/>
      <c r="M75" s="345">
        <f t="shared" si="23"/>
        <v>1.8794313726923553E-2</v>
      </c>
      <c r="N75" s="348">
        <f t="shared" si="32"/>
        <v>1.8794313726923553E-2</v>
      </c>
      <c r="O75" s="691">
        <f t="shared" si="24"/>
        <v>5.3698039219781581E-3</v>
      </c>
      <c r="P75" s="348">
        <f t="shared" si="25"/>
        <v>0</v>
      </c>
      <c r="Q75" s="349"/>
      <c r="R75" s="348">
        <f t="shared" si="33"/>
        <v>2.4164117648901709E-2</v>
      </c>
      <c r="S75" s="345">
        <f t="shared" si="34"/>
        <v>2.4164117648901709E-2</v>
      </c>
      <c r="T75" s="691">
        <f t="shared" si="26"/>
        <v>5.3698039219781581E-3</v>
      </c>
      <c r="U75" s="348">
        <f t="shared" si="27"/>
        <v>0</v>
      </c>
      <c r="V75" s="349"/>
      <c r="W75" s="345">
        <f t="shared" si="35"/>
        <v>2.9533921570879869E-2</v>
      </c>
      <c r="Y75" s="690">
        <v>5.28E-2</v>
      </c>
    </row>
    <row r="76" spans="1:25">
      <c r="A76" s="456">
        <v>5.28E-2</v>
      </c>
      <c r="B76" s="95">
        <f t="shared" si="36"/>
        <v>9</v>
      </c>
      <c r="C76" s="446" t="s">
        <v>817</v>
      </c>
      <c r="D76" s="348">
        <v>22.936860760204738</v>
      </c>
      <c r="E76" s="691">
        <f t="shared" si="22"/>
        <v>2.5586880000000001</v>
      </c>
      <c r="F76" s="348">
        <f t="shared" si="28"/>
        <v>0</v>
      </c>
      <c r="G76" s="349"/>
      <c r="H76" s="348">
        <f t="shared" si="37"/>
        <v>25.495548760204738</v>
      </c>
      <c r="I76" s="345">
        <f t="shared" si="29"/>
        <v>25.495548760204738</v>
      </c>
      <c r="J76" s="691">
        <f t="shared" si="30"/>
        <v>2.5586880000000001</v>
      </c>
      <c r="K76" s="348">
        <f t="shared" si="31"/>
        <v>0</v>
      </c>
      <c r="L76" s="349"/>
      <c r="M76" s="345">
        <f t="shared" si="23"/>
        <v>28.054236760204738</v>
      </c>
      <c r="N76" s="348">
        <f t="shared" si="32"/>
        <v>28.054236760204738</v>
      </c>
      <c r="O76" s="691">
        <f t="shared" si="24"/>
        <v>2.5586880000000001</v>
      </c>
      <c r="P76" s="348">
        <f t="shared" si="25"/>
        <v>0</v>
      </c>
      <c r="Q76" s="349"/>
      <c r="R76" s="348">
        <f t="shared" si="33"/>
        <v>30.612924760204738</v>
      </c>
      <c r="S76" s="345">
        <f t="shared" si="34"/>
        <v>30.612924760204738</v>
      </c>
      <c r="T76" s="691">
        <f t="shared" si="26"/>
        <v>0.98482773944697977</v>
      </c>
      <c r="U76" s="348">
        <f t="shared" si="27"/>
        <v>0</v>
      </c>
      <c r="V76" s="349"/>
      <c r="W76" s="345">
        <f t="shared" si="35"/>
        <v>31.597752499651719</v>
      </c>
      <c r="Y76" s="690">
        <v>5.28E-2</v>
      </c>
    </row>
    <row r="77" spans="1:25">
      <c r="A77" s="456">
        <v>9.5000000000000001E-2</v>
      </c>
      <c r="B77" s="95">
        <f t="shared" si="36"/>
        <v>10</v>
      </c>
      <c r="C77" s="446" t="s">
        <v>259</v>
      </c>
      <c r="D77" s="348">
        <v>1.0343598742282865</v>
      </c>
      <c r="E77" s="691">
        <f t="shared" si="22"/>
        <v>0.41883354293657282</v>
      </c>
      <c r="F77" s="348">
        <f t="shared" si="28"/>
        <v>0</v>
      </c>
      <c r="G77" s="349"/>
      <c r="H77" s="348">
        <f t="shared" si="37"/>
        <v>1.4531934171648593</v>
      </c>
      <c r="I77" s="345">
        <f t="shared" si="29"/>
        <v>1.4531934171648593</v>
      </c>
      <c r="J77" s="691">
        <f t="shared" si="30"/>
        <v>0.52260453193657286</v>
      </c>
      <c r="K77" s="348">
        <f t="shared" si="31"/>
        <v>0</v>
      </c>
      <c r="L77" s="349"/>
      <c r="M77" s="345">
        <f t="shared" si="23"/>
        <v>1.9757979491014321</v>
      </c>
      <c r="N77" s="348">
        <f t="shared" si="32"/>
        <v>1.9757979491014321</v>
      </c>
      <c r="O77" s="691">
        <f t="shared" si="24"/>
        <v>0.52260453193657286</v>
      </c>
      <c r="P77" s="348">
        <f t="shared" si="25"/>
        <v>0</v>
      </c>
      <c r="Q77" s="349"/>
      <c r="R77" s="348">
        <f t="shared" si="33"/>
        <v>2.498402481038005</v>
      </c>
      <c r="S77" s="345">
        <f t="shared" si="34"/>
        <v>2.498402481038005</v>
      </c>
      <c r="T77" s="691">
        <f t="shared" si="26"/>
        <v>0.52260453193657286</v>
      </c>
      <c r="U77" s="348">
        <f t="shared" si="27"/>
        <v>0</v>
      </c>
      <c r="V77" s="349"/>
      <c r="W77" s="345">
        <f t="shared" si="35"/>
        <v>3.0210070129745779</v>
      </c>
      <c r="Y77" s="690">
        <v>9.5000000000000001E-2</v>
      </c>
    </row>
    <row r="78" spans="1:25">
      <c r="A78" s="456">
        <v>6.3299999999999995E-2</v>
      </c>
      <c r="B78" s="95">
        <f t="shared" si="36"/>
        <v>11</v>
      </c>
      <c r="C78" s="446" t="s">
        <v>260</v>
      </c>
      <c r="D78" s="348">
        <v>0.90656500445595078</v>
      </c>
      <c r="E78" s="691">
        <f t="shared" si="22"/>
        <v>0.18322560513091576</v>
      </c>
      <c r="F78" s="348">
        <f t="shared" si="28"/>
        <v>0</v>
      </c>
      <c r="G78" s="349"/>
      <c r="H78" s="348">
        <f t="shared" si="37"/>
        <v>1.0897906095868666</v>
      </c>
      <c r="I78" s="345">
        <f t="shared" si="29"/>
        <v>1.0897906095868666</v>
      </c>
      <c r="J78" s="691">
        <f t="shared" si="30"/>
        <v>0.18990657831091576</v>
      </c>
      <c r="K78" s="348">
        <f t="shared" si="31"/>
        <v>0</v>
      </c>
      <c r="L78" s="349"/>
      <c r="M78" s="345">
        <f t="shared" si="23"/>
        <v>1.2796971878977823</v>
      </c>
      <c r="N78" s="348">
        <f t="shared" si="32"/>
        <v>1.2796971878977823</v>
      </c>
      <c r="O78" s="691">
        <f t="shared" si="24"/>
        <v>0.19224767500591577</v>
      </c>
      <c r="P78" s="348">
        <f t="shared" si="25"/>
        <v>0</v>
      </c>
      <c r="Q78" s="349"/>
      <c r="R78" s="348">
        <f t="shared" si="33"/>
        <v>1.471944862903698</v>
      </c>
      <c r="S78" s="345">
        <f t="shared" si="34"/>
        <v>1.471944862903698</v>
      </c>
      <c r="T78" s="691">
        <f t="shared" si="26"/>
        <v>0.19224767500591577</v>
      </c>
      <c r="U78" s="348">
        <f t="shared" si="27"/>
        <v>0</v>
      </c>
      <c r="V78" s="349"/>
      <c r="W78" s="345">
        <f t="shared" si="35"/>
        <v>1.6641925379096136</v>
      </c>
      <c r="Y78" s="690">
        <v>6.3299999999999995E-2</v>
      </c>
    </row>
    <row r="79" spans="1:25">
      <c r="A79" s="456">
        <v>6.3299999999999995E-2</v>
      </c>
      <c r="B79" s="95">
        <f t="shared" si="36"/>
        <v>12</v>
      </c>
      <c r="C79" s="446" t="s">
        <v>261</v>
      </c>
      <c r="D79" s="348">
        <v>0.16901832027796238</v>
      </c>
      <c r="E79" s="691">
        <f t="shared" si="22"/>
        <v>6.9050002701972368E-2</v>
      </c>
      <c r="F79" s="348">
        <f t="shared" si="28"/>
        <v>0</v>
      </c>
      <c r="G79" s="350"/>
      <c r="H79" s="348">
        <f t="shared" si="37"/>
        <v>0.23806832297993474</v>
      </c>
      <c r="I79" s="345">
        <f t="shared" si="29"/>
        <v>0.23806832297993474</v>
      </c>
      <c r="J79" s="691">
        <f t="shared" si="30"/>
        <v>6.9050002701972368E-2</v>
      </c>
      <c r="K79" s="348">
        <f t="shared" si="31"/>
        <v>0</v>
      </c>
      <c r="L79" s="349"/>
      <c r="M79" s="345">
        <f t="shared" si="23"/>
        <v>0.30711832568190711</v>
      </c>
      <c r="N79" s="348">
        <f t="shared" si="32"/>
        <v>0.30711832568190711</v>
      </c>
      <c r="O79" s="691">
        <f t="shared" si="24"/>
        <v>6.9050002701972368E-2</v>
      </c>
      <c r="P79" s="348">
        <f t="shared" si="25"/>
        <v>0</v>
      </c>
      <c r="Q79" s="349"/>
      <c r="R79" s="348">
        <f t="shared" si="33"/>
        <v>0.37616832838387948</v>
      </c>
      <c r="S79" s="345">
        <f t="shared" si="34"/>
        <v>0.37616832838387948</v>
      </c>
      <c r="T79" s="691">
        <f t="shared" si="26"/>
        <v>6.9050002701972368E-2</v>
      </c>
      <c r="U79" s="348">
        <f t="shared" si="27"/>
        <v>0</v>
      </c>
      <c r="V79" s="349"/>
      <c r="W79" s="345">
        <f t="shared" si="35"/>
        <v>0.44521833108585185</v>
      </c>
      <c r="Y79" s="690">
        <v>6.3299999999999995E-2</v>
      </c>
    </row>
    <row r="80" spans="1:25">
      <c r="A80" s="456">
        <v>6.3299999999999995E-2</v>
      </c>
      <c r="B80" s="95">
        <f t="shared" si="36"/>
        <v>13</v>
      </c>
      <c r="C80" s="466" t="s">
        <v>865</v>
      </c>
      <c r="D80" s="348">
        <v>0</v>
      </c>
      <c r="E80" s="691">
        <f t="shared" si="22"/>
        <v>0</v>
      </c>
      <c r="F80" s="348">
        <f t="shared" si="28"/>
        <v>0</v>
      </c>
      <c r="G80" s="350"/>
      <c r="H80" s="348">
        <f t="shared" si="37"/>
        <v>0</v>
      </c>
      <c r="I80" s="345">
        <f t="shared" ref="I80:I84" si="38">H80</f>
        <v>0</v>
      </c>
      <c r="J80" s="691">
        <f t="shared" si="30"/>
        <v>0</v>
      </c>
      <c r="K80" s="348">
        <f t="shared" si="31"/>
        <v>0</v>
      </c>
      <c r="L80" s="349"/>
      <c r="M80" s="345">
        <f t="shared" ref="M80:M84" si="39">I80+J80-K80-L80</f>
        <v>0</v>
      </c>
      <c r="N80" s="348">
        <f t="shared" si="32"/>
        <v>0</v>
      </c>
      <c r="O80" s="691">
        <f t="shared" si="24"/>
        <v>0</v>
      </c>
      <c r="P80" s="348">
        <f t="shared" si="25"/>
        <v>0</v>
      </c>
      <c r="Q80" s="349"/>
      <c r="R80" s="348">
        <f t="shared" ref="R80:R84" si="40">N80+O80-P80-Q80</f>
        <v>0</v>
      </c>
      <c r="S80" s="345">
        <f t="shared" ref="S80:S84" si="41">R80</f>
        <v>0</v>
      </c>
      <c r="T80" s="691">
        <f t="shared" si="26"/>
        <v>0</v>
      </c>
      <c r="U80" s="348">
        <f t="shared" si="27"/>
        <v>0</v>
      </c>
      <c r="V80" s="349"/>
      <c r="W80" s="345">
        <f t="shared" ref="W80:W84" si="42">S80+T80-U80-V80</f>
        <v>0</v>
      </c>
      <c r="Y80" s="690">
        <v>6.3299999999999995E-2</v>
      </c>
    </row>
    <row r="81" spans="1:33">
      <c r="A81" s="456">
        <v>0.15</v>
      </c>
      <c r="B81" s="95">
        <f t="shared" si="36"/>
        <v>14</v>
      </c>
      <c r="C81" s="466" t="s">
        <v>866</v>
      </c>
      <c r="D81" s="348">
        <v>0</v>
      </c>
      <c r="E81" s="691">
        <f>IF((IFERROR(D81/((D27+E27)*100%),0))&lt;70%,MIN((MAX((D27+E27)*100%-D81,0)),(D27+E27/2)*$Y81),MAX((E27+D27)*100%-D81,0)/E$86)</f>
        <v>1.0817665499999999E-2</v>
      </c>
      <c r="F81" s="348">
        <f t="shared" si="28"/>
        <v>0</v>
      </c>
      <c r="G81" s="350"/>
      <c r="H81" s="348">
        <f t="shared" si="37"/>
        <v>1.0817665499999999E-2</v>
      </c>
      <c r="I81" s="345">
        <f t="shared" si="38"/>
        <v>1.0817665499999999E-2</v>
      </c>
      <c r="J81" s="691">
        <f>IF((IFERROR(I81/((I27+J27)*100%),0))&lt;70%,MIN((MAX((I27+J27)*100%-I81,0)),(I27+J27/2)*$A81),MAX((J27+I27)*100%-I81,0)/J$86)</f>
        <v>0</v>
      </c>
      <c r="K81" s="348">
        <f t="shared" si="31"/>
        <v>0</v>
      </c>
      <c r="L81" s="349"/>
      <c r="M81" s="345">
        <f t="shared" si="39"/>
        <v>1.0817665499999999E-2</v>
      </c>
      <c r="N81" s="348">
        <f t="shared" si="32"/>
        <v>1.0817665499999999E-2</v>
      </c>
      <c r="O81" s="691">
        <f>IF((IFERROR(N81/((N27+O27)*100%),0))&lt;70%,MIN((MAX((N27+O27)*100%-N81,0)),(N27+O27/2)*$A108),MAX((O27+N27)*100%-N81,0)/O$86)</f>
        <v>0</v>
      </c>
      <c r="P81" s="348">
        <f t="shared" si="25"/>
        <v>0</v>
      </c>
      <c r="Q81" s="349"/>
      <c r="R81" s="348">
        <f t="shared" si="40"/>
        <v>1.0817665499999999E-2</v>
      </c>
      <c r="S81" s="345">
        <f t="shared" si="41"/>
        <v>1.0817665499999999E-2</v>
      </c>
      <c r="T81" s="691">
        <f>IF((IFERROR(S81/((S27+T27)*100%),0))&lt;70%,MIN((MAX((S27+T27)*100%-S81,0)),(S27+T27/2)*$A108),MAX((T27+S27)*100%-S81,0)/T$86)</f>
        <v>0</v>
      </c>
      <c r="U81" s="348">
        <f t="shared" si="27"/>
        <v>0</v>
      </c>
      <c r="V81" s="349"/>
      <c r="W81" s="345">
        <f t="shared" si="42"/>
        <v>1.0817665499999999E-2</v>
      </c>
      <c r="Y81" s="690">
        <v>0.15</v>
      </c>
    </row>
    <row r="82" spans="1:33">
      <c r="A82" s="456">
        <v>0.3</v>
      </c>
      <c r="B82" s="95">
        <f t="shared" si="36"/>
        <v>15</v>
      </c>
      <c r="C82" s="466" t="s">
        <v>867</v>
      </c>
      <c r="D82" s="348">
        <v>0</v>
      </c>
      <c r="E82" s="691">
        <f>IF((IFERROR(D82/((D28+E28)*100%),0))&lt;70%,MIN((MAX((D28+E28)*100%-D82,0)),(D28+E28/2)*$Y82),MAX((E28+D28)*100%-D82,0)/E$86)</f>
        <v>0</v>
      </c>
      <c r="F82" s="348">
        <f t="shared" si="28"/>
        <v>0</v>
      </c>
      <c r="G82" s="350"/>
      <c r="H82" s="348">
        <f t="shared" si="37"/>
        <v>0</v>
      </c>
      <c r="I82" s="345">
        <f t="shared" si="38"/>
        <v>0</v>
      </c>
      <c r="J82" s="691">
        <f>IF((IFERROR(I82/((I28+J28)*100%),0))&lt;70%,MIN((MAX((I28+J28)*100%-I82,0)),(I28+J28/2)*$A82),MAX((J28+I28)*100%-I82,0)/J$86)</f>
        <v>0</v>
      </c>
      <c r="K82" s="348">
        <f t="shared" si="31"/>
        <v>0</v>
      </c>
      <c r="L82" s="349"/>
      <c r="M82" s="345">
        <f t="shared" si="39"/>
        <v>0</v>
      </c>
      <c r="N82" s="348">
        <f t="shared" si="32"/>
        <v>0</v>
      </c>
      <c r="O82" s="691">
        <f>IF((IFERROR(N82/((N28+O28)*100%),0))&lt;70%,MIN((MAX((N28+O28)*100%-N82,0)),(N28+O28/2)*$A109),MAX((O28+N28)*100%-N82,0)/O$86)</f>
        <v>0</v>
      </c>
      <c r="P82" s="348">
        <f t="shared" si="25"/>
        <v>0</v>
      </c>
      <c r="Q82" s="349"/>
      <c r="R82" s="348">
        <f t="shared" si="40"/>
        <v>0</v>
      </c>
      <c r="S82" s="345">
        <f t="shared" si="41"/>
        <v>0</v>
      </c>
      <c r="T82" s="691">
        <f>IF((IFERROR(S82/((S28+T28)*100%),0))&lt;70%,MIN((MAX((S28+T28)*100%-S82,0)),(S28+T28/2)*$A109),MAX((T28+S28)*100%-S82,0)/T$86)</f>
        <v>0</v>
      </c>
      <c r="U82" s="348">
        <f t="shared" si="27"/>
        <v>0</v>
      </c>
      <c r="V82" s="349"/>
      <c r="W82" s="345">
        <f t="shared" si="42"/>
        <v>0</v>
      </c>
      <c r="Y82" s="690">
        <v>0.3</v>
      </c>
    </row>
    <row r="83" spans="1:33">
      <c r="A83" s="456">
        <v>0.3</v>
      </c>
      <c r="B83" s="95">
        <f t="shared" si="36"/>
        <v>16</v>
      </c>
      <c r="C83" s="466" t="s">
        <v>818</v>
      </c>
      <c r="D83" s="467">
        <v>0</v>
      </c>
      <c r="E83" s="691">
        <f>IF((IFERROR(D83/((D29+E29)*100%),0))&lt;70%,MIN((MAX((D29+E29)*100%-D83,0)),(D29+E29/2)*$Y83),MAX((E29+D29)*100%-D83,0)/E$86)</f>
        <v>0</v>
      </c>
      <c r="F83" s="348">
        <f t="shared" si="28"/>
        <v>0</v>
      </c>
      <c r="G83" s="349"/>
      <c r="H83" s="348">
        <f t="shared" si="37"/>
        <v>0</v>
      </c>
      <c r="I83" s="345">
        <f t="shared" si="38"/>
        <v>0</v>
      </c>
      <c r="J83" s="691">
        <f>IF((IFERROR(I83/((I29+J29)*100%),0))&lt;70%,MIN((MAX((I29+J29)*100%-I83,0)),(I29+J29/2)*$A83),MAX((J29+I29)*100%-I83,0)/J$86)</f>
        <v>0</v>
      </c>
      <c r="K83" s="348">
        <f t="shared" si="31"/>
        <v>0</v>
      </c>
      <c r="L83" s="349"/>
      <c r="M83" s="345">
        <f t="shared" si="39"/>
        <v>0</v>
      </c>
      <c r="N83" s="348">
        <f t="shared" si="32"/>
        <v>0</v>
      </c>
      <c r="O83" s="691">
        <f>IF((IFERROR(N83/((N29+O29)*100%),0))&lt;70%,MIN((MAX((N29+O29)*100%-N83,0)),(N29+O29/2)*$A110),MAX((O29+N29)*100%-N83,0)/O$86)</f>
        <v>0</v>
      </c>
      <c r="P83" s="348">
        <f t="shared" si="25"/>
        <v>0</v>
      </c>
      <c r="Q83" s="349"/>
      <c r="R83" s="348">
        <f t="shared" si="40"/>
        <v>0</v>
      </c>
      <c r="S83" s="345">
        <f t="shared" si="41"/>
        <v>0</v>
      </c>
      <c r="T83" s="691">
        <f>IF((IFERROR(S83/((S29+T29)*100%),0))&lt;70%,MIN((MAX((S29+T29)*100%-S83,0)),(S29+T29/2)*$A110),MAX((T29+S29)*100%-S83,0)/T$86)</f>
        <v>0</v>
      </c>
      <c r="U83" s="348">
        <f t="shared" si="27"/>
        <v>0</v>
      </c>
      <c r="V83" s="349"/>
      <c r="W83" s="345">
        <f t="shared" si="42"/>
        <v>0</v>
      </c>
      <c r="Y83" s="690">
        <v>0.3</v>
      </c>
    </row>
    <row r="84" spans="1:33">
      <c r="A84" s="456">
        <v>3.3399999999999999E-2</v>
      </c>
      <c r="B84" s="95">
        <f t="shared" si="36"/>
        <v>17</v>
      </c>
      <c r="C84" s="466" t="s">
        <v>868</v>
      </c>
      <c r="D84" s="348">
        <v>0</v>
      </c>
      <c r="E84" s="691">
        <f t="shared" si="22"/>
        <v>0</v>
      </c>
      <c r="F84" s="348">
        <f t="shared" si="28"/>
        <v>0</v>
      </c>
      <c r="G84" s="349"/>
      <c r="H84" s="348">
        <f t="shared" si="37"/>
        <v>0</v>
      </c>
      <c r="I84" s="345">
        <f t="shared" si="38"/>
        <v>0</v>
      </c>
      <c r="J84" s="691">
        <f t="shared" si="30"/>
        <v>0</v>
      </c>
      <c r="K84" s="348">
        <f t="shared" si="31"/>
        <v>0</v>
      </c>
      <c r="L84" s="349"/>
      <c r="M84" s="345">
        <f t="shared" si="39"/>
        <v>0</v>
      </c>
      <c r="N84" s="348">
        <f t="shared" si="32"/>
        <v>0</v>
      </c>
      <c r="O84" s="691">
        <f t="shared" si="24"/>
        <v>0</v>
      </c>
      <c r="P84" s="348">
        <f t="shared" si="25"/>
        <v>0</v>
      </c>
      <c r="Q84" s="349"/>
      <c r="R84" s="348">
        <f t="shared" si="40"/>
        <v>0</v>
      </c>
      <c r="S84" s="345">
        <f t="shared" si="41"/>
        <v>0</v>
      </c>
      <c r="T84" s="691">
        <f t="shared" si="26"/>
        <v>0</v>
      </c>
      <c r="U84" s="348">
        <f t="shared" si="27"/>
        <v>0</v>
      </c>
      <c r="V84" s="349"/>
      <c r="W84" s="345">
        <f t="shared" si="42"/>
        <v>0</v>
      </c>
      <c r="Y84" s="690">
        <v>3.3399999999999999E-2</v>
      </c>
    </row>
    <row r="85" spans="1:33" ht="16">
      <c r="A85" s="457"/>
      <c r="B85" s="83"/>
      <c r="C85" s="97" t="s">
        <v>272</v>
      </c>
      <c r="D85" s="347">
        <f>SUM(D68:D84)</f>
        <v>2939.8496966009311</v>
      </c>
      <c r="E85" s="347">
        <f>SUM(E68:E84)</f>
        <v>342.94685808239706</v>
      </c>
      <c r="F85" s="347">
        <f t="shared" ref="F85:M85" si="43">SUM(F68:F84)</f>
        <v>0</v>
      </c>
      <c r="G85" s="347">
        <f t="shared" si="43"/>
        <v>0</v>
      </c>
      <c r="H85" s="347">
        <f t="shared" si="43"/>
        <v>3282.7965546833284</v>
      </c>
      <c r="I85" s="347">
        <f t="shared" si="43"/>
        <v>3282.7965546833284</v>
      </c>
      <c r="J85" s="347">
        <f t="shared" si="43"/>
        <v>343.73328998671707</v>
      </c>
      <c r="K85" s="347">
        <f t="shared" si="43"/>
        <v>0</v>
      </c>
      <c r="L85" s="347">
        <f t="shared" si="43"/>
        <v>0</v>
      </c>
      <c r="M85" s="347">
        <f t="shared" si="43"/>
        <v>3626.5298446700458</v>
      </c>
      <c r="N85" s="347">
        <f t="shared" ref="N85:W85" si="44">SUM(N68:N84)</f>
        <v>3626.5298446700458</v>
      </c>
      <c r="O85" s="347">
        <f t="shared" si="44"/>
        <v>343.93317805244874</v>
      </c>
      <c r="P85" s="347">
        <f t="shared" si="44"/>
        <v>0</v>
      </c>
      <c r="Q85" s="347">
        <f t="shared" si="44"/>
        <v>0</v>
      </c>
      <c r="R85" s="347">
        <f t="shared" si="44"/>
        <v>3970.4630227224943</v>
      </c>
      <c r="S85" s="347">
        <f t="shared" si="44"/>
        <v>3970.4630227224943</v>
      </c>
      <c r="T85" s="347">
        <f t="shared" si="44"/>
        <v>343.00386853829565</v>
      </c>
      <c r="U85" s="347">
        <f t="shared" si="44"/>
        <v>0</v>
      </c>
      <c r="V85" s="347">
        <f t="shared" si="44"/>
        <v>0</v>
      </c>
      <c r="W85" s="347">
        <f t="shared" si="44"/>
        <v>4313.4668912607904</v>
      </c>
    </row>
    <row r="86" spans="1:33" ht="16">
      <c r="A86" s="457"/>
      <c r="B86" s="259"/>
      <c r="C86" s="261" t="s">
        <v>778</v>
      </c>
      <c r="D86" s="479"/>
      <c r="E86" s="480">
        <v>16.201369863013699</v>
      </c>
      <c r="F86" s="479">
        <f>E85-F85</f>
        <v>342.94685808239706</v>
      </c>
      <c r="G86" s="479"/>
      <c r="H86" s="479"/>
      <c r="I86" s="481"/>
      <c r="J86" s="480">
        <f>E86-1</f>
        <v>15.201369863013699</v>
      </c>
      <c r="K86" s="481"/>
      <c r="L86" s="481"/>
      <c r="M86" s="481"/>
      <c r="N86" s="479"/>
      <c r="O86" s="480">
        <f>J86-1</f>
        <v>14.201369863013699</v>
      </c>
      <c r="P86" s="479"/>
      <c r="Q86" s="479"/>
      <c r="R86" s="479"/>
      <c r="S86" s="481"/>
      <c r="T86" s="480">
        <f>O86-1</f>
        <v>13.201369863013699</v>
      </c>
      <c r="U86" s="481"/>
      <c r="V86" s="481"/>
      <c r="W86" s="481"/>
      <c r="X86" s="45"/>
      <c r="Y86" s="45"/>
      <c r="Z86" s="45"/>
      <c r="AA86" s="45"/>
      <c r="AB86" s="45"/>
      <c r="AC86" s="45"/>
      <c r="AD86" s="45"/>
      <c r="AE86" s="45"/>
      <c r="AF86" s="45"/>
      <c r="AG86" s="45"/>
    </row>
    <row r="87" spans="1:33" ht="16">
      <c r="A87" s="457"/>
      <c r="B87" s="258" t="s">
        <v>567</v>
      </c>
      <c r="C87" s="262"/>
      <c r="D87" s="263"/>
      <c r="E87" s="263"/>
      <c r="F87" s="263"/>
      <c r="G87" s="263"/>
      <c r="H87" s="263"/>
      <c r="I87" s="264"/>
      <c r="J87" s="264"/>
      <c r="K87" s="259"/>
      <c r="L87" s="259"/>
      <c r="M87" s="259"/>
      <c r="N87" s="259"/>
      <c r="O87" s="259"/>
      <c r="P87" s="259"/>
      <c r="Q87" s="259"/>
      <c r="R87" s="259"/>
      <c r="S87" s="45"/>
      <c r="T87" s="45"/>
      <c r="U87" s="45"/>
      <c r="V87" s="45"/>
      <c r="W87" s="45"/>
      <c r="X87" s="45"/>
      <c r="Y87" s="45"/>
      <c r="Z87" s="45"/>
      <c r="AA87" s="45"/>
      <c r="AB87" s="45"/>
      <c r="AC87" s="45"/>
      <c r="AD87" s="45"/>
      <c r="AE87" s="45"/>
      <c r="AF87" s="45"/>
      <c r="AG87" s="45"/>
    </row>
    <row r="88" spans="1:33" ht="16">
      <c r="A88" s="457"/>
      <c r="B88" s="258" t="s">
        <v>685</v>
      </c>
      <c r="C88" s="262"/>
      <c r="D88" s="263"/>
      <c r="E88" s="263"/>
      <c r="F88" s="263"/>
      <c r="G88" s="263"/>
      <c r="H88" s="263"/>
      <c r="I88" s="264"/>
      <c r="J88" s="264"/>
      <c r="K88" s="259"/>
      <c r="L88" s="259"/>
      <c r="M88" s="259"/>
      <c r="N88" s="259"/>
      <c r="O88" s="259"/>
      <c r="P88" s="259"/>
      <c r="Q88" s="259"/>
      <c r="R88" s="259"/>
      <c r="S88" s="45"/>
      <c r="T88" s="45"/>
      <c r="U88" s="45"/>
      <c r="V88" s="45"/>
      <c r="W88" s="45"/>
      <c r="X88" s="45"/>
      <c r="Y88" s="45"/>
      <c r="Z88" s="45"/>
      <c r="AA88" s="45"/>
      <c r="AB88" s="45"/>
      <c r="AC88" s="45"/>
      <c r="AD88" s="45"/>
      <c r="AE88" s="45"/>
      <c r="AF88" s="45"/>
      <c r="AG88" s="45"/>
    </row>
    <row r="89" spans="1:33" ht="15" customHeight="1">
      <c r="A89" s="457"/>
      <c r="B89" s="259"/>
      <c r="C89" s="261"/>
      <c r="D89" s="261"/>
      <c r="E89" s="261"/>
      <c r="F89" s="261"/>
      <c r="G89" s="261"/>
      <c r="H89" s="261"/>
      <c r="I89" s="259"/>
      <c r="J89" s="259"/>
      <c r="K89" s="259"/>
      <c r="L89" s="259"/>
      <c r="M89" s="259"/>
      <c r="N89" s="259"/>
      <c r="O89" s="259"/>
      <c r="P89" s="259"/>
      <c r="Q89" s="259"/>
      <c r="R89" s="259"/>
    </row>
    <row r="90" spans="1:33" ht="16">
      <c r="A90" s="457"/>
      <c r="B90" s="259"/>
      <c r="C90" s="261"/>
      <c r="D90" s="8"/>
      <c r="E90" s="8"/>
      <c r="F90" s="8"/>
      <c r="G90" s="8"/>
      <c r="H90" s="8"/>
      <c r="I90" s="1"/>
      <c r="J90" s="44"/>
      <c r="K90" s="1"/>
      <c r="L90" s="1"/>
      <c r="M90" s="44"/>
      <c r="N90" s="44"/>
      <c r="O90" s="1"/>
      <c r="P90" s="1"/>
      <c r="Q90" s="1"/>
      <c r="AG90" s="256" t="s">
        <v>10</v>
      </c>
    </row>
    <row r="91" spans="1:33" ht="13.75" customHeight="1">
      <c r="A91" s="457"/>
      <c r="B91" s="1719" t="s">
        <v>341</v>
      </c>
      <c r="C91" s="1719" t="s">
        <v>37</v>
      </c>
      <c r="D91" s="1843" t="s">
        <v>948</v>
      </c>
      <c r="E91" s="1844"/>
      <c r="F91" s="1844"/>
      <c r="G91" s="1844"/>
      <c r="H91" s="1845"/>
      <c r="I91" s="1843" t="s">
        <v>949</v>
      </c>
      <c r="J91" s="1844"/>
      <c r="K91" s="1844"/>
      <c r="L91" s="1844"/>
      <c r="M91" s="1845"/>
      <c r="N91" s="1835" t="s">
        <v>950</v>
      </c>
      <c r="O91" s="1835"/>
      <c r="P91" s="1835"/>
      <c r="Q91" s="1835"/>
      <c r="R91" s="1835"/>
      <c r="S91" s="1835" t="s">
        <v>951</v>
      </c>
      <c r="T91" s="1835"/>
      <c r="U91" s="1835"/>
      <c r="V91" s="1835"/>
      <c r="W91" s="1835"/>
    </row>
    <row r="92" spans="1:33">
      <c r="A92" s="457"/>
      <c r="B92" s="1719"/>
      <c r="C92" s="1719"/>
      <c r="D92" s="1836" t="s">
        <v>21</v>
      </c>
      <c r="E92" s="1837"/>
      <c r="F92" s="1837"/>
      <c r="G92" s="1837"/>
      <c r="H92" s="1838"/>
      <c r="I92" s="1836" t="s">
        <v>21</v>
      </c>
      <c r="J92" s="1837"/>
      <c r="K92" s="1837"/>
      <c r="L92" s="1837"/>
      <c r="M92" s="1838"/>
      <c r="N92" s="1839" t="s">
        <v>21</v>
      </c>
      <c r="O92" s="1840"/>
      <c r="P92" s="1840"/>
      <c r="Q92" s="1840"/>
      <c r="R92" s="1840"/>
      <c r="S92" s="1839" t="s">
        <v>21</v>
      </c>
      <c r="T92" s="1840"/>
      <c r="U92" s="1840"/>
      <c r="V92" s="1840"/>
      <c r="W92" s="1840"/>
    </row>
    <row r="93" spans="1:33" ht="56">
      <c r="A93" s="457"/>
      <c r="B93" s="1719"/>
      <c r="C93" s="1719"/>
      <c r="D93" s="870" t="s">
        <v>274</v>
      </c>
      <c r="E93" s="870" t="s">
        <v>269</v>
      </c>
      <c r="F93" s="260" t="s">
        <v>275</v>
      </c>
      <c r="G93" s="868" t="s">
        <v>555</v>
      </c>
      <c r="H93" s="870" t="s">
        <v>276</v>
      </c>
      <c r="I93" s="870" t="s">
        <v>268</v>
      </c>
      <c r="J93" s="870" t="s">
        <v>269</v>
      </c>
      <c r="K93" s="870" t="s">
        <v>270</v>
      </c>
      <c r="L93" s="868" t="s">
        <v>555</v>
      </c>
      <c r="M93" s="870" t="s">
        <v>271</v>
      </c>
      <c r="N93" s="701" t="s">
        <v>268</v>
      </c>
      <c r="O93" s="701" t="s">
        <v>269</v>
      </c>
      <c r="P93" s="701" t="s">
        <v>270</v>
      </c>
      <c r="Q93" s="697" t="s">
        <v>555</v>
      </c>
      <c r="R93" s="701" t="s">
        <v>271</v>
      </c>
      <c r="S93" s="701" t="s">
        <v>268</v>
      </c>
      <c r="T93" s="701" t="s">
        <v>269</v>
      </c>
      <c r="U93" s="701" t="s">
        <v>270</v>
      </c>
      <c r="V93" s="697" t="s">
        <v>555</v>
      </c>
      <c r="W93" s="701" t="s">
        <v>271</v>
      </c>
    </row>
    <row r="94" spans="1:33" ht="28">
      <c r="A94" s="457"/>
      <c r="B94" s="257"/>
      <c r="C94" s="257"/>
      <c r="D94" s="257" t="s">
        <v>631</v>
      </c>
      <c r="E94" s="257" t="s">
        <v>632</v>
      </c>
      <c r="F94" s="257" t="s">
        <v>633</v>
      </c>
      <c r="G94" s="257" t="s">
        <v>634</v>
      </c>
      <c r="H94" s="257" t="s">
        <v>635</v>
      </c>
      <c r="I94" s="257" t="s">
        <v>631</v>
      </c>
      <c r="J94" s="257" t="s">
        <v>632</v>
      </c>
      <c r="K94" s="257" t="s">
        <v>633</v>
      </c>
      <c r="L94" s="257" t="s">
        <v>634</v>
      </c>
      <c r="M94" s="257" t="s">
        <v>635</v>
      </c>
      <c r="N94" s="257" t="s">
        <v>631</v>
      </c>
      <c r="O94" s="257" t="s">
        <v>632</v>
      </c>
      <c r="P94" s="257" t="s">
        <v>633</v>
      </c>
      <c r="Q94" s="257" t="s">
        <v>634</v>
      </c>
      <c r="R94" s="257" t="s">
        <v>635</v>
      </c>
      <c r="S94" s="257" t="s">
        <v>631</v>
      </c>
      <c r="T94" s="257" t="s">
        <v>632</v>
      </c>
      <c r="U94" s="257" t="s">
        <v>633</v>
      </c>
      <c r="V94" s="257" t="s">
        <v>634</v>
      </c>
      <c r="W94" s="257" t="s">
        <v>635</v>
      </c>
    </row>
    <row r="95" spans="1:33">
      <c r="A95" s="456">
        <f>A68</f>
        <v>0</v>
      </c>
      <c r="B95" s="95">
        <v>1</v>
      </c>
      <c r="C95" s="446" t="s">
        <v>810</v>
      </c>
      <c r="D95" s="345">
        <f t="shared" ref="D95:D111" si="45">W68</f>
        <v>0</v>
      </c>
      <c r="E95" s="691">
        <f t="shared" ref="E95:E111" si="46">IF((IFERROR(D95/((D40+E40)*90%),0))&lt;70%,MIN((MAX((D40+E40)*90%-D95,0)),(D40+E40/2)*$A95),MAX((E40+D40)*90%-D95,0)/E$113)</f>
        <v>0</v>
      </c>
      <c r="F95" s="348">
        <f t="shared" ref="F95:F111" si="47">IFERROR(IF(D95=0,0,D95/D40*F40),0)</f>
        <v>0</v>
      </c>
      <c r="G95" s="349"/>
      <c r="H95" s="345">
        <f>D95+E95-F95-G95</f>
        <v>0</v>
      </c>
      <c r="I95" s="442">
        <f>H95</f>
        <v>0</v>
      </c>
      <c r="J95" s="691">
        <f t="shared" ref="J95:J107" si="48">IF((IFERROR(I95/((I40+J40)*90%),0))&lt;70%,MIN((MAX((I40+J40)*90%-I95,0)),(I40+J40/2)*$A95),MAX((J40+I40)*90%-I95,0)/J$113)</f>
        <v>0</v>
      </c>
      <c r="K95" s="348">
        <f t="shared" ref="K95:K111" si="49">IFERROR(IF(I95=0,0,I95/I40*K40),0)</f>
        <v>0</v>
      </c>
      <c r="L95" s="467"/>
      <c r="M95" s="442">
        <f>I95+J95-K95-L95</f>
        <v>0</v>
      </c>
      <c r="N95" s="442">
        <f>M95</f>
        <v>0</v>
      </c>
      <c r="O95" s="691">
        <f t="shared" ref="O95:O107" si="50">IF((IFERROR(N95/((N40+O40)*90%),0))&lt;70%,MIN((MAX((N40+O40)*90%-N95,0)),(N40+O40/2)*$A95),MAX((O40+N40)*90%-N95,0)/O$113)</f>
        <v>0</v>
      </c>
      <c r="P95" s="348">
        <f t="shared" ref="P95:P111" si="51">IFERROR(IF(N95=0,0,N95/N40*P40),0)</f>
        <v>0</v>
      </c>
      <c r="Q95" s="467"/>
      <c r="R95" s="442">
        <f>N95+O95-P95-Q95</f>
        <v>0</v>
      </c>
      <c r="S95" s="442">
        <f>R95</f>
        <v>0</v>
      </c>
      <c r="T95" s="691">
        <f t="shared" ref="T95:T107" si="52">IF((IFERROR(S95/((S40+T40)*90%),0))&lt;70%,MIN((MAX((S40+T40)*90%-S95,0)),(S40+T40/2)*$A95),MAX((T40+S40)*90%-S95,0)/T$113)</f>
        <v>0</v>
      </c>
      <c r="U95" s="348">
        <f t="shared" ref="U95:U111" si="53">IFERROR(IF(S95=0,0,S95/S40*U40),0)</f>
        <v>0</v>
      </c>
      <c r="V95" s="467"/>
      <c r="W95" s="442">
        <f>S95+T95-U95-V95</f>
        <v>0</v>
      </c>
    </row>
    <row r="96" spans="1:33">
      <c r="A96" s="456">
        <f t="shared" ref="A96:A111" si="54">A69</f>
        <v>3.3399999999999999E-2</v>
      </c>
      <c r="B96" s="95">
        <f>B95+1</f>
        <v>2</v>
      </c>
      <c r="C96" s="446" t="s">
        <v>811</v>
      </c>
      <c r="D96" s="345">
        <f t="shared" si="45"/>
        <v>136.82905700448322</v>
      </c>
      <c r="E96" s="691">
        <f>IF((IFERROR(D96/((D41+E41)*90%),0))&lt;70%,MIN((MAX((D41+E41)*90%-D96,0)),(D41+E41/2)*$A96),MAX((E41+D41)*90%-D96,0)/E$113)</f>
        <v>10.737602123928845</v>
      </c>
      <c r="F96" s="348">
        <f t="shared" si="47"/>
        <v>0</v>
      </c>
      <c r="G96" s="349"/>
      <c r="H96" s="345">
        <f t="shared" ref="H96:H106" si="55">D96+E96-F96-G96</f>
        <v>147.56665912841206</v>
      </c>
      <c r="I96" s="442">
        <f t="shared" ref="I96:I111" si="56">H96</f>
        <v>147.56665912841206</v>
      </c>
      <c r="J96" s="691">
        <f t="shared" si="48"/>
        <v>10.737602123928845</v>
      </c>
      <c r="K96" s="348">
        <f t="shared" si="49"/>
        <v>0</v>
      </c>
      <c r="L96" s="467"/>
      <c r="M96" s="442">
        <f t="shared" ref="M96:M111" si="57">I96+J96-K96-L96</f>
        <v>158.30426125234089</v>
      </c>
      <c r="N96" s="442">
        <f t="shared" ref="N96:N111" si="58">M96</f>
        <v>158.30426125234089</v>
      </c>
      <c r="O96" s="691">
        <f t="shared" si="50"/>
        <v>10.737602123928845</v>
      </c>
      <c r="P96" s="348">
        <f t="shared" si="51"/>
        <v>0</v>
      </c>
      <c r="Q96" s="467"/>
      <c r="R96" s="442">
        <f t="shared" ref="R96:R111" si="59">N96+O96-P96-Q96</f>
        <v>169.04186337626973</v>
      </c>
      <c r="S96" s="442">
        <f t="shared" ref="S96:S111" si="60">R96</f>
        <v>169.04186337626973</v>
      </c>
      <c r="T96" s="691">
        <f t="shared" si="52"/>
        <v>10.737602123928845</v>
      </c>
      <c r="U96" s="348">
        <f t="shared" si="53"/>
        <v>0</v>
      </c>
      <c r="V96" s="467"/>
      <c r="W96" s="442">
        <f t="shared" ref="W96:W111" si="61">S96+T96-U96-V96</f>
        <v>179.77946550019857</v>
      </c>
    </row>
    <row r="97" spans="1:23">
      <c r="A97" s="456">
        <f t="shared" si="54"/>
        <v>5.28E-2</v>
      </c>
      <c r="B97" s="95">
        <f t="shared" ref="B97:B111" si="62">B96+1</f>
        <v>3</v>
      </c>
      <c r="C97" s="446" t="s">
        <v>812</v>
      </c>
      <c r="D97" s="345">
        <f t="shared" si="45"/>
        <v>0</v>
      </c>
      <c r="E97" s="691">
        <f t="shared" si="46"/>
        <v>0</v>
      </c>
      <c r="F97" s="348">
        <f t="shared" si="47"/>
        <v>0</v>
      </c>
      <c r="G97" s="349"/>
      <c r="H97" s="345">
        <f t="shared" si="55"/>
        <v>0</v>
      </c>
      <c r="I97" s="442">
        <f t="shared" si="56"/>
        <v>0</v>
      </c>
      <c r="J97" s="691">
        <f t="shared" si="48"/>
        <v>0</v>
      </c>
      <c r="K97" s="348">
        <f t="shared" si="49"/>
        <v>0</v>
      </c>
      <c r="L97" s="467"/>
      <c r="M97" s="442">
        <f t="shared" si="57"/>
        <v>0</v>
      </c>
      <c r="N97" s="442">
        <f t="shared" si="58"/>
        <v>0</v>
      </c>
      <c r="O97" s="691">
        <f t="shared" si="50"/>
        <v>0</v>
      </c>
      <c r="P97" s="348">
        <f t="shared" si="51"/>
        <v>0</v>
      </c>
      <c r="Q97" s="467"/>
      <c r="R97" s="442">
        <f t="shared" si="59"/>
        <v>0</v>
      </c>
      <c r="S97" s="442">
        <f t="shared" si="60"/>
        <v>0</v>
      </c>
      <c r="T97" s="691">
        <f t="shared" si="52"/>
        <v>0</v>
      </c>
      <c r="U97" s="348">
        <f t="shared" si="53"/>
        <v>0</v>
      </c>
      <c r="V97" s="467"/>
      <c r="W97" s="442">
        <f t="shared" si="61"/>
        <v>0</v>
      </c>
    </row>
    <row r="98" spans="1:23">
      <c r="A98" s="456">
        <f t="shared" si="54"/>
        <v>5.28E-2</v>
      </c>
      <c r="B98" s="95">
        <f t="shared" si="62"/>
        <v>4</v>
      </c>
      <c r="C98" s="446" t="s">
        <v>813</v>
      </c>
      <c r="D98" s="345">
        <f t="shared" si="45"/>
        <v>234.29840259635267</v>
      </c>
      <c r="E98" s="691">
        <f t="shared" si="46"/>
        <v>6.2667223649559407</v>
      </c>
      <c r="F98" s="348">
        <f t="shared" si="47"/>
        <v>0</v>
      </c>
      <c r="G98" s="349"/>
      <c r="H98" s="345">
        <f t="shared" si="55"/>
        <v>240.56512496130861</v>
      </c>
      <c r="I98" s="442">
        <f t="shared" si="56"/>
        <v>240.56512496130861</v>
      </c>
      <c r="J98" s="691">
        <f t="shared" si="48"/>
        <v>6.2667223649559407</v>
      </c>
      <c r="K98" s="348">
        <f t="shared" si="49"/>
        <v>0</v>
      </c>
      <c r="L98" s="467"/>
      <c r="M98" s="442">
        <f t="shared" si="57"/>
        <v>246.83184732626455</v>
      </c>
      <c r="N98" s="442">
        <f t="shared" si="58"/>
        <v>246.83184732626455</v>
      </c>
      <c r="O98" s="691">
        <f t="shared" si="50"/>
        <v>6.2667223649559407</v>
      </c>
      <c r="P98" s="348">
        <f t="shared" si="51"/>
        <v>0</v>
      </c>
      <c r="Q98" s="467"/>
      <c r="R98" s="442">
        <f t="shared" si="59"/>
        <v>253.09856969122049</v>
      </c>
      <c r="S98" s="442">
        <f t="shared" si="60"/>
        <v>253.09856969122049</v>
      </c>
      <c r="T98" s="691">
        <f t="shared" si="52"/>
        <v>6.2667223649559416</v>
      </c>
      <c r="U98" s="348">
        <f t="shared" si="53"/>
        <v>0</v>
      </c>
      <c r="V98" s="467"/>
      <c r="W98" s="442">
        <f t="shared" si="61"/>
        <v>259.36529205617643</v>
      </c>
    </row>
    <row r="99" spans="1:23">
      <c r="A99" s="456">
        <f t="shared" si="54"/>
        <v>3.3399999999999999E-2</v>
      </c>
      <c r="B99" s="95">
        <f t="shared" si="62"/>
        <v>5</v>
      </c>
      <c r="C99" s="446" t="s">
        <v>814</v>
      </c>
      <c r="D99" s="345">
        <f t="shared" si="45"/>
        <v>139.28702782725478</v>
      </c>
      <c r="E99" s="691">
        <f t="shared" si="46"/>
        <v>12.650643271448946</v>
      </c>
      <c r="F99" s="348">
        <f t="shared" si="47"/>
        <v>0</v>
      </c>
      <c r="G99" s="349"/>
      <c r="H99" s="345">
        <f t="shared" si="55"/>
        <v>151.93767109870373</v>
      </c>
      <c r="I99" s="442">
        <f t="shared" si="56"/>
        <v>151.93767109870373</v>
      </c>
      <c r="J99" s="691">
        <f t="shared" si="48"/>
        <v>12.650643271448946</v>
      </c>
      <c r="K99" s="348">
        <f t="shared" si="49"/>
        <v>0</v>
      </c>
      <c r="L99" s="467"/>
      <c r="M99" s="442">
        <f t="shared" si="57"/>
        <v>164.58831437015269</v>
      </c>
      <c r="N99" s="442">
        <f t="shared" si="58"/>
        <v>164.58831437015269</v>
      </c>
      <c r="O99" s="691">
        <f t="shared" si="50"/>
        <v>12.650643271448946</v>
      </c>
      <c r="P99" s="348">
        <f t="shared" si="51"/>
        <v>0</v>
      </c>
      <c r="Q99" s="467"/>
      <c r="R99" s="442">
        <f t="shared" si="59"/>
        <v>177.23895764160164</v>
      </c>
      <c r="S99" s="442">
        <f t="shared" si="60"/>
        <v>177.23895764160164</v>
      </c>
      <c r="T99" s="691">
        <f t="shared" si="52"/>
        <v>12.650643271448946</v>
      </c>
      <c r="U99" s="348">
        <f t="shared" si="53"/>
        <v>0</v>
      </c>
      <c r="V99" s="467"/>
      <c r="W99" s="442">
        <f t="shared" si="61"/>
        <v>189.8896009130506</v>
      </c>
    </row>
    <row r="100" spans="1:23">
      <c r="A100" s="456">
        <f t="shared" si="54"/>
        <v>5.28E-2</v>
      </c>
      <c r="B100" s="95">
        <f t="shared" si="62"/>
        <v>6</v>
      </c>
      <c r="C100" s="446" t="s">
        <v>256</v>
      </c>
      <c r="D100" s="345">
        <f t="shared" si="45"/>
        <v>3762.3810687745663</v>
      </c>
      <c r="E100" s="691">
        <f t="shared" si="46"/>
        <v>117.96593068204128</v>
      </c>
      <c r="F100" s="348">
        <f t="shared" si="47"/>
        <v>0</v>
      </c>
      <c r="G100" s="349"/>
      <c r="H100" s="345">
        <f t="shared" si="55"/>
        <v>3880.3469994566076</v>
      </c>
      <c r="I100" s="442">
        <f t="shared" si="56"/>
        <v>3880.3469994566076</v>
      </c>
      <c r="J100" s="691">
        <f t="shared" si="48"/>
        <v>121.37731700954525</v>
      </c>
      <c r="K100" s="348">
        <f t="shared" si="49"/>
        <v>0</v>
      </c>
      <c r="L100" s="467"/>
      <c r="M100" s="442">
        <f t="shared" si="57"/>
        <v>4001.7243164661527</v>
      </c>
      <c r="N100" s="442">
        <f t="shared" si="58"/>
        <v>4001.7243164661527</v>
      </c>
      <c r="O100" s="691">
        <f t="shared" si="50"/>
        <v>121.37731700954527</v>
      </c>
      <c r="P100" s="348">
        <f t="shared" si="51"/>
        <v>0</v>
      </c>
      <c r="Q100" s="467"/>
      <c r="R100" s="442">
        <f t="shared" si="59"/>
        <v>4123.1016334756978</v>
      </c>
      <c r="S100" s="442">
        <f t="shared" si="60"/>
        <v>4123.1016334756978</v>
      </c>
      <c r="T100" s="691">
        <f t="shared" si="52"/>
        <v>121.37731700954528</v>
      </c>
      <c r="U100" s="348">
        <f t="shared" si="53"/>
        <v>0</v>
      </c>
      <c r="V100" s="467"/>
      <c r="W100" s="442">
        <f t="shared" si="61"/>
        <v>4244.4789504852433</v>
      </c>
    </row>
    <row r="101" spans="1:23">
      <c r="A101" s="456">
        <f t="shared" si="54"/>
        <v>0.18</v>
      </c>
      <c r="B101" s="95">
        <f t="shared" si="62"/>
        <v>7</v>
      </c>
      <c r="C101" s="446" t="s">
        <v>815</v>
      </c>
      <c r="D101" s="345">
        <f t="shared" si="45"/>
        <v>3.9028130894405688</v>
      </c>
      <c r="E101" s="691">
        <f t="shared" si="46"/>
        <v>4.6682201271594177E-2</v>
      </c>
      <c r="F101" s="348">
        <f t="shared" si="47"/>
        <v>0</v>
      </c>
      <c r="G101" s="349"/>
      <c r="H101" s="345">
        <f t="shared" si="55"/>
        <v>3.949495290712163</v>
      </c>
      <c r="I101" s="442">
        <f t="shared" si="56"/>
        <v>3.949495290712163</v>
      </c>
      <c r="J101" s="691">
        <f t="shared" si="48"/>
        <v>4.6682201271594177E-2</v>
      </c>
      <c r="K101" s="348">
        <f t="shared" si="49"/>
        <v>0</v>
      </c>
      <c r="L101" s="467"/>
      <c r="M101" s="442">
        <f t="shared" si="57"/>
        <v>3.9961774919837572</v>
      </c>
      <c r="N101" s="442">
        <f t="shared" si="58"/>
        <v>3.9961774919837572</v>
      </c>
      <c r="O101" s="691">
        <f t="shared" si="50"/>
        <v>4.6682201271594177E-2</v>
      </c>
      <c r="P101" s="348">
        <f t="shared" si="51"/>
        <v>0</v>
      </c>
      <c r="Q101" s="467"/>
      <c r="R101" s="442">
        <f t="shared" si="59"/>
        <v>4.0428596932553518</v>
      </c>
      <c r="S101" s="442">
        <f t="shared" si="60"/>
        <v>4.0428596932553518</v>
      </c>
      <c r="T101" s="691">
        <f t="shared" si="52"/>
        <v>4.6682201271594129E-2</v>
      </c>
      <c r="U101" s="348">
        <f t="shared" si="53"/>
        <v>0</v>
      </c>
      <c r="V101" s="467"/>
      <c r="W101" s="442">
        <f t="shared" si="61"/>
        <v>4.0895418945269455</v>
      </c>
    </row>
    <row r="102" spans="1:23">
      <c r="A102" s="456">
        <f t="shared" si="54"/>
        <v>5.28E-2</v>
      </c>
      <c r="B102" s="95">
        <f t="shared" si="62"/>
        <v>8</v>
      </c>
      <c r="C102" s="446" t="s">
        <v>816</v>
      </c>
      <c r="D102" s="345">
        <f t="shared" si="45"/>
        <v>2.9533921570879869E-2</v>
      </c>
      <c r="E102" s="691">
        <f t="shared" si="46"/>
        <v>5.3698039219781581E-3</v>
      </c>
      <c r="F102" s="348">
        <f t="shared" si="47"/>
        <v>0</v>
      </c>
      <c r="G102" s="349"/>
      <c r="H102" s="345">
        <f t="shared" si="55"/>
        <v>3.4903725492858029E-2</v>
      </c>
      <c r="I102" s="442">
        <f t="shared" si="56"/>
        <v>3.4903725492858029E-2</v>
      </c>
      <c r="J102" s="691">
        <f t="shared" si="48"/>
        <v>5.3698039219781581E-3</v>
      </c>
      <c r="K102" s="348">
        <f t="shared" si="49"/>
        <v>0</v>
      </c>
      <c r="L102" s="467"/>
      <c r="M102" s="442">
        <f t="shared" si="57"/>
        <v>4.0273529414836189E-2</v>
      </c>
      <c r="N102" s="442">
        <f t="shared" si="58"/>
        <v>4.0273529414836189E-2</v>
      </c>
      <c r="O102" s="691">
        <f t="shared" si="50"/>
        <v>5.3698039219781581E-3</v>
      </c>
      <c r="P102" s="348">
        <f t="shared" si="51"/>
        <v>0</v>
      </c>
      <c r="Q102" s="467"/>
      <c r="R102" s="442">
        <f t="shared" si="59"/>
        <v>4.5643333336814348E-2</v>
      </c>
      <c r="S102" s="442">
        <f t="shared" si="60"/>
        <v>4.5643333336814348E-2</v>
      </c>
      <c r="T102" s="691">
        <f t="shared" si="52"/>
        <v>5.3698039219781581E-3</v>
      </c>
      <c r="U102" s="348">
        <f t="shared" si="53"/>
        <v>0</v>
      </c>
      <c r="V102" s="467"/>
      <c r="W102" s="442">
        <f t="shared" si="61"/>
        <v>5.1013137258792508E-2</v>
      </c>
    </row>
    <row r="103" spans="1:23">
      <c r="A103" s="456">
        <f t="shared" si="54"/>
        <v>5.28E-2</v>
      </c>
      <c r="B103" s="95">
        <f t="shared" si="62"/>
        <v>9</v>
      </c>
      <c r="C103" s="446" t="s">
        <v>817</v>
      </c>
      <c r="D103" s="345">
        <f t="shared" si="45"/>
        <v>31.597752499651719</v>
      </c>
      <c r="E103" s="691">
        <f t="shared" si="46"/>
        <v>0.98482773944697966</v>
      </c>
      <c r="F103" s="348">
        <f t="shared" si="47"/>
        <v>0</v>
      </c>
      <c r="G103" s="349"/>
      <c r="H103" s="345">
        <f t="shared" si="55"/>
        <v>32.582580239098696</v>
      </c>
      <c r="I103" s="442">
        <f t="shared" si="56"/>
        <v>32.582580239098696</v>
      </c>
      <c r="J103" s="691">
        <f t="shared" si="48"/>
        <v>0.98482773944697988</v>
      </c>
      <c r="K103" s="348">
        <f t="shared" si="49"/>
        <v>0</v>
      </c>
      <c r="L103" s="467"/>
      <c r="M103" s="442">
        <f t="shared" si="57"/>
        <v>33.567407978545674</v>
      </c>
      <c r="N103" s="442">
        <f t="shared" si="58"/>
        <v>33.567407978545674</v>
      </c>
      <c r="O103" s="691">
        <f t="shared" si="50"/>
        <v>0.9848277394469801</v>
      </c>
      <c r="P103" s="348">
        <f t="shared" si="51"/>
        <v>0</v>
      </c>
      <c r="Q103" s="467"/>
      <c r="R103" s="442">
        <f t="shared" si="59"/>
        <v>34.552235717992652</v>
      </c>
      <c r="S103" s="442">
        <f t="shared" si="60"/>
        <v>34.552235717992652</v>
      </c>
      <c r="T103" s="691">
        <f t="shared" si="52"/>
        <v>0.98482773944698032</v>
      </c>
      <c r="U103" s="348">
        <f t="shared" si="53"/>
        <v>0</v>
      </c>
      <c r="V103" s="467"/>
      <c r="W103" s="442">
        <f t="shared" si="61"/>
        <v>35.537063457439629</v>
      </c>
    </row>
    <row r="104" spans="1:23">
      <c r="A104" s="456">
        <f t="shared" si="54"/>
        <v>9.5000000000000001E-2</v>
      </c>
      <c r="B104" s="95">
        <f t="shared" si="62"/>
        <v>10</v>
      </c>
      <c r="C104" s="446" t="s">
        <v>259</v>
      </c>
      <c r="D104" s="345">
        <f t="shared" si="45"/>
        <v>3.0210070129745779</v>
      </c>
      <c r="E104" s="691">
        <f t="shared" si="46"/>
        <v>0.52260453193657286</v>
      </c>
      <c r="F104" s="348">
        <f t="shared" si="47"/>
        <v>0</v>
      </c>
      <c r="G104" s="349"/>
      <c r="H104" s="345">
        <f t="shared" si="55"/>
        <v>3.5436115449111507</v>
      </c>
      <c r="I104" s="442">
        <f t="shared" si="56"/>
        <v>3.5436115449111507</v>
      </c>
      <c r="J104" s="691">
        <f t="shared" si="48"/>
        <v>0.12564345029735532</v>
      </c>
      <c r="K104" s="348">
        <f t="shared" si="49"/>
        <v>0</v>
      </c>
      <c r="L104" s="467"/>
      <c r="M104" s="442">
        <f t="shared" si="57"/>
        <v>3.6692549952085058</v>
      </c>
      <c r="N104" s="442">
        <f t="shared" si="58"/>
        <v>3.6692549952085058</v>
      </c>
      <c r="O104" s="691">
        <f t="shared" si="50"/>
        <v>0.12564345029735532</v>
      </c>
      <c r="P104" s="348">
        <f t="shared" si="51"/>
        <v>0</v>
      </c>
      <c r="Q104" s="467"/>
      <c r="R104" s="442">
        <f t="shared" si="59"/>
        <v>3.794898445505861</v>
      </c>
      <c r="S104" s="442">
        <f t="shared" si="60"/>
        <v>3.794898445505861</v>
      </c>
      <c r="T104" s="691">
        <f t="shared" si="52"/>
        <v>0.12564345029735535</v>
      </c>
      <c r="U104" s="348">
        <f t="shared" si="53"/>
        <v>0</v>
      </c>
      <c r="V104" s="467"/>
      <c r="W104" s="442">
        <f t="shared" si="61"/>
        <v>3.9205418958032165</v>
      </c>
    </row>
    <row r="105" spans="1:23">
      <c r="A105" s="456">
        <f t="shared" si="54"/>
        <v>6.3299999999999995E-2</v>
      </c>
      <c r="B105" s="95">
        <f t="shared" si="62"/>
        <v>11</v>
      </c>
      <c r="C105" s="446" t="s">
        <v>260</v>
      </c>
      <c r="D105" s="345">
        <f t="shared" si="45"/>
        <v>1.6641925379096136</v>
      </c>
      <c r="E105" s="691">
        <f t="shared" si="46"/>
        <v>0.19224767500591577</v>
      </c>
      <c r="F105" s="348">
        <f t="shared" si="47"/>
        <v>0</v>
      </c>
      <c r="G105" s="349"/>
      <c r="H105" s="345">
        <f t="shared" si="55"/>
        <v>1.8564402129155293</v>
      </c>
      <c r="I105" s="442">
        <f t="shared" si="56"/>
        <v>1.8564402129155293</v>
      </c>
      <c r="J105" s="691">
        <f t="shared" si="48"/>
        <v>0.19224767500591577</v>
      </c>
      <c r="K105" s="348">
        <f t="shared" si="49"/>
        <v>0</v>
      </c>
      <c r="L105" s="467"/>
      <c r="M105" s="442">
        <f t="shared" si="57"/>
        <v>2.048687887921445</v>
      </c>
      <c r="N105" s="442">
        <f t="shared" si="58"/>
        <v>2.048687887921445</v>
      </c>
      <c r="O105" s="691">
        <f t="shared" si="50"/>
        <v>6.7117591731277279E-2</v>
      </c>
      <c r="P105" s="348">
        <f t="shared" si="51"/>
        <v>0</v>
      </c>
      <c r="Q105" s="467"/>
      <c r="R105" s="442">
        <f t="shared" si="59"/>
        <v>2.1158054796527224</v>
      </c>
      <c r="S105" s="442">
        <f t="shared" si="60"/>
        <v>2.1158054796527224</v>
      </c>
      <c r="T105" s="691">
        <f t="shared" si="52"/>
        <v>6.7117591731277265E-2</v>
      </c>
      <c r="U105" s="348">
        <f t="shared" si="53"/>
        <v>0</v>
      </c>
      <c r="V105" s="467"/>
      <c r="W105" s="442">
        <f t="shared" si="61"/>
        <v>2.1829230713839998</v>
      </c>
    </row>
    <row r="106" spans="1:23">
      <c r="A106" s="456">
        <f t="shared" si="54"/>
        <v>6.3299999999999995E-2</v>
      </c>
      <c r="B106" s="95">
        <f t="shared" si="62"/>
        <v>12</v>
      </c>
      <c r="C106" s="446" t="s">
        <v>261</v>
      </c>
      <c r="D106" s="345">
        <f t="shared" si="45"/>
        <v>0.44521833108585185</v>
      </c>
      <c r="E106" s="691">
        <f t="shared" si="46"/>
        <v>6.9050002701972368E-2</v>
      </c>
      <c r="F106" s="348">
        <f t="shared" si="47"/>
        <v>0</v>
      </c>
      <c r="G106" s="349"/>
      <c r="H106" s="345">
        <f t="shared" si="55"/>
        <v>0.51426833378782422</v>
      </c>
      <c r="I106" s="442">
        <f t="shared" si="56"/>
        <v>0.51426833378782422</v>
      </c>
      <c r="J106" s="691">
        <f t="shared" si="48"/>
        <v>6.9050002701972368E-2</v>
      </c>
      <c r="K106" s="348">
        <f t="shared" si="49"/>
        <v>0</v>
      </c>
      <c r="L106" s="467"/>
      <c r="M106" s="442">
        <f t="shared" si="57"/>
        <v>0.58331833648979659</v>
      </c>
      <c r="N106" s="442">
        <f t="shared" si="58"/>
        <v>0.58331833648979659</v>
      </c>
      <c r="O106" s="691">
        <f t="shared" si="50"/>
        <v>6.9050002701972368E-2</v>
      </c>
      <c r="P106" s="348">
        <f t="shared" si="51"/>
        <v>0</v>
      </c>
      <c r="Q106" s="467"/>
      <c r="R106" s="442">
        <f t="shared" si="59"/>
        <v>0.65236833919176895</v>
      </c>
      <c r="S106" s="442">
        <f t="shared" si="60"/>
        <v>0.65236833919176895</v>
      </c>
      <c r="T106" s="691">
        <f t="shared" si="52"/>
        <v>6.9050002701972368E-2</v>
      </c>
      <c r="U106" s="348">
        <f t="shared" si="53"/>
        <v>0</v>
      </c>
      <c r="V106" s="467"/>
      <c r="W106" s="442">
        <f t="shared" si="61"/>
        <v>0.72141834189374132</v>
      </c>
    </row>
    <row r="107" spans="1:23">
      <c r="A107" s="456">
        <f t="shared" si="54"/>
        <v>6.3299999999999995E-2</v>
      </c>
      <c r="B107" s="95">
        <f t="shared" si="62"/>
        <v>13</v>
      </c>
      <c r="C107" s="466" t="s">
        <v>865</v>
      </c>
      <c r="D107" s="345">
        <f t="shared" si="45"/>
        <v>0</v>
      </c>
      <c r="E107" s="691">
        <f t="shared" si="46"/>
        <v>0</v>
      </c>
      <c r="F107" s="348">
        <f t="shared" si="47"/>
        <v>0</v>
      </c>
      <c r="G107" s="349"/>
      <c r="H107" s="345">
        <f t="shared" ref="H107:H111" si="63">D107+E107-F107-G107</f>
        <v>0</v>
      </c>
      <c r="I107" s="442">
        <f t="shared" si="56"/>
        <v>0</v>
      </c>
      <c r="J107" s="691">
        <f t="shared" si="48"/>
        <v>0</v>
      </c>
      <c r="K107" s="348">
        <f t="shared" si="49"/>
        <v>0</v>
      </c>
      <c r="L107" s="467"/>
      <c r="M107" s="442">
        <f t="shared" si="57"/>
        <v>0</v>
      </c>
      <c r="N107" s="442">
        <f t="shared" si="58"/>
        <v>0</v>
      </c>
      <c r="O107" s="691">
        <f t="shared" si="50"/>
        <v>0</v>
      </c>
      <c r="P107" s="348">
        <f t="shared" si="51"/>
        <v>0</v>
      </c>
      <c r="Q107" s="467"/>
      <c r="R107" s="442">
        <f t="shared" si="59"/>
        <v>0</v>
      </c>
      <c r="S107" s="442">
        <f t="shared" si="60"/>
        <v>0</v>
      </c>
      <c r="T107" s="691">
        <f t="shared" si="52"/>
        <v>0</v>
      </c>
      <c r="U107" s="348">
        <f t="shared" si="53"/>
        <v>0</v>
      </c>
      <c r="V107" s="467"/>
      <c r="W107" s="442">
        <f t="shared" si="61"/>
        <v>0</v>
      </c>
    </row>
    <row r="108" spans="1:23">
      <c r="A108" s="456">
        <f t="shared" si="54"/>
        <v>0.15</v>
      </c>
      <c r="B108" s="95">
        <f t="shared" si="62"/>
        <v>14</v>
      </c>
      <c r="C108" s="466" t="s">
        <v>866</v>
      </c>
      <c r="D108" s="345">
        <f t="shared" si="45"/>
        <v>1.0817665499999999E-2</v>
      </c>
      <c r="E108" s="691">
        <f>IF((IFERROR(D108/((D53+E53)*100%),0))&lt;70%,MIN((MAX((D53+E53)*100%-D108,0)),(D53+E53/2)*$A108),MAX((E53+D53)*100%-D108,0)/E$113)</f>
        <v>0</v>
      </c>
      <c r="F108" s="348">
        <f t="shared" si="47"/>
        <v>0</v>
      </c>
      <c r="G108" s="349"/>
      <c r="H108" s="345">
        <f t="shared" si="63"/>
        <v>1.0817665499999999E-2</v>
      </c>
      <c r="I108" s="442">
        <f t="shared" si="56"/>
        <v>1.0817665499999999E-2</v>
      </c>
      <c r="J108" s="691">
        <f>IF((IFERROR(I108/((I53+J53)*100%),0))&lt;70%,MIN((MAX((I53+J53)*100%-I108,0)),(I53+J53/2)*$A108),MAX((J53+I53)*100%-I108,0)/J$113)</f>
        <v>0</v>
      </c>
      <c r="K108" s="348">
        <f t="shared" si="49"/>
        <v>0</v>
      </c>
      <c r="L108" s="467"/>
      <c r="M108" s="442">
        <f t="shared" si="57"/>
        <v>1.0817665499999999E-2</v>
      </c>
      <c r="N108" s="442">
        <f t="shared" si="58"/>
        <v>1.0817665499999999E-2</v>
      </c>
      <c r="O108" s="691">
        <f>IF((IFERROR(N108/((N53+O53)*100%),0))&lt;70%,MIN((MAX((N53+O53)*100%-N108,0)),(N53+O53/2)*$A108),MAX((O53+N53)*100%-N108,0)/O$113)</f>
        <v>0</v>
      </c>
      <c r="P108" s="348">
        <f t="shared" si="51"/>
        <v>0</v>
      </c>
      <c r="Q108" s="467"/>
      <c r="R108" s="442">
        <f t="shared" si="59"/>
        <v>1.0817665499999999E-2</v>
      </c>
      <c r="S108" s="442">
        <f t="shared" si="60"/>
        <v>1.0817665499999999E-2</v>
      </c>
      <c r="T108" s="691">
        <f>IF((IFERROR(S108/((S53+T53)*100%),0))&lt;70%,MIN((MAX((S53+T53)*100%-S108,0)),(S53+T53/2)*$A108),MAX((T53+S53)*100%-S108,0)/T$113)</f>
        <v>0</v>
      </c>
      <c r="U108" s="348">
        <f t="shared" si="53"/>
        <v>0</v>
      </c>
      <c r="V108" s="467"/>
      <c r="W108" s="442">
        <f t="shared" si="61"/>
        <v>1.0817665499999999E-2</v>
      </c>
    </row>
    <row r="109" spans="1:23">
      <c r="A109" s="456">
        <f t="shared" si="54"/>
        <v>0.3</v>
      </c>
      <c r="B109" s="95">
        <f t="shared" si="62"/>
        <v>15</v>
      </c>
      <c r="C109" s="466" t="s">
        <v>867</v>
      </c>
      <c r="D109" s="345">
        <f t="shared" si="45"/>
        <v>0</v>
      </c>
      <c r="E109" s="691">
        <f>IF((IFERROR(D109/((D54+E54)*100%),0))&lt;70%,MIN((MAX((D54+E54)*100%-D109,0)),(D54+E54/2)*$A109),MAX((E54+D54)*100%-D109,0)/E$113)</f>
        <v>0</v>
      </c>
      <c r="F109" s="348">
        <f t="shared" si="47"/>
        <v>0</v>
      </c>
      <c r="G109" s="349"/>
      <c r="H109" s="345">
        <f t="shared" si="63"/>
        <v>0</v>
      </c>
      <c r="I109" s="442">
        <f t="shared" si="56"/>
        <v>0</v>
      </c>
      <c r="J109" s="691">
        <f>IF((IFERROR(I109/((I54+J54)*100%),0))&lt;70%,MIN((MAX((I54+J54)*100%-I109,0)),(I54+J54/2)*$A109),MAX((J54+I54)*100%-I109,0)/J$113)</f>
        <v>0</v>
      </c>
      <c r="K109" s="348">
        <f t="shared" si="49"/>
        <v>0</v>
      </c>
      <c r="L109" s="467"/>
      <c r="M109" s="442">
        <f t="shared" si="57"/>
        <v>0</v>
      </c>
      <c r="N109" s="442">
        <f t="shared" si="58"/>
        <v>0</v>
      </c>
      <c r="O109" s="691">
        <f>IF((IFERROR(N109/((N54+O54)*100%),0))&lt;70%,MIN((MAX((N54+O54)*100%-N109,0)),(N54+O54/2)*$A109),MAX((O54+N54)*100%-N109,0)/O$113)</f>
        <v>0</v>
      </c>
      <c r="P109" s="348">
        <f t="shared" si="51"/>
        <v>0</v>
      </c>
      <c r="Q109" s="467"/>
      <c r="R109" s="442">
        <f t="shared" si="59"/>
        <v>0</v>
      </c>
      <c r="S109" s="442">
        <f t="shared" si="60"/>
        <v>0</v>
      </c>
      <c r="T109" s="691">
        <f>IF((IFERROR(S109/((S54+T54)*100%),0))&lt;70%,MIN((MAX((S54+T54)*100%-S109,0)),(S54+T54/2)*$A109),MAX((T54+S54)*100%-S109,0)/T$113)</f>
        <v>0</v>
      </c>
      <c r="U109" s="348">
        <f t="shared" si="53"/>
        <v>0</v>
      </c>
      <c r="V109" s="467"/>
      <c r="W109" s="442">
        <f t="shared" si="61"/>
        <v>0</v>
      </c>
    </row>
    <row r="110" spans="1:23">
      <c r="A110" s="456">
        <f t="shared" si="54"/>
        <v>0.3</v>
      </c>
      <c r="B110" s="95">
        <f t="shared" si="62"/>
        <v>16</v>
      </c>
      <c r="C110" s="466" t="s">
        <v>818</v>
      </c>
      <c r="D110" s="345">
        <f t="shared" si="45"/>
        <v>0</v>
      </c>
      <c r="E110" s="691">
        <f>IF((IFERROR(D110/((D55+E55)*100%),0))&lt;70%,MIN((MAX((D55+E55)*100%-D110,0)),(D55+E55/2)*$A110),MAX((E55+D55)*100%-D110,0)/E$113)</f>
        <v>0</v>
      </c>
      <c r="F110" s="348">
        <f t="shared" si="47"/>
        <v>0</v>
      </c>
      <c r="G110" s="349"/>
      <c r="H110" s="345">
        <f t="shared" si="63"/>
        <v>0</v>
      </c>
      <c r="I110" s="442">
        <f t="shared" si="56"/>
        <v>0</v>
      </c>
      <c r="J110" s="691">
        <f>IF((IFERROR(I110/((I55+J55)*100%),0))&lt;70%,MIN((MAX((I55+J55)*100%-I110,0)),(I55+J55/2)*$A110),MAX((J55+I55)*100%-I110,0)/J$113)</f>
        <v>0</v>
      </c>
      <c r="K110" s="348">
        <f t="shared" si="49"/>
        <v>0</v>
      </c>
      <c r="L110" s="467"/>
      <c r="M110" s="442">
        <f t="shared" si="57"/>
        <v>0</v>
      </c>
      <c r="N110" s="442">
        <f t="shared" si="58"/>
        <v>0</v>
      </c>
      <c r="O110" s="691">
        <f>IF((IFERROR(N110/((N55+O55)*100%),0))&lt;70%,MIN((MAX((N55+O55)*100%-N110,0)),(N55+O55/2)*$A110),MAX((O55+N55)*100%-N110,0)/O$113)</f>
        <v>0</v>
      </c>
      <c r="P110" s="348">
        <f t="shared" si="51"/>
        <v>0</v>
      </c>
      <c r="Q110" s="467"/>
      <c r="R110" s="442">
        <f t="shared" si="59"/>
        <v>0</v>
      </c>
      <c r="S110" s="442">
        <f t="shared" si="60"/>
        <v>0</v>
      </c>
      <c r="T110" s="691">
        <f>IF((IFERROR(S110/((S55+T55)*100%),0))&lt;70%,MIN((MAX((S55+T55)*100%-S110,0)),(S55+T55/2)*$A110),MAX((T55+S55)*100%-S110,0)/T$113)</f>
        <v>0</v>
      </c>
      <c r="U110" s="348">
        <f t="shared" si="53"/>
        <v>0</v>
      </c>
      <c r="V110" s="467"/>
      <c r="W110" s="442">
        <f t="shared" si="61"/>
        <v>0</v>
      </c>
    </row>
    <row r="111" spans="1:23">
      <c r="A111" s="456">
        <f t="shared" si="54"/>
        <v>3.3399999999999999E-2</v>
      </c>
      <c r="B111" s="95">
        <f t="shared" si="62"/>
        <v>17</v>
      </c>
      <c r="C111" s="466" t="s">
        <v>868</v>
      </c>
      <c r="D111" s="345">
        <f t="shared" si="45"/>
        <v>0</v>
      </c>
      <c r="E111" s="691">
        <f t="shared" si="46"/>
        <v>0</v>
      </c>
      <c r="F111" s="348">
        <f t="shared" si="47"/>
        <v>0</v>
      </c>
      <c r="G111" s="349"/>
      <c r="H111" s="345">
        <f t="shared" si="63"/>
        <v>0</v>
      </c>
      <c r="I111" s="442">
        <f t="shared" si="56"/>
        <v>0</v>
      </c>
      <c r="J111" s="691">
        <f t="shared" ref="J111" si="64">IF((IFERROR(I111/((I56+J56)*90%),0))&lt;70%,MIN((MAX((I56+J56)*90%-I111,0)),(I56+J56/2)*$A111),MAX((J56+I56)*90%-I111,0)/J$113)</f>
        <v>0</v>
      </c>
      <c r="K111" s="348">
        <f t="shared" si="49"/>
        <v>0</v>
      </c>
      <c r="L111" s="467"/>
      <c r="M111" s="442">
        <f t="shared" si="57"/>
        <v>0</v>
      </c>
      <c r="N111" s="442">
        <f t="shared" si="58"/>
        <v>0</v>
      </c>
      <c r="O111" s="691">
        <f t="shared" ref="O111" si="65">IF((IFERROR(N111/((N56+O56)*90%),0))&lt;70%,MIN((MAX((N56+O56)*90%-N111,0)),(N56+O56/2)*$A111),MAX((O56+N56)*90%-N111,0)/O$113)</f>
        <v>0</v>
      </c>
      <c r="P111" s="348">
        <f t="shared" si="51"/>
        <v>0</v>
      </c>
      <c r="Q111" s="467"/>
      <c r="R111" s="442">
        <f t="shared" si="59"/>
        <v>0</v>
      </c>
      <c r="S111" s="442">
        <f t="shared" si="60"/>
        <v>0</v>
      </c>
      <c r="T111" s="691">
        <f t="shared" ref="T111" si="66">IF((IFERROR(S111/((S56+T56)*90%),0))&lt;70%,MIN((MAX((S56+T56)*90%-S111,0)),(S56+T56/2)*$A111),MAX((T56+S56)*90%-S111,0)/T$113)</f>
        <v>0</v>
      </c>
      <c r="U111" s="348">
        <f t="shared" si="53"/>
        <v>0</v>
      </c>
      <c r="V111" s="467"/>
      <c r="W111" s="442">
        <f t="shared" si="61"/>
        <v>0</v>
      </c>
    </row>
    <row r="112" spans="1:23" ht="16">
      <c r="B112" s="83"/>
      <c r="C112" s="97" t="s">
        <v>272</v>
      </c>
      <c r="D112" s="347">
        <f t="shared" ref="D112:W112" si="67">SUM(D95:D111)</f>
        <v>4313.4668912607904</v>
      </c>
      <c r="E112" s="347">
        <f t="shared" si="67"/>
        <v>149.44168039666002</v>
      </c>
      <c r="F112" s="347">
        <f t="shared" si="67"/>
        <v>0</v>
      </c>
      <c r="G112" s="347">
        <f t="shared" si="67"/>
        <v>0</v>
      </c>
      <c r="H112" s="347">
        <f t="shared" si="67"/>
        <v>4462.9085716574518</v>
      </c>
      <c r="I112" s="347">
        <f t="shared" si="67"/>
        <v>4462.9085716574518</v>
      </c>
      <c r="J112" s="347">
        <f t="shared" si="67"/>
        <v>152.45610564252479</v>
      </c>
      <c r="K112" s="347">
        <f t="shared" si="67"/>
        <v>0</v>
      </c>
      <c r="L112" s="347">
        <f t="shared" si="67"/>
        <v>0</v>
      </c>
      <c r="M112" s="347">
        <f t="shared" si="67"/>
        <v>4615.3646772999746</v>
      </c>
      <c r="N112" s="347">
        <f t="shared" si="67"/>
        <v>4615.3646772999746</v>
      </c>
      <c r="O112" s="347">
        <f t="shared" si="67"/>
        <v>152.33097555925019</v>
      </c>
      <c r="P112" s="347">
        <f t="shared" si="67"/>
        <v>0</v>
      </c>
      <c r="Q112" s="347">
        <f t="shared" si="67"/>
        <v>0</v>
      </c>
      <c r="R112" s="347">
        <f t="shared" si="67"/>
        <v>4767.6956528592245</v>
      </c>
      <c r="S112" s="347">
        <f t="shared" si="67"/>
        <v>4767.6956528592245</v>
      </c>
      <c r="T112" s="347">
        <f t="shared" si="67"/>
        <v>152.33097555925022</v>
      </c>
      <c r="U112" s="347">
        <f t="shared" si="67"/>
        <v>0</v>
      </c>
      <c r="V112" s="347">
        <f t="shared" si="67"/>
        <v>0</v>
      </c>
      <c r="W112" s="347">
        <f t="shared" si="67"/>
        <v>4920.0266284184745</v>
      </c>
    </row>
    <row r="113" spans="2:23" ht="16">
      <c r="B113" s="259"/>
      <c r="C113" s="261"/>
      <c r="D113" s="481"/>
      <c r="E113" s="480">
        <f>T86-1</f>
        <v>12.201369863013699</v>
      </c>
      <c r="F113" s="481"/>
      <c r="G113" s="481"/>
      <c r="H113" s="481"/>
      <c r="J113" s="480">
        <f>E113-1</f>
        <v>11.201369863013699</v>
      </c>
      <c r="O113" s="480">
        <f>J113-1</f>
        <v>10.201369863013699</v>
      </c>
      <c r="T113" s="480">
        <f>O113-1</f>
        <v>9.2013698630136993</v>
      </c>
    </row>
    <row r="114" spans="2:23">
      <c r="B114" s="1"/>
      <c r="C114" s="1"/>
      <c r="D114" s="1"/>
      <c r="E114" s="1"/>
      <c r="F114" s="1"/>
      <c r="G114" s="1"/>
      <c r="H114" s="1"/>
      <c r="I114" s="1"/>
      <c r="J114" s="1"/>
      <c r="K114" s="1"/>
      <c r="L114" s="1"/>
      <c r="M114" s="1"/>
      <c r="N114" s="1"/>
      <c r="O114" s="1"/>
      <c r="P114" s="1"/>
      <c r="Q114" s="1"/>
      <c r="R114" s="1"/>
    </row>
    <row r="115" spans="2:23">
      <c r="B115" s="364" t="s">
        <v>342</v>
      </c>
      <c r="C115" s="1"/>
      <c r="D115" s="1"/>
      <c r="E115" s="1"/>
      <c r="F115" s="1"/>
      <c r="G115" s="1"/>
      <c r="H115" s="1"/>
      <c r="I115" s="1"/>
      <c r="J115" s="1"/>
      <c r="K115" s="1"/>
      <c r="L115" s="1"/>
      <c r="M115" s="1"/>
      <c r="N115" s="1"/>
      <c r="O115" s="1"/>
      <c r="P115" s="1"/>
      <c r="Q115" s="1"/>
      <c r="R115" s="1"/>
    </row>
    <row r="116" spans="2:23">
      <c r="B116" s="364"/>
      <c r="C116" s="1"/>
      <c r="D116" s="1"/>
      <c r="E116" s="1"/>
      <c r="F116" s="1"/>
      <c r="G116" s="1"/>
      <c r="H116" s="1"/>
      <c r="I116" s="1"/>
      <c r="J116" s="1"/>
      <c r="K116" s="1"/>
      <c r="L116" s="1"/>
      <c r="M116" s="1"/>
      <c r="N116" s="1"/>
      <c r="O116" s="1"/>
      <c r="P116" s="1"/>
      <c r="Q116" s="1"/>
      <c r="R116" s="1"/>
    </row>
    <row r="117" spans="2:23">
      <c r="B117" s="1"/>
      <c r="C117" s="1"/>
      <c r="D117" s="8"/>
      <c r="E117" s="8"/>
      <c r="F117" s="8"/>
      <c r="G117" s="8"/>
      <c r="H117" s="8"/>
      <c r="I117" s="1"/>
      <c r="J117" s="44"/>
      <c r="K117" s="1"/>
      <c r="L117" s="1"/>
      <c r="M117" s="256" t="s">
        <v>10</v>
      </c>
      <c r="O117" s="1"/>
      <c r="P117" s="1"/>
      <c r="Q117" s="1"/>
    </row>
    <row r="118" spans="2:23" ht="15" customHeight="1">
      <c r="B118" s="1719" t="s">
        <v>341</v>
      </c>
      <c r="C118" s="1719" t="s">
        <v>37</v>
      </c>
      <c r="D118" s="1836" t="s">
        <v>509</v>
      </c>
      <c r="E118" s="1837"/>
      <c r="F118" s="1837"/>
      <c r="G118" s="1837"/>
      <c r="H118" s="1838"/>
      <c r="I118" s="1839" t="s">
        <v>510</v>
      </c>
      <c r="J118" s="1839"/>
      <c r="K118" s="1839"/>
      <c r="L118" s="1839"/>
      <c r="M118" s="1839"/>
      <c r="N118" s="1835" t="s">
        <v>511</v>
      </c>
      <c r="O118" s="1835"/>
      <c r="P118" s="1835"/>
      <c r="Q118" s="1835"/>
      <c r="R118" s="1835"/>
      <c r="S118" s="1835" t="s">
        <v>947</v>
      </c>
      <c r="T118" s="1835"/>
      <c r="U118" s="1835"/>
      <c r="V118" s="1835"/>
      <c r="W118" s="1835"/>
    </row>
    <row r="119" spans="2:23">
      <c r="B119" s="1719"/>
      <c r="C119" s="1719"/>
      <c r="D119" s="1841" t="s">
        <v>7</v>
      </c>
      <c r="E119" s="1842"/>
      <c r="F119" s="1842"/>
      <c r="G119" s="1842"/>
      <c r="H119" s="1842"/>
      <c r="I119" s="1841" t="s">
        <v>7</v>
      </c>
      <c r="J119" s="1842"/>
      <c r="K119" s="1842"/>
      <c r="L119" s="1842"/>
      <c r="M119" s="1842"/>
      <c r="N119" s="1839" t="s">
        <v>12</v>
      </c>
      <c r="O119" s="1840"/>
      <c r="P119" s="1840"/>
      <c r="Q119" s="1840"/>
      <c r="R119" s="1840"/>
      <c r="S119" s="1839" t="s">
        <v>21</v>
      </c>
      <c r="T119" s="1840"/>
      <c r="U119" s="1840"/>
      <c r="V119" s="1840"/>
      <c r="W119" s="1840"/>
    </row>
    <row r="120" spans="2:23" ht="42">
      <c r="B120" s="1719"/>
      <c r="C120" s="1719"/>
      <c r="D120" s="365" t="s">
        <v>268</v>
      </c>
      <c r="E120" s="365" t="s">
        <v>269</v>
      </c>
      <c r="F120" s="260" t="s">
        <v>275</v>
      </c>
      <c r="G120" s="363" t="s">
        <v>555</v>
      </c>
      <c r="H120" s="365" t="s">
        <v>271</v>
      </c>
      <c r="I120" s="701" t="s">
        <v>268</v>
      </c>
      <c r="J120" s="701" t="s">
        <v>269</v>
      </c>
      <c r="K120" s="260" t="s">
        <v>275</v>
      </c>
      <c r="L120" s="697" t="s">
        <v>555</v>
      </c>
      <c r="M120" s="701" t="s">
        <v>271</v>
      </c>
      <c r="N120" s="365" t="s">
        <v>268</v>
      </c>
      <c r="O120" s="365" t="s">
        <v>269</v>
      </c>
      <c r="P120" s="260" t="s">
        <v>275</v>
      </c>
      <c r="Q120" s="363" t="s">
        <v>555</v>
      </c>
      <c r="R120" s="365" t="s">
        <v>271</v>
      </c>
      <c r="S120" s="365" t="s">
        <v>268</v>
      </c>
      <c r="T120" s="365" t="s">
        <v>269</v>
      </c>
      <c r="U120" s="260" t="s">
        <v>275</v>
      </c>
      <c r="V120" s="363" t="s">
        <v>555</v>
      </c>
      <c r="W120" s="365" t="s">
        <v>271</v>
      </c>
    </row>
    <row r="121" spans="2:23" ht="28">
      <c r="B121" s="257"/>
      <c r="C121" s="257"/>
      <c r="D121" s="257" t="s">
        <v>81</v>
      </c>
      <c r="E121" s="257" t="s">
        <v>82</v>
      </c>
      <c r="F121" s="257" t="s">
        <v>462</v>
      </c>
      <c r="G121" s="257" t="s">
        <v>392</v>
      </c>
      <c r="H121" s="257" t="s">
        <v>556</v>
      </c>
      <c r="I121" s="257" t="s">
        <v>410</v>
      </c>
      <c r="J121" s="257" t="s">
        <v>512</v>
      </c>
      <c r="K121" s="257" t="s">
        <v>411</v>
      </c>
      <c r="L121" s="257" t="s">
        <v>412</v>
      </c>
      <c r="M121" s="257" t="s">
        <v>621</v>
      </c>
      <c r="N121" s="257" t="s">
        <v>563</v>
      </c>
      <c r="O121" s="257" t="s">
        <v>564</v>
      </c>
      <c r="P121" s="257" t="s">
        <v>565</v>
      </c>
      <c r="Q121" s="257" t="s">
        <v>624</v>
      </c>
      <c r="R121" s="257" t="s">
        <v>625</v>
      </c>
      <c r="S121" s="257" t="s">
        <v>626</v>
      </c>
      <c r="T121" s="257" t="s">
        <v>627</v>
      </c>
      <c r="U121" s="257" t="s">
        <v>628</v>
      </c>
      <c r="V121" s="257" t="s">
        <v>629</v>
      </c>
      <c r="W121" s="257" t="s">
        <v>630</v>
      </c>
    </row>
    <row r="122" spans="2:23">
      <c r="B122" s="95">
        <v>1</v>
      </c>
      <c r="C122" s="446" t="s">
        <v>810</v>
      </c>
      <c r="D122" s="348">
        <f t="shared" ref="D122:G133" si="68">D14-D68</f>
        <v>12.275</v>
      </c>
      <c r="E122" s="348">
        <f t="shared" si="68"/>
        <v>0</v>
      </c>
      <c r="F122" s="348">
        <f t="shared" si="68"/>
        <v>0</v>
      </c>
      <c r="G122" s="348">
        <f t="shared" si="68"/>
        <v>0</v>
      </c>
      <c r="H122" s="348">
        <f>D122+E122-F122-G122</f>
        <v>12.275</v>
      </c>
      <c r="I122" s="348">
        <f t="shared" ref="I122:L133" si="69">I14-I68</f>
        <v>12.275</v>
      </c>
      <c r="J122" s="348">
        <f t="shared" si="69"/>
        <v>0</v>
      </c>
      <c r="K122" s="348">
        <f t="shared" si="69"/>
        <v>0</v>
      </c>
      <c r="L122" s="348">
        <f t="shared" si="69"/>
        <v>0</v>
      </c>
      <c r="M122" s="345">
        <f>I122+J122-K122-L122</f>
        <v>12.275</v>
      </c>
      <c r="N122" s="348">
        <f t="shared" ref="N122:Q138" si="70">N14-N68</f>
        <v>12.275</v>
      </c>
      <c r="O122" s="348">
        <f t="shared" si="70"/>
        <v>0</v>
      </c>
      <c r="P122" s="348">
        <f t="shared" si="70"/>
        <v>0</v>
      </c>
      <c r="Q122" s="348">
        <f t="shared" si="70"/>
        <v>0</v>
      </c>
      <c r="R122" s="348">
        <f>N122+O122-P122-Q122</f>
        <v>12.275</v>
      </c>
      <c r="S122" s="348">
        <f t="shared" ref="S122:V138" si="71">S14-S68</f>
        <v>12.275</v>
      </c>
      <c r="T122" s="348">
        <f t="shared" si="71"/>
        <v>0</v>
      </c>
      <c r="U122" s="348">
        <f t="shared" si="71"/>
        <v>0</v>
      </c>
      <c r="V122" s="348">
        <f t="shared" si="71"/>
        <v>0</v>
      </c>
      <c r="W122" s="345">
        <f>S122+T122-U122-V122</f>
        <v>12.275</v>
      </c>
    </row>
    <row r="123" spans="2:23">
      <c r="B123" s="95">
        <f>B122+1</f>
        <v>2</v>
      </c>
      <c r="C123" s="446" t="s">
        <v>811</v>
      </c>
      <c r="D123" s="348">
        <f t="shared" si="68"/>
        <v>227.60644502203587</v>
      </c>
      <c r="E123" s="348">
        <f t="shared" si="68"/>
        <v>-10.737602123928845</v>
      </c>
      <c r="F123" s="348">
        <f t="shared" si="68"/>
        <v>0</v>
      </c>
      <c r="G123" s="348">
        <f t="shared" si="68"/>
        <v>0</v>
      </c>
      <c r="H123" s="348">
        <f t="shared" ref="H123:H133" si="72">D123+E123-F123-G123</f>
        <v>216.86884289810703</v>
      </c>
      <c r="I123" s="348">
        <f t="shared" si="69"/>
        <v>216.86884289810703</v>
      </c>
      <c r="J123" s="348">
        <f t="shared" si="69"/>
        <v>-10.737602123928845</v>
      </c>
      <c r="K123" s="348">
        <f t="shared" si="69"/>
        <v>0</v>
      </c>
      <c r="L123" s="348">
        <f t="shared" si="69"/>
        <v>0</v>
      </c>
      <c r="M123" s="345">
        <f t="shared" ref="M123:M133" si="73">I123+J123-K123-L123</f>
        <v>206.1312407741782</v>
      </c>
      <c r="N123" s="348">
        <f t="shared" si="70"/>
        <v>206.1312407741782</v>
      </c>
      <c r="O123" s="348">
        <f t="shared" si="70"/>
        <v>-10.737602123928845</v>
      </c>
      <c r="P123" s="348">
        <f t="shared" si="70"/>
        <v>0</v>
      </c>
      <c r="Q123" s="348">
        <f t="shared" si="70"/>
        <v>0</v>
      </c>
      <c r="R123" s="348">
        <f t="shared" ref="R123:R133" si="74">N123+O123-P123-Q123</f>
        <v>195.39363865024936</v>
      </c>
      <c r="S123" s="348">
        <f t="shared" si="71"/>
        <v>195.39363865024936</v>
      </c>
      <c r="T123" s="348">
        <f t="shared" si="71"/>
        <v>-10.737602123928845</v>
      </c>
      <c r="U123" s="348">
        <f t="shared" si="71"/>
        <v>0</v>
      </c>
      <c r="V123" s="348">
        <f t="shared" si="71"/>
        <v>0</v>
      </c>
      <c r="W123" s="345">
        <f t="shared" ref="W123:W133" si="75">S123+T123-U123-V123</f>
        <v>184.65603652632052</v>
      </c>
    </row>
    <row r="124" spans="2:23">
      <c r="B124" s="95">
        <f t="shared" ref="B124:B138" si="76">B123+1</f>
        <v>3</v>
      </c>
      <c r="C124" s="446" t="s">
        <v>812</v>
      </c>
      <c r="D124" s="348">
        <f t="shared" si="68"/>
        <v>0</v>
      </c>
      <c r="E124" s="348">
        <f t="shared" si="68"/>
        <v>0</v>
      </c>
      <c r="F124" s="348">
        <f t="shared" si="68"/>
        <v>0</v>
      </c>
      <c r="G124" s="348">
        <f t="shared" si="68"/>
        <v>0</v>
      </c>
      <c r="H124" s="348">
        <f t="shared" si="72"/>
        <v>0</v>
      </c>
      <c r="I124" s="348">
        <f t="shared" si="69"/>
        <v>0</v>
      </c>
      <c r="J124" s="348">
        <f t="shared" si="69"/>
        <v>0</v>
      </c>
      <c r="K124" s="348">
        <f t="shared" si="69"/>
        <v>0</v>
      </c>
      <c r="L124" s="348">
        <f t="shared" si="69"/>
        <v>0</v>
      </c>
      <c r="M124" s="345">
        <f t="shared" si="73"/>
        <v>0</v>
      </c>
      <c r="N124" s="348">
        <f t="shared" si="70"/>
        <v>0</v>
      </c>
      <c r="O124" s="348">
        <f t="shared" si="70"/>
        <v>0</v>
      </c>
      <c r="P124" s="348">
        <f t="shared" si="70"/>
        <v>0</v>
      </c>
      <c r="Q124" s="348">
        <f t="shared" si="70"/>
        <v>0</v>
      </c>
      <c r="R124" s="348">
        <f t="shared" si="74"/>
        <v>0</v>
      </c>
      <c r="S124" s="348">
        <f t="shared" si="71"/>
        <v>0</v>
      </c>
      <c r="T124" s="348">
        <f t="shared" si="71"/>
        <v>0</v>
      </c>
      <c r="U124" s="348">
        <f t="shared" si="71"/>
        <v>0</v>
      </c>
      <c r="V124" s="348">
        <f t="shared" si="71"/>
        <v>0</v>
      </c>
      <c r="W124" s="345">
        <f t="shared" si="75"/>
        <v>0</v>
      </c>
    </row>
    <row r="125" spans="2:23">
      <c r="B125" s="95">
        <f t="shared" si="76"/>
        <v>4</v>
      </c>
      <c r="C125" s="446" t="s">
        <v>813</v>
      </c>
      <c r="D125" s="348">
        <f t="shared" si="68"/>
        <v>183.91684540364736</v>
      </c>
      <c r="E125" s="348">
        <f t="shared" si="68"/>
        <v>-18.231312000000003</v>
      </c>
      <c r="F125" s="348">
        <f t="shared" si="68"/>
        <v>0</v>
      </c>
      <c r="G125" s="348">
        <f t="shared" si="68"/>
        <v>0</v>
      </c>
      <c r="H125" s="348">
        <f t="shared" si="72"/>
        <v>165.68553340364736</v>
      </c>
      <c r="I125" s="348">
        <f t="shared" si="69"/>
        <v>165.68553340364736</v>
      </c>
      <c r="J125" s="348">
        <f t="shared" si="69"/>
        <v>-18.231312000000003</v>
      </c>
      <c r="K125" s="348">
        <f t="shared" si="69"/>
        <v>0</v>
      </c>
      <c r="L125" s="348">
        <f t="shared" si="69"/>
        <v>0</v>
      </c>
      <c r="M125" s="345">
        <f t="shared" si="73"/>
        <v>147.45422140364735</v>
      </c>
      <c r="N125" s="348">
        <f t="shared" si="70"/>
        <v>147.45422140364735</v>
      </c>
      <c r="O125" s="348">
        <f t="shared" si="70"/>
        <v>-18.231312000000003</v>
      </c>
      <c r="P125" s="348">
        <f t="shared" si="70"/>
        <v>0</v>
      </c>
      <c r="Q125" s="348">
        <f t="shared" si="70"/>
        <v>0</v>
      </c>
      <c r="R125" s="348">
        <f t="shared" si="74"/>
        <v>129.22290940364735</v>
      </c>
      <c r="S125" s="348">
        <f t="shared" si="71"/>
        <v>129.22290940364735</v>
      </c>
      <c r="T125" s="348">
        <f t="shared" si="71"/>
        <v>-18.231312000000003</v>
      </c>
      <c r="U125" s="348">
        <f t="shared" si="71"/>
        <v>0</v>
      </c>
      <c r="V125" s="348">
        <f t="shared" si="71"/>
        <v>0</v>
      </c>
      <c r="W125" s="345">
        <f t="shared" si="75"/>
        <v>110.99159740364735</v>
      </c>
    </row>
    <row r="126" spans="2:23">
      <c r="B126" s="95">
        <f t="shared" si="76"/>
        <v>5</v>
      </c>
      <c r="C126" s="446" t="s">
        <v>814</v>
      </c>
      <c r="D126" s="348">
        <f t="shared" si="68"/>
        <v>285.02274395670082</v>
      </c>
      <c r="E126" s="348">
        <f t="shared" si="68"/>
        <v>-10.829173375328947</v>
      </c>
      <c r="F126" s="348">
        <f t="shared" si="68"/>
        <v>0</v>
      </c>
      <c r="G126" s="348">
        <f t="shared" si="68"/>
        <v>0</v>
      </c>
      <c r="H126" s="348">
        <f t="shared" si="72"/>
        <v>274.19357058137189</v>
      </c>
      <c r="I126" s="348">
        <f t="shared" si="69"/>
        <v>274.19357058137189</v>
      </c>
      <c r="J126" s="348">
        <f t="shared" si="69"/>
        <v>-9.4175372714489445</v>
      </c>
      <c r="K126" s="348">
        <f t="shared" si="69"/>
        <v>0</v>
      </c>
      <c r="L126" s="348">
        <f t="shared" si="69"/>
        <v>0</v>
      </c>
      <c r="M126" s="345">
        <f t="shared" si="73"/>
        <v>264.77603330992292</v>
      </c>
      <c r="N126" s="348">
        <f t="shared" si="70"/>
        <v>264.77603330992292</v>
      </c>
      <c r="O126" s="348">
        <f t="shared" si="70"/>
        <v>-12.650643271448946</v>
      </c>
      <c r="P126" s="348">
        <f t="shared" si="70"/>
        <v>0</v>
      </c>
      <c r="Q126" s="348">
        <f t="shared" si="70"/>
        <v>0</v>
      </c>
      <c r="R126" s="348">
        <f t="shared" si="74"/>
        <v>252.12539003847397</v>
      </c>
      <c r="S126" s="348">
        <f t="shared" si="71"/>
        <v>252.12539003847399</v>
      </c>
      <c r="T126" s="348">
        <f t="shared" si="71"/>
        <v>-12.650643271448946</v>
      </c>
      <c r="U126" s="348">
        <f t="shared" si="71"/>
        <v>0</v>
      </c>
      <c r="V126" s="348">
        <f t="shared" si="71"/>
        <v>0</v>
      </c>
      <c r="W126" s="345">
        <f t="shared" si="75"/>
        <v>239.47474676702504</v>
      </c>
    </row>
    <row r="127" spans="2:23">
      <c r="B127" s="95">
        <f t="shared" si="76"/>
        <v>6</v>
      </c>
      <c r="C127" s="446" t="s">
        <v>256</v>
      </c>
      <c r="D127" s="348">
        <f t="shared" si="68"/>
        <v>3057.5500273150979</v>
      </c>
      <c r="E127" s="348">
        <f t="shared" si="68"/>
        <v>-287.55496058431282</v>
      </c>
      <c r="F127" s="348">
        <f t="shared" si="68"/>
        <v>0</v>
      </c>
      <c r="G127" s="348">
        <f t="shared" si="68"/>
        <v>0</v>
      </c>
      <c r="H127" s="348">
        <f t="shared" si="72"/>
        <v>2769.9950667307849</v>
      </c>
      <c r="I127" s="348">
        <f t="shared" si="69"/>
        <v>2769.9950667307853</v>
      </c>
      <c r="J127" s="348">
        <f t="shared" si="69"/>
        <v>-284.75673969583283</v>
      </c>
      <c r="K127" s="348">
        <f t="shared" si="69"/>
        <v>0</v>
      </c>
      <c r="L127" s="348">
        <f t="shared" si="69"/>
        <v>0</v>
      </c>
      <c r="M127" s="345">
        <f t="shared" si="73"/>
        <v>2485.2383270349524</v>
      </c>
      <c r="N127" s="348">
        <f t="shared" si="70"/>
        <v>2485.2383270349524</v>
      </c>
      <c r="O127" s="348">
        <f t="shared" si="70"/>
        <v>-274.5041774422329</v>
      </c>
      <c r="P127" s="348">
        <f t="shared" si="70"/>
        <v>0</v>
      </c>
      <c r="Q127" s="348">
        <f t="shared" si="70"/>
        <v>0</v>
      </c>
      <c r="R127" s="348">
        <f t="shared" si="74"/>
        <v>2210.7341495927194</v>
      </c>
      <c r="S127" s="348">
        <f t="shared" si="71"/>
        <v>2210.7341495927194</v>
      </c>
      <c r="T127" s="348">
        <f t="shared" si="71"/>
        <v>-299.56352918863286</v>
      </c>
      <c r="U127" s="348">
        <f t="shared" si="71"/>
        <v>0</v>
      </c>
      <c r="V127" s="348">
        <f t="shared" si="71"/>
        <v>0</v>
      </c>
      <c r="W127" s="345">
        <f t="shared" si="75"/>
        <v>1911.1706204040865</v>
      </c>
    </row>
    <row r="128" spans="2:23">
      <c r="B128" s="95">
        <f t="shared" si="76"/>
        <v>7</v>
      </c>
      <c r="C128" s="446" t="s">
        <v>815</v>
      </c>
      <c r="D128" s="348">
        <f t="shared" si="68"/>
        <v>2.9488444850114135</v>
      </c>
      <c r="E128" s="348">
        <f t="shared" si="68"/>
        <v>-0.8944799786349874</v>
      </c>
      <c r="F128" s="348">
        <f t="shared" si="68"/>
        <v>0</v>
      </c>
      <c r="G128" s="348">
        <f t="shared" si="68"/>
        <v>0</v>
      </c>
      <c r="H128" s="348">
        <f t="shared" si="72"/>
        <v>2.0543645063764262</v>
      </c>
      <c r="I128" s="348">
        <f t="shared" si="69"/>
        <v>2.0543645063764262</v>
      </c>
      <c r="J128" s="348">
        <f t="shared" si="69"/>
        <v>-0.8944799786349874</v>
      </c>
      <c r="K128" s="348">
        <f t="shared" si="69"/>
        <v>0</v>
      </c>
      <c r="L128" s="348">
        <f t="shared" si="69"/>
        <v>0</v>
      </c>
      <c r="M128" s="345">
        <f t="shared" si="73"/>
        <v>1.1598845277414389</v>
      </c>
      <c r="N128" s="348">
        <f t="shared" si="70"/>
        <v>1.1598845277414389</v>
      </c>
      <c r="O128" s="348">
        <f t="shared" si="70"/>
        <v>-4.6682201271594177E-2</v>
      </c>
      <c r="P128" s="348">
        <f t="shared" si="70"/>
        <v>0</v>
      </c>
      <c r="Q128" s="348">
        <f t="shared" si="70"/>
        <v>0</v>
      </c>
      <c r="R128" s="348">
        <f t="shared" si="74"/>
        <v>1.1132023264698447</v>
      </c>
      <c r="S128" s="348">
        <f t="shared" si="71"/>
        <v>1.1132023264698447</v>
      </c>
      <c r="T128" s="348">
        <f t="shared" si="71"/>
        <v>-4.6682201271594177E-2</v>
      </c>
      <c r="U128" s="348">
        <f t="shared" si="71"/>
        <v>0</v>
      </c>
      <c r="V128" s="348">
        <f t="shared" si="71"/>
        <v>0</v>
      </c>
      <c r="W128" s="345">
        <f t="shared" si="75"/>
        <v>1.0665201251982506</v>
      </c>
    </row>
    <row r="129" spans="2:33">
      <c r="B129" s="95">
        <f t="shared" si="76"/>
        <v>8</v>
      </c>
      <c r="C129" s="446" t="s">
        <v>816</v>
      </c>
      <c r="D129" s="348">
        <f t="shared" si="68"/>
        <v>9.3646125972679697E-2</v>
      </c>
      <c r="E129" s="348">
        <f t="shared" si="68"/>
        <v>-5.3698039219781581E-3</v>
      </c>
      <c r="F129" s="348">
        <f t="shared" si="68"/>
        <v>0</v>
      </c>
      <c r="G129" s="348">
        <f t="shared" si="68"/>
        <v>0</v>
      </c>
      <c r="H129" s="348">
        <f t="shared" si="72"/>
        <v>8.8276322050701544E-2</v>
      </c>
      <c r="I129" s="348">
        <f t="shared" si="69"/>
        <v>8.8276322050701544E-2</v>
      </c>
      <c r="J129" s="348">
        <f t="shared" si="69"/>
        <v>-5.3698039219781581E-3</v>
      </c>
      <c r="K129" s="348">
        <f t="shared" si="69"/>
        <v>0</v>
      </c>
      <c r="L129" s="348">
        <f t="shared" si="69"/>
        <v>0</v>
      </c>
      <c r="M129" s="345">
        <f t="shared" si="73"/>
        <v>8.2906518128723392E-2</v>
      </c>
      <c r="N129" s="348">
        <f t="shared" si="70"/>
        <v>8.2906518128723378E-2</v>
      </c>
      <c r="O129" s="348">
        <f t="shared" si="70"/>
        <v>-5.3698039219781581E-3</v>
      </c>
      <c r="P129" s="348">
        <f t="shared" si="70"/>
        <v>0</v>
      </c>
      <c r="Q129" s="348">
        <f t="shared" si="70"/>
        <v>0</v>
      </c>
      <c r="R129" s="348">
        <f t="shared" si="74"/>
        <v>7.7536714206745225E-2</v>
      </c>
      <c r="S129" s="348">
        <f t="shared" si="71"/>
        <v>7.7536714206745225E-2</v>
      </c>
      <c r="T129" s="348">
        <f t="shared" si="71"/>
        <v>-5.3698039219781581E-3</v>
      </c>
      <c r="U129" s="348">
        <f t="shared" si="71"/>
        <v>0</v>
      </c>
      <c r="V129" s="348">
        <f t="shared" si="71"/>
        <v>0</v>
      </c>
      <c r="W129" s="345">
        <f t="shared" si="75"/>
        <v>7.2166910284767072E-2</v>
      </c>
    </row>
    <row r="130" spans="2:33">
      <c r="B130" s="95">
        <f t="shared" si="76"/>
        <v>9</v>
      </c>
      <c r="C130" s="446" t="s">
        <v>817</v>
      </c>
      <c r="D130" s="348">
        <f t="shared" si="68"/>
        <v>25.523139239795263</v>
      </c>
      <c r="E130" s="348">
        <f t="shared" si="68"/>
        <v>-2.5586880000000001</v>
      </c>
      <c r="F130" s="348">
        <f t="shared" si="68"/>
        <v>0</v>
      </c>
      <c r="G130" s="348">
        <f t="shared" si="68"/>
        <v>0</v>
      </c>
      <c r="H130" s="348">
        <f t="shared" si="72"/>
        <v>22.964451239795263</v>
      </c>
      <c r="I130" s="348">
        <f t="shared" si="69"/>
        <v>22.964451239795263</v>
      </c>
      <c r="J130" s="348">
        <f t="shared" si="69"/>
        <v>-2.5586880000000001</v>
      </c>
      <c r="K130" s="348">
        <f t="shared" si="69"/>
        <v>0</v>
      </c>
      <c r="L130" s="348">
        <f t="shared" si="69"/>
        <v>0</v>
      </c>
      <c r="M130" s="345">
        <f t="shared" si="73"/>
        <v>20.405763239795263</v>
      </c>
      <c r="N130" s="348">
        <f t="shared" si="70"/>
        <v>20.405763239795263</v>
      </c>
      <c r="O130" s="348">
        <f t="shared" si="70"/>
        <v>-2.5586880000000001</v>
      </c>
      <c r="P130" s="348">
        <f t="shared" si="70"/>
        <v>0</v>
      </c>
      <c r="Q130" s="348">
        <f t="shared" si="70"/>
        <v>0</v>
      </c>
      <c r="R130" s="348">
        <f t="shared" si="74"/>
        <v>17.847075239795263</v>
      </c>
      <c r="S130" s="348">
        <f t="shared" si="71"/>
        <v>17.847075239795263</v>
      </c>
      <c r="T130" s="348">
        <f t="shared" si="71"/>
        <v>-0.98482773944697977</v>
      </c>
      <c r="U130" s="348">
        <f t="shared" si="71"/>
        <v>0</v>
      </c>
      <c r="V130" s="348">
        <f t="shared" si="71"/>
        <v>0</v>
      </c>
      <c r="W130" s="345">
        <f t="shared" si="75"/>
        <v>16.862247500348282</v>
      </c>
    </row>
    <row r="131" spans="2:33">
      <c r="B131" s="95">
        <f t="shared" si="76"/>
        <v>10</v>
      </c>
      <c r="C131" s="446" t="s">
        <v>259</v>
      </c>
      <c r="D131" s="348">
        <f t="shared" si="68"/>
        <v>2.2820880619461645</v>
      </c>
      <c r="E131" s="348">
        <f t="shared" si="68"/>
        <v>1.7658188570634272</v>
      </c>
      <c r="F131" s="348">
        <f t="shared" si="68"/>
        <v>0</v>
      </c>
      <c r="G131" s="348">
        <f t="shared" si="68"/>
        <v>0</v>
      </c>
      <c r="H131" s="348">
        <f t="shared" si="72"/>
        <v>4.0479069190095913</v>
      </c>
      <c r="I131" s="348">
        <f t="shared" si="69"/>
        <v>4.0479069190095913</v>
      </c>
      <c r="J131" s="348">
        <f t="shared" si="69"/>
        <v>-0.52260453193657286</v>
      </c>
      <c r="K131" s="348">
        <f t="shared" si="69"/>
        <v>0</v>
      </c>
      <c r="L131" s="348">
        <f t="shared" si="69"/>
        <v>0</v>
      </c>
      <c r="M131" s="345">
        <f t="shared" si="73"/>
        <v>3.5253023870730185</v>
      </c>
      <c r="N131" s="348">
        <f t="shared" si="70"/>
        <v>3.5253023870730189</v>
      </c>
      <c r="O131" s="348">
        <f t="shared" si="70"/>
        <v>-0.52260453193657286</v>
      </c>
      <c r="P131" s="348">
        <f t="shared" si="70"/>
        <v>0</v>
      </c>
      <c r="Q131" s="348">
        <f t="shared" si="70"/>
        <v>0</v>
      </c>
      <c r="R131" s="348">
        <f t="shared" si="74"/>
        <v>3.002697855136446</v>
      </c>
      <c r="S131" s="348">
        <f t="shared" si="71"/>
        <v>3.002697855136446</v>
      </c>
      <c r="T131" s="348">
        <f t="shared" si="71"/>
        <v>-0.52260453193657286</v>
      </c>
      <c r="U131" s="348">
        <f t="shared" si="71"/>
        <v>0</v>
      </c>
      <c r="V131" s="348">
        <f t="shared" si="71"/>
        <v>0</v>
      </c>
      <c r="W131" s="345">
        <f t="shared" si="75"/>
        <v>2.4800933231998732</v>
      </c>
    </row>
    <row r="132" spans="2:33">
      <c r="B132" s="95">
        <f t="shared" si="76"/>
        <v>11</v>
      </c>
      <c r="C132" s="446" t="s">
        <v>260</v>
      </c>
      <c r="D132" s="348">
        <f t="shared" si="68"/>
        <v>1.9194338683073315</v>
      </c>
      <c r="E132" s="348">
        <f t="shared" si="68"/>
        <v>-4.6104705130915774E-2</v>
      </c>
      <c r="F132" s="348">
        <f t="shared" si="68"/>
        <v>0</v>
      </c>
      <c r="G132" s="348">
        <f t="shared" si="68"/>
        <v>0</v>
      </c>
      <c r="H132" s="348">
        <f t="shared" si="72"/>
        <v>1.8733291631764157</v>
      </c>
      <c r="I132" s="348">
        <f t="shared" si="69"/>
        <v>1.873329163176416</v>
      </c>
      <c r="J132" s="348">
        <f t="shared" si="69"/>
        <v>-0.11593827831091576</v>
      </c>
      <c r="K132" s="348">
        <f t="shared" si="69"/>
        <v>0</v>
      </c>
      <c r="L132" s="348">
        <f t="shared" si="69"/>
        <v>0</v>
      </c>
      <c r="M132" s="345">
        <f t="shared" si="73"/>
        <v>1.7573908848655002</v>
      </c>
      <c r="N132" s="348">
        <f t="shared" si="70"/>
        <v>1.7573908848655004</v>
      </c>
      <c r="O132" s="348">
        <f t="shared" si="70"/>
        <v>-0.19224767500591577</v>
      </c>
      <c r="P132" s="348">
        <f t="shared" si="70"/>
        <v>0</v>
      </c>
      <c r="Q132" s="348">
        <f t="shared" si="70"/>
        <v>0</v>
      </c>
      <c r="R132" s="348">
        <f t="shared" si="74"/>
        <v>1.5651432098595848</v>
      </c>
      <c r="S132" s="348">
        <f t="shared" si="71"/>
        <v>1.5651432098595848</v>
      </c>
      <c r="T132" s="348">
        <f t="shared" si="71"/>
        <v>-0.19224767500591577</v>
      </c>
      <c r="U132" s="348">
        <f t="shared" si="71"/>
        <v>0</v>
      </c>
      <c r="V132" s="348">
        <f t="shared" si="71"/>
        <v>0</v>
      </c>
      <c r="W132" s="345">
        <f t="shared" si="75"/>
        <v>1.3728955348536691</v>
      </c>
    </row>
    <row r="133" spans="2:33">
      <c r="B133" s="95">
        <f t="shared" si="76"/>
        <v>12</v>
      </c>
      <c r="C133" s="446" t="s">
        <v>261</v>
      </c>
      <c r="D133" s="348">
        <f t="shared" si="68"/>
        <v>0.92181900518763593</v>
      </c>
      <c r="E133" s="348">
        <f t="shared" si="68"/>
        <v>-6.9050002701972368E-2</v>
      </c>
      <c r="F133" s="348">
        <f t="shared" si="68"/>
        <v>0</v>
      </c>
      <c r="G133" s="348">
        <f t="shared" si="68"/>
        <v>0</v>
      </c>
      <c r="H133" s="348">
        <f t="shared" si="72"/>
        <v>0.85276900248566356</v>
      </c>
      <c r="I133" s="348">
        <f t="shared" si="69"/>
        <v>0.85276900248566356</v>
      </c>
      <c r="J133" s="348">
        <f t="shared" si="69"/>
        <v>-6.9050002701972368E-2</v>
      </c>
      <c r="K133" s="348">
        <f t="shared" si="69"/>
        <v>0</v>
      </c>
      <c r="L133" s="348">
        <f t="shared" si="69"/>
        <v>0</v>
      </c>
      <c r="M133" s="345">
        <f t="shared" si="73"/>
        <v>0.78371899978369119</v>
      </c>
      <c r="N133" s="348">
        <f t="shared" si="70"/>
        <v>0.78371899978369119</v>
      </c>
      <c r="O133" s="348">
        <f t="shared" si="70"/>
        <v>-6.9050002701972368E-2</v>
      </c>
      <c r="P133" s="348">
        <f t="shared" si="70"/>
        <v>0</v>
      </c>
      <c r="Q133" s="348">
        <f t="shared" si="70"/>
        <v>0</v>
      </c>
      <c r="R133" s="348">
        <f t="shared" si="74"/>
        <v>0.71466899708171883</v>
      </c>
      <c r="S133" s="348">
        <f t="shared" si="71"/>
        <v>0.71466899708171883</v>
      </c>
      <c r="T133" s="348">
        <f t="shared" si="71"/>
        <v>-6.9050002701972368E-2</v>
      </c>
      <c r="U133" s="348">
        <f t="shared" si="71"/>
        <v>0</v>
      </c>
      <c r="V133" s="348">
        <f t="shared" si="71"/>
        <v>0</v>
      </c>
      <c r="W133" s="345">
        <f t="shared" si="75"/>
        <v>0.64561899437974646</v>
      </c>
    </row>
    <row r="134" spans="2:33">
      <c r="B134" s="95">
        <f t="shared" si="76"/>
        <v>13</v>
      </c>
      <c r="C134" s="466" t="s">
        <v>865</v>
      </c>
      <c r="D134" s="348">
        <f t="shared" ref="D134:G134" si="77">D26-D80</f>
        <v>0</v>
      </c>
      <c r="E134" s="348">
        <f t="shared" si="77"/>
        <v>0</v>
      </c>
      <c r="F134" s="348">
        <f t="shared" si="77"/>
        <v>0</v>
      </c>
      <c r="G134" s="348">
        <f t="shared" si="77"/>
        <v>0</v>
      </c>
      <c r="H134" s="348">
        <f t="shared" ref="H134:H138" si="78">D134+E134-F134-G134</f>
        <v>0</v>
      </c>
      <c r="I134" s="348">
        <f t="shared" ref="I134:L134" si="79">I26-I80</f>
        <v>0</v>
      </c>
      <c r="J134" s="348">
        <f t="shared" si="79"/>
        <v>0</v>
      </c>
      <c r="K134" s="348">
        <f t="shared" si="79"/>
        <v>0</v>
      </c>
      <c r="L134" s="348">
        <f t="shared" si="79"/>
        <v>0</v>
      </c>
      <c r="M134" s="345">
        <f t="shared" ref="M134:M138" si="80">I134+J134-K134-L134</f>
        <v>0</v>
      </c>
      <c r="N134" s="348">
        <f t="shared" si="70"/>
        <v>0</v>
      </c>
      <c r="O134" s="348">
        <f t="shared" si="70"/>
        <v>0</v>
      </c>
      <c r="P134" s="348">
        <f t="shared" si="70"/>
        <v>0</v>
      </c>
      <c r="Q134" s="348">
        <f t="shared" si="70"/>
        <v>0</v>
      </c>
      <c r="R134" s="348">
        <f t="shared" ref="R134:R138" si="81">N134+O134-P134-Q134</f>
        <v>0</v>
      </c>
      <c r="S134" s="348">
        <f t="shared" si="71"/>
        <v>0</v>
      </c>
      <c r="T134" s="348">
        <f t="shared" si="71"/>
        <v>0</v>
      </c>
      <c r="U134" s="348">
        <f t="shared" si="71"/>
        <v>0</v>
      </c>
      <c r="V134" s="348">
        <f t="shared" si="71"/>
        <v>0</v>
      </c>
      <c r="W134" s="345">
        <f t="shared" ref="W134:W138" si="82">S134+T134-U134-V134</f>
        <v>0</v>
      </c>
    </row>
    <row r="135" spans="2:33">
      <c r="B135" s="95">
        <f t="shared" si="76"/>
        <v>14</v>
      </c>
      <c r="C135" s="466" t="s">
        <v>866</v>
      </c>
      <c r="D135" s="348">
        <f t="shared" ref="D135:G135" si="83">D27-D81</f>
        <v>0</v>
      </c>
      <c r="E135" s="348">
        <f t="shared" si="83"/>
        <v>0.13341787450000001</v>
      </c>
      <c r="F135" s="348">
        <f t="shared" si="83"/>
        <v>0.30060954500000003</v>
      </c>
      <c r="G135" s="348">
        <f t="shared" si="83"/>
        <v>0</v>
      </c>
      <c r="H135" s="348">
        <f t="shared" si="78"/>
        <v>-0.16719167050000003</v>
      </c>
      <c r="I135" s="348">
        <f t="shared" ref="I135:L135" si="84">I27-I81</f>
        <v>-0.16719167050000003</v>
      </c>
      <c r="J135" s="348">
        <f t="shared" si="84"/>
        <v>0.15890559299999998</v>
      </c>
      <c r="K135" s="348">
        <f t="shared" si="84"/>
        <v>0</v>
      </c>
      <c r="L135" s="348">
        <f t="shared" si="84"/>
        <v>0</v>
      </c>
      <c r="M135" s="345">
        <f t="shared" si="80"/>
        <v>-8.2860775000000442E-3</v>
      </c>
      <c r="N135" s="348">
        <f t="shared" si="70"/>
        <v>-8.2860775000000528E-3</v>
      </c>
      <c r="O135" s="348">
        <f t="shared" si="70"/>
        <v>0</v>
      </c>
      <c r="P135" s="348">
        <f t="shared" si="70"/>
        <v>0</v>
      </c>
      <c r="Q135" s="348">
        <f t="shared" si="70"/>
        <v>0</v>
      </c>
      <c r="R135" s="348">
        <f t="shared" si="81"/>
        <v>-8.2860775000000528E-3</v>
      </c>
      <c r="S135" s="348">
        <f t="shared" si="71"/>
        <v>-8.2860775000000528E-3</v>
      </c>
      <c r="T135" s="348">
        <f t="shared" si="71"/>
        <v>0</v>
      </c>
      <c r="U135" s="348">
        <f t="shared" si="71"/>
        <v>0</v>
      </c>
      <c r="V135" s="348">
        <f t="shared" si="71"/>
        <v>0</v>
      </c>
      <c r="W135" s="345">
        <f t="shared" si="82"/>
        <v>-8.2860775000000528E-3</v>
      </c>
    </row>
    <row r="136" spans="2:33">
      <c r="B136" s="95">
        <f t="shared" si="76"/>
        <v>15</v>
      </c>
      <c r="C136" s="466" t="s">
        <v>867</v>
      </c>
      <c r="D136" s="348">
        <f t="shared" ref="D136:G136" si="85">D28-D82</f>
        <v>0</v>
      </c>
      <c r="E136" s="348">
        <f t="shared" si="85"/>
        <v>0</v>
      </c>
      <c r="F136" s="348">
        <f t="shared" si="85"/>
        <v>0</v>
      </c>
      <c r="G136" s="348">
        <f t="shared" si="85"/>
        <v>0</v>
      </c>
      <c r="H136" s="348">
        <f t="shared" si="78"/>
        <v>0</v>
      </c>
      <c r="I136" s="348">
        <f t="shared" ref="I136:L136" si="86">I28-I82</f>
        <v>0</v>
      </c>
      <c r="J136" s="348">
        <f t="shared" si="86"/>
        <v>0</v>
      </c>
      <c r="K136" s="348">
        <f t="shared" si="86"/>
        <v>0</v>
      </c>
      <c r="L136" s="348">
        <f t="shared" si="86"/>
        <v>0</v>
      </c>
      <c r="M136" s="345">
        <f t="shared" si="80"/>
        <v>0</v>
      </c>
      <c r="N136" s="348">
        <f t="shared" si="70"/>
        <v>0</v>
      </c>
      <c r="O136" s="348">
        <f t="shared" si="70"/>
        <v>0</v>
      </c>
      <c r="P136" s="348">
        <f t="shared" si="70"/>
        <v>0</v>
      </c>
      <c r="Q136" s="348">
        <f t="shared" si="70"/>
        <v>0</v>
      </c>
      <c r="R136" s="348">
        <f t="shared" si="81"/>
        <v>0</v>
      </c>
      <c r="S136" s="348">
        <f t="shared" si="71"/>
        <v>0</v>
      </c>
      <c r="T136" s="348">
        <f t="shared" si="71"/>
        <v>0</v>
      </c>
      <c r="U136" s="348">
        <f t="shared" si="71"/>
        <v>0</v>
      </c>
      <c r="V136" s="348">
        <f t="shared" si="71"/>
        <v>0</v>
      </c>
      <c r="W136" s="345">
        <f t="shared" si="82"/>
        <v>0</v>
      </c>
    </row>
    <row r="137" spans="2:33">
      <c r="B137" s="95">
        <f t="shared" si="76"/>
        <v>16</v>
      </c>
      <c r="C137" s="466" t="s">
        <v>818</v>
      </c>
      <c r="D137" s="348">
        <f t="shared" ref="D137:G137" si="87">D29-D83</f>
        <v>0</v>
      </c>
      <c r="E137" s="348">
        <f t="shared" si="87"/>
        <v>0</v>
      </c>
      <c r="F137" s="348">
        <f t="shared" si="87"/>
        <v>0</v>
      </c>
      <c r="G137" s="348">
        <f t="shared" si="87"/>
        <v>0</v>
      </c>
      <c r="H137" s="348">
        <f t="shared" si="78"/>
        <v>0</v>
      </c>
      <c r="I137" s="348">
        <f t="shared" ref="I137:L137" si="88">I29-I83</f>
        <v>0</v>
      </c>
      <c r="J137" s="348">
        <f t="shared" si="88"/>
        <v>0</v>
      </c>
      <c r="K137" s="348">
        <f t="shared" si="88"/>
        <v>0</v>
      </c>
      <c r="L137" s="348">
        <f t="shared" si="88"/>
        <v>0</v>
      </c>
      <c r="M137" s="345">
        <f t="shared" si="80"/>
        <v>0</v>
      </c>
      <c r="N137" s="348">
        <f t="shared" si="70"/>
        <v>0</v>
      </c>
      <c r="O137" s="348">
        <f t="shared" si="70"/>
        <v>0</v>
      </c>
      <c r="P137" s="348">
        <f t="shared" si="70"/>
        <v>0</v>
      </c>
      <c r="Q137" s="348">
        <f t="shared" si="70"/>
        <v>0</v>
      </c>
      <c r="R137" s="348">
        <f t="shared" si="81"/>
        <v>0</v>
      </c>
      <c r="S137" s="348">
        <f t="shared" si="71"/>
        <v>0</v>
      </c>
      <c r="T137" s="348">
        <f t="shared" si="71"/>
        <v>0</v>
      </c>
      <c r="U137" s="348">
        <f t="shared" si="71"/>
        <v>0</v>
      </c>
      <c r="V137" s="348">
        <f t="shared" si="71"/>
        <v>0</v>
      </c>
      <c r="W137" s="345">
        <f t="shared" si="82"/>
        <v>0</v>
      </c>
    </row>
    <row r="138" spans="2:33">
      <c r="B138" s="95">
        <f t="shared" si="76"/>
        <v>17</v>
      </c>
      <c r="C138" s="466" t="s">
        <v>868</v>
      </c>
      <c r="D138" s="348">
        <f t="shared" ref="D138:G138" si="89">D30-D84</f>
        <v>0</v>
      </c>
      <c r="E138" s="348">
        <f t="shared" si="89"/>
        <v>0</v>
      </c>
      <c r="F138" s="348">
        <f t="shared" si="89"/>
        <v>0</v>
      </c>
      <c r="G138" s="348">
        <f t="shared" si="89"/>
        <v>0</v>
      </c>
      <c r="H138" s="348">
        <f t="shared" si="78"/>
        <v>0</v>
      </c>
      <c r="I138" s="348">
        <f t="shared" ref="I138:L138" si="90">I30-I84</f>
        <v>0</v>
      </c>
      <c r="J138" s="348">
        <f t="shared" si="90"/>
        <v>0</v>
      </c>
      <c r="K138" s="348">
        <f t="shared" si="90"/>
        <v>0</v>
      </c>
      <c r="L138" s="348">
        <f t="shared" si="90"/>
        <v>0</v>
      </c>
      <c r="M138" s="345">
        <f t="shared" si="80"/>
        <v>0</v>
      </c>
      <c r="N138" s="348">
        <f t="shared" si="70"/>
        <v>0</v>
      </c>
      <c r="O138" s="348">
        <f t="shared" si="70"/>
        <v>0</v>
      </c>
      <c r="P138" s="348">
        <f t="shared" si="70"/>
        <v>0</v>
      </c>
      <c r="Q138" s="348">
        <f t="shared" si="70"/>
        <v>0</v>
      </c>
      <c r="R138" s="348">
        <f t="shared" si="81"/>
        <v>0</v>
      </c>
      <c r="S138" s="348">
        <f t="shared" si="71"/>
        <v>0</v>
      </c>
      <c r="T138" s="348">
        <f t="shared" si="71"/>
        <v>0</v>
      </c>
      <c r="U138" s="348">
        <f t="shared" si="71"/>
        <v>0</v>
      </c>
      <c r="V138" s="348">
        <f t="shared" si="71"/>
        <v>0</v>
      </c>
      <c r="W138" s="345">
        <f t="shared" si="82"/>
        <v>0</v>
      </c>
    </row>
    <row r="139" spans="2:33" ht="16">
      <c r="B139" s="83"/>
      <c r="C139" s="97" t="s">
        <v>272</v>
      </c>
      <c r="D139" s="347">
        <f>SUM(D122:D137)</f>
        <v>3800.0600324837023</v>
      </c>
      <c r="E139" s="347">
        <f t="shared" ref="E139:M139" si="91">SUM(E122:E137)</f>
        <v>-329.02750384239704</v>
      </c>
      <c r="F139" s="347">
        <f t="shared" si="91"/>
        <v>0.30060954500000003</v>
      </c>
      <c r="G139" s="347">
        <f t="shared" si="91"/>
        <v>0</v>
      </c>
      <c r="H139" s="347">
        <f t="shared" si="91"/>
        <v>3470.7319190963053</v>
      </c>
      <c r="I139" s="347">
        <f t="shared" si="91"/>
        <v>3470.7319190963058</v>
      </c>
      <c r="J139" s="347">
        <f t="shared" si="91"/>
        <v>-327.15041609371707</v>
      </c>
      <c r="K139" s="347">
        <f t="shared" si="91"/>
        <v>0</v>
      </c>
      <c r="L139" s="347">
        <f t="shared" si="91"/>
        <v>0</v>
      </c>
      <c r="M139" s="347">
        <f t="shared" si="91"/>
        <v>3143.5815030025883</v>
      </c>
      <c r="N139" s="347">
        <f t="shared" ref="N139:W139" si="92">SUM(N122:N137)</f>
        <v>3143.5815030025883</v>
      </c>
      <c r="O139" s="347">
        <f t="shared" si="92"/>
        <v>-319.51837705244873</v>
      </c>
      <c r="P139" s="347">
        <f t="shared" si="92"/>
        <v>0</v>
      </c>
      <c r="Q139" s="347">
        <f t="shared" si="92"/>
        <v>0</v>
      </c>
      <c r="R139" s="347">
        <f t="shared" si="92"/>
        <v>2824.0631259501401</v>
      </c>
      <c r="S139" s="347">
        <f t="shared" si="92"/>
        <v>2824.0631259501401</v>
      </c>
      <c r="T139" s="347">
        <f t="shared" si="92"/>
        <v>-343.00386853829565</v>
      </c>
      <c r="U139" s="347">
        <f t="shared" si="92"/>
        <v>0</v>
      </c>
      <c r="V139" s="347">
        <f t="shared" si="92"/>
        <v>0</v>
      </c>
      <c r="W139" s="347">
        <f t="shared" si="92"/>
        <v>2481.0592574118441</v>
      </c>
    </row>
    <row r="140" spans="2:33" ht="16">
      <c r="B140" s="259"/>
      <c r="C140" s="261"/>
      <c r="D140" s="261"/>
      <c r="E140" s="261"/>
      <c r="F140" s="261"/>
      <c r="G140" s="261"/>
      <c r="H140" s="261"/>
      <c r="I140" s="259"/>
      <c r="J140" s="259"/>
      <c r="K140" s="259"/>
      <c r="L140" s="259"/>
      <c r="M140" s="259"/>
      <c r="N140" s="259"/>
      <c r="O140" s="259"/>
      <c r="P140" s="259"/>
      <c r="Q140" s="259"/>
      <c r="R140" s="259"/>
      <c r="S140" s="45"/>
      <c r="T140" s="45"/>
      <c r="U140" s="45"/>
      <c r="V140" s="45"/>
      <c r="W140" s="45"/>
      <c r="X140" s="45"/>
      <c r="Y140" s="45"/>
      <c r="Z140" s="45"/>
      <c r="AA140" s="45"/>
      <c r="AB140" s="45"/>
      <c r="AC140" s="45"/>
      <c r="AD140" s="45"/>
      <c r="AE140" s="45"/>
      <c r="AF140" s="45"/>
      <c r="AG140" s="45"/>
    </row>
    <row r="141" spans="2:33" ht="16">
      <c r="B141" s="258" t="s">
        <v>568</v>
      </c>
      <c r="C141" s="263"/>
      <c r="D141" s="263"/>
      <c r="E141" s="263"/>
      <c r="F141" s="263"/>
      <c r="G141" s="261"/>
      <c r="H141" s="261"/>
      <c r="I141" s="259"/>
      <c r="J141" s="259"/>
      <c r="K141" s="259"/>
      <c r="L141" s="259"/>
      <c r="M141" s="259"/>
      <c r="N141" s="259"/>
      <c r="O141" s="259"/>
      <c r="P141" s="259"/>
      <c r="Q141" s="259"/>
      <c r="R141" s="259"/>
      <c r="S141" s="45"/>
      <c r="T141" s="45"/>
      <c r="U141" s="45"/>
      <c r="V141" s="45"/>
      <c r="W141" s="45"/>
      <c r="X141" s="45"/>
      <c r="Y141" s="45"/>
      <c r="Z141" s="45"/>
      <c r="AA141" s="45"/>
      <c r="AB141" s="45"/>
      <c r="AC141" s="45"/>
      <c r="AD141" s="45"/>
      <c r="AE141" s="45"/>
      <c r="AF141" s="45"/>
      <c r="AG141" s="45"/>
    </row>
    <row r="142" spans="2:33" ht="16">
      <c r="B142" s="259"/>
      <c r="C142" s="261"/>
      <c r="D142" s="261"/>
      <c r="E142" s="261"/>
      <c r="F142" s="261"/>
      <c r="G142" s="261"/>
      <c r="H142" s="261"/>
      <c r="I142" s="259"/>
      <c r="J142" s="259"/>
      <c r="K142" s="259"/>
      <c r="L142" s="259"/>
      <c r="M142" s="259"/>
      <c r="N142" s="259"/>
      <c r="O142" s="259"/>
      <c r="P142" s="259"/>
      <c r="Q142" s="259"/>
      <c r="R142" s="259"/>
      <c r="S142" s="45"/>
      <c r="T142" s="45"/>
      <c r="U142" s="45"/>
      <c r="V142" s="45"/>
      <c r="W142" s="45"/>
      <c r="X142" s="45"/>
      <c r="Y142" s="45"/>
      <c r="Z142" s="45"/>
      <c r="AA142" s="45"/>
      <c r="AB142" s="45"/>
      <c r="AC142" s="45"/>
      <c r="AD142" s="45"/>
      <c r="AE142" s="45"/>
      <c r="AF142" s="45"/>
      <c r="AG142" s="45"/>
    </row>
    <row r="143" spans="2:33" ht="15" customHeight="1">
      <c r="B143" s="259"/>
      <c r="C143" s="261"/>
      <c r="D143" s="8"/>
      <c r="E143" s="8"/>
      <c r="F143" s="8"/>
      <c r="G143" s="8"/>
      <c r="H143" s="8"/>
      <c r="I143" s="1"/>
      <c r="J143" s="44"/>
      <c r="K143" s="1"/>
      <c r="L143" s="1"/>
      <c r="M143" s="44"/>
      <c r="N143" s="44"/>
      <c r="O143" s="1"/>
      <c r="P143" s="1"/>
      <c r="Q143" s="1"/>
      <c r="AG143" s="256" t="s">
        <v>10</v>
      </c>
    </row>
    <row r="144" spans="2:33" ht="13.75" customHeight="1">
      <c r="B144" s="1719" t="s">
        <v>341</v>
      </c>
      <c r="C144" s="1719" t="s">
        <v>37</v>
      </c>
      <c r="D144" s="1843" t="s">
        <v>948</v>
      </c>
      <c r="E144" s="1844"/>
      <c r="F144" s="1844"/>
      <c r="G144" s="1844"/>
      <c r="H144" s="1845"/>
      <c r="I144" s="1843" t="s">
        <v>949</v>
      </c>
      <c r="J144" s="1844"/>
      <c r="K144" s="1844"/>
      <c r="L144" s="1844"/>
      <c r="M144" s="1845"/>
      <c r="N144" s="1835" t="s">
        <v>950</v>
      </c>
      <c r="O144" s="1835"/>
      <c r="P144" s="1835"/>
      <c r="Q144" s="1835"/>
      <c r="R144" s="1835"/>
      <c r="S144" s="1835" t="s">
        <v>951</v>
      </c>
      <c r="T144" s="1835"/>
      <c r="U144" s="1835"/>
      <c r="V144" s="1835"/>
      <c r="W144" s="1835"/>
    </row>
    <row r="145" spans="2:23">
      <c r="B145" s="1719"/>
      <c r="C145" s="1719"/>
      <c r="D145" s="1836" t="s">
        <v>21</v>
      </c>
      <c r="E145" s="1837"/>
      <c r="F145" s="1837"/>
      <c r="G145" s="1837"/>
      <c r="H145" s="1838"/>
      <c r="I145" s="1836" t="s">
        <v>21</v>
      </c>
      <c r="J145" s="1837"/>
      <c r="K145" s="1837"/>
      <c r="L145" s="1837"/>
      <c r="M145" s="1838"/>
      <c r="N145" s="1839" t="s">
        <v>21</v>
      </c>
      <c r="O145" s="1840"/>
      <c r="P145" s="1840"/>
      <c r="Q145" s="1840"/>
      <c r="R145" s="1840"/>
      <c r="S145" s="1839" t="s">
        <v>21</v>
      </c>
      <c r="T145" s="1840"/>
      <c r="U145" s="1840"/>
      <c r="V145" s="1840"/>
      <c r="W145" s="1840"/>
    </row>
    <row r="146" spans="2:23" ht="42">
      <c r="B146" s="1719"/>
      <c r="C146" s="1719"/>
      <c r="D146" s="870" t="s">
        <v>268</v>
      </c>
      <c r="E146" s="870" t="s">
        <v>269</v>
      </c>
      <c r="F146" s="260" t="s">
        <v>275</v>
      </c>
      <c r="G146" s="868" t="s">
        <v>555</v>
      </c>
      <c r="H146" s="870" t="s">
        <v>271</v>
      </c>
      <c r="I146" s="870" t="s">
        <v>268</v>
      </c>
      <c r="J146" s="870" t="s">
        <v>269</v>
      </c>
      <c r="K146" s="870" t="s">
        <v>270</v>
      </c>
      <c r="L146" s="868" t="s">
        <v>555</v>
      </c>
      <c r="M146" s="870" t="s">
        <v>271</v>
      </c>
      <c r="N146" s="701" t="s">
        <v>268</v>
      </c>
      <c r="O146" s="701" t="s">
        <v>269</v>
      </c>
      <c r="P146" s="701" t="s">
        <v>270</v>
      </c>
      <c r="Q146" s="697" t="s">
        <v>555</v>
      </c>
      <c r="R146" s="701" t="s">
        <v>271</v>
      </c>
      <c r="S146" s="701" t="s">
        <v>268</v>
      </c>
      <c r="T146" s="701" t="s">
        <v>269</v>
      </c>
      <c r="U146" s="701" t="s">
        <v>270</v>
      </c>
      <c r="V146" s="697" t="s">
        <v>555</v>
      </c>
      <c r="W146" s="701" t="s">
        <v>271</v>
      </c>
    </row>
    <row r="147" spans="2:23" ht="28">
      <c r="B147" s="257"/>
      <c r="C147" s="257"/>
      <c r="D147" s="257" t="s">
        <v>631</v>
      </c>
      <c r="E147" s="257" t="s">
        <v>632</v>
      </c>
      <c r="F147" s="257" t="s">
        <v>633</v>
      </c>
      <c r="G147" s="257" t="s">
        <v>634</v>
      </c>
      <c r="H147" s="257" t="s">
        <v>635</v>
      </c>
      <c r="I147" s="257" t="s">
        <v>631</v>
      </c>
      <c r="J147" s="257" t="s">
        <v>632</v>
      </c>
      <c r="K147" s="257" t="s">
        <v>633</v>
      </c>
      <c r="L147" s="257" t="s">
        <v>634</v>
      </c>
      <c r="M147" s="257" t="s">
        <v>635</v>
      </c>
      <c r="N147" s="257" t="s">
        <v>631</v>
      </c>
      <c r="O147" s="257" t="s">
        <v>632</v>
      </c>
      <c r="P147" s="257" t="s">
        <v>633</v>
      </c>
      <c r="Q147" s="257" t="s">
        <v>634</v>
      </c>
      <c r="R147" s="257" t="s">
        <v>635</v>
      </c>
      <c r="S147" s="257" t="s">
        <v>631</v>
      </c>
      <c r="T147" s="257" t="s">
        <v>632</v>
      </c>
      <c r="U147" s="257" t="s">
        <v>633</v>
      </c>
      <c r="V147" s="257" t="s">
        <v>634</v>
      </c>
      <c r="W147" s="257" t="s">
        <v>635</v>
      </c>
    </row>
    <row r="148" spans="2:23">
      <c r="B148" s="95">
        <v>1</v>
      </c>
      <c r="C148" s="446" t="s">
        <v>810</v>
      </c>
      <c r="D148" s="348">
        <f t="shared" ref="D148:G164" si="93">D40-D95</f>
        <v>12.275</v>
      </c>
      <c r="E148" s="348">
        <f t="shared" si="93"/>
        <v>0</v>
      </c>
      <c r="F148" s="348">
        <f t="shared" si="93"/>
        <v>0</v>
      </c>
      <c r="G148" s="348">
        <f t="shared" si="93"/>
        <v>0</v>
      </c>
      <c r="H148" s="345">
        <f>D148+E148-F148-G148</f>
        <v>12.275</v>
      </c>
      <c r="I148" s="442">
        <f>H148</f>
        <v>12.275</v>
      </c>
      <c r="J148" s="467"/>
      <c r="K148" s="442"/>
      <c r="L148" s="467"/>
      <c r="M148" s="442">
        <f>I148+J148-K148-L148</f>
        <v>12.275</v>
      </c>
      <c r="N148" s="442">
        <f>M148</f>
        <v>12.275</v>
      </c>
      <c r="O148" s="467"/>
      <c r="P148" s="442"/>
      <c r="Q148" s="467"/>
      <c r="R148" s="442">
        <f>N148+O148-P148-Q148</f>
        <v>12.275</v>
      </c>
      <c r="S148" s="442">
        <f>R148</f>
        <v>12.275</v>
      </c>
      <c r="T148" s="467"/>
      <c r="U148" s="442"/>
      <c r="V148" s="467"/>
      <c r="W148" s="442">
        <f>S148+T148-U148-V148</f>
        <v>12.275</v>
      </c>
    </row>
    <row r="149" spans="2:23">
      <c r="B149" s="95">
        <f>B148+1</f>
        <v>2</v>
      </c>
      <c r="C149" s="446" t="s">
        <v>811</v>
      </c>
      <c r="D149" s="348">
        <f t="shared" si="93"/>
        <v>184.65603652632052</v>
      </c>
      <c r="E149" s="348">
        <f t="shared" si="93"/>
        <v>-10.737602123928845</v>
      </c>
      <c r="F149" s="348">
        <f t="shared" si="93"/>
        <v>0</v>
      </c>
      <c r="G149" s="348">
        <f t="shared" si="93"/>
        <v>0</v>
      </c>
      <c r="H149" s="345">
        <f t="shared" ref="H149:H159" si="94">D149+E149-F149-G149</f>
        <v>173.91843440239168</v>
      </c>
      <c r="I149" s="442">
        <f t="shared" ref="I149:I164" si="95">H149</f>
        <v>173.91843440239168</v>
      </c>
      <c r="J149" s="467"/>
      <c r="K149" s="442"/>
      <c r="L149" s="467"/>
      <c r="M149" s="442">
        <f t="shared" ref="M149:M164" si="96">I149+J149-K149-L149</f>
        <v>173.91843440239168</v>
      </c>
      <c r="N149" s="442">
        <f t="shared" ref="N149:N164" si="97">M149</f>
        <v>173.91843440239168</v>
      </c>
      <c r="O149" s="467"/>
      <c r="P149" s="442"/>
      <c r="Q149" s="467"/>
      <c r="R149" s="442">
        <f t="shared" ref="R149:R164" si="98">N149+O149-P149-Q149</f>
        <v>173.91843440239168</v>
      </c>
      <c r="S149" s="442">
        <f t="shared" ref="S149:S164" si="99">R149</f>
        <v>173.91843440239168</v>
      </c>
      <c r="T149" s="467"/>
      <c r="U149" s="442"/>
      <c r="V149" s="467"/>
      <c r="W149" s="442">
        <f t="shared" ref="W149:W164" si="100">S149+T149-U149-V149</f>
        <v>173.91843440239168</v>
      </c>
    </row>
    <row r="150" spans="2:23">
      <c r="B150" s="95">
        <f t="shared" ref="B150:B164" si="101">B149+1</f>
        <v>3</v>
      </c>
      <c r="C150" s="446" t="s">
        <v>812</v>
      </c>
      <c r="D150" s="348">
        <f t="shared" si="93"/>
        <v>0</v>
      </c>
      <c r="E150" s="348">
        <f t="shared" si="93"/>
        <v>0</v>
      </c>
      <c r="F150" s="348">
        <f t="shared" si="93"/>
        <v>0</v>
      </c>
      <c r="G150" s="348">
        <f t="shared" si="93"/>
        <v>0</v>
      </c>
      <c r="H150" s="345">
        <f t="shared" si="94"/>
        <v>0</v>
      </c>
      <c r="I150" s="442">
        <f t="shared" si="95"/>
        <v>0</v>
      </c>
      <c r="J150" s="467"/>
      <c r="K150" s="442"/>
      <c r="L150" s="467"/>
      <c r="M150" s="442">
        <f t="shared" si="96"/>
        <v>0</v>
      </c>
      <c r="N150" s="442">
        <f t="shared" si="97"/>
        <v>0</v>
      </c>
      <c r="O150" s="467"/>
      <c r="P150" s="442"/>
      <c r="Q150" s="467"/>
      <c r="R150" s="442">
        <f t="shared" si="98"/>
        <v>0</v>
      </c>
      <c r="S150" s="442">
        <f t="shared" si="99"/>
        <v>0</v>
      </c>
      <c r="T150" s="467"/>
      <c r="U150" s="442"/>
      <c r="V150" s="467"/>
      <c r="W150" s="442">
        <f t="shared" si="100"/>
        <v>0</v>
      </c>
    </row>
    <row r="151" spans="2:23">
      <c r="B151" s="95">
        <f t="shared" si="101"/>
        <v>4</v>
      </c>
      <c r="C151" s="446" t="s">
        <v>813</v>
      </c>
      <c r="D151" s="348">
        <f t="shared" si="93"/>
        <v>110.99159740364735</v>
      </c>
      <c r="E151" s="348">
        <f t="shared" si="93"/>
        <v>-6.2667223649559407</v>
      </c>
      <c r="F151" s="348">
        <f t="shared" si="93"/>
        <v>0</v>
      </c>
      <c r="G151" s="348">
        <f t="shared" si="93"/>
        <v>0</v>
      </c>
      <c r="H151" s="345">
        <f t="shared" si="94"/>
        <v>104.72487503869141</v>
      </c>
      <c r="I151" s="442">
        <f t="shared" si="95"/>
        <v>104.72487503869141</v>
      </c>
      <c r="J151" s="467"/>
      <c r="K151" s="442"/>
      <c r="L151" s="467"/>
      <c r="M151" s="442">
        <f t="shared" si="96"/>
        <v>104.72487503869141</v>
      </c>
      <c r="N151" s="442">
        <f t="shared" si="97"/>
        <v>104.72487503869141</v>
      </c>
      <c r="O151" s="467"/>
      <c r="P151" s="442"/>
      <c r="Q151" s="467"/>
      <c r="R151" s="442">
        <f t="shared" si="98"/>
        <v>104.72487503869141</v>
      </c>
      <c r="S151" s="442">
        <f t="shared" si="99"/>
        <v>104.72487503869141</v>
      </c>
      <c r="T151" s="467"/>
      <c r="U151" s="442"/>
      <c r="V151" s="467"/>
      <c r="W151" s="442">
        <f t="shared" si="100"/>
        <v>104.72487503869141</v>
      </c>
    </row>
    <row r="152" spans="2:23">
      <c r="B152" s="95">
        <f t="shared" si="101"/>
        <v>5</v>
      </c>
      <c r="C152" s="446" t="s">
        <v>814</v>
      </c>
      <c r="D152" s="348">
        <f t="shared" si="93"/>
        <v>239.47474676702504</v>
      </c>
      <c r="E152" s="348">
        <f t="shared" si="93"/>
        <v>-12.650643271448946</v>
      </c>
      <c r="F152" s="348">
        <f t="shared" si="93"/>
        <v>0</v>
      </c>
      <c r="G152" s="348">
        <f t="shared" si="93"/>
        <v>0</v>
      </c>
      <c r="H152" s="345">
        <f t="shared" si="94"/>
        <v>226.82410349557608</v>
      </c>
      <c r="I152" s="442">
        <f t="shared" si="95"/>
        <v>226.82410349557608</v>
      </c>
      <c r="J152" s="467"/>
      <c r="K152" s="442"/>
      <c r="L152" s="467"/>
      <c r="M152" s="442">
        <f t="shared" si="96"/>
        <v>226.82410349557608</v>
      </c>
      <c r="N152" s="442">
        <f t="shared" si="97"/>
        <v>226.82410349557608</v>
      </c>
      <c r="O152" s="467"/>
      <c r="P152" s="442"/>
      <c r="Q152" s="467"/>
      <c r="R152" s="442">
        <f t="shared" si="98"/>
        <v>226.82410349557608</v>
      </c>
      <c r="S152" s="442">
        <f t="shared" si="99"/>
        <v>226.82410349557608</v>
      </c>
      <c r="T152" s="467"/>
      <c r="U152" s="442"/>
      <c r="V152" s="467"/>
      <c r="W152" s="442">
        <f t="shared" si="100"/>
        <v>226.82410349557608</v>
      </c>
    </row>
    <row r="153" spans="2:23">
      <c r="B153" s="95">
        <f t="shared" si="101"/>
        <v>6</v>
      </c>
      <c r="C153" s="446" t="s">
        <v>256</v>
      </c>
      <c r="D153" s="348">
        <f t="shared" si="93"/>
        <v>1911.1706204040865</v>
      </c>
      <c r="E153" s="348">
        <f t="shared" si="93"/>
        <v>-11.820930682041279</v>
      </c>
      <c r="F153" s="348">
        <f t="shared" si="93"/>
        <v>0</v>
      </c>
      <c r="G153" s="348">
        <f t="shared" si="93"/>
        <v>0</v>
      </c>
      <c r="H153" s="345">
        <f t="shared" si="94"/>
        <v>1899.3496897220452</v>
      </c>
      <c r="I153" s="442">
        <f t="shared" si="95"/>
        <v>1899.3496897220452</v>
      </c>
      <c r="J153" s="467"/>
      <c r="K153" s="442"/>
      <c r="L153" s="467"/>
      <c r="M153" s="442">
        <f t="shared" si="96"/>
        <v>1899.3496897220452</v>
      </c>
      <c r="N153" s="442">
        <f t="shared" si="97"/>
        <v>1899.3496897220452</v>
      </c>
      <c r="O153" s="467"/>
      <c r="P153" s="442"/>
      <c r="Q153" s="467"/>
      <c r="R153" s="442">
        <f t="shared" si="98"/>
        <v>1899.3496897220452</v>
      </c>
      <c r="S153" s="442">
        <f t="shared" si="99"/>
        <v>1899.3496897220452</v>
      </c>
      <c r="T153" s="467"/>
      <c r="U153" s="442"/>
      <c r="V153" s="467"/>
      <c r="W153" s="442">
        <f t="shared" si="100"/>
        <v>1899.3496897220452</v>
      </c>
    </row>
    <row r="154" spans="2:23">
      <c r="B154" s="95">
        <f t="shared" si="101"/>
        <v>7</v>
      </c>
      <c r="C154" s="446" t="s">
        <v>815</v>
      </c>
      <c r="D154" s="348">
        <f t="shared" si="93"/>
        <v>1.0665201251982506</v>
      </c>
      <c r="E154" s="348">
        <f t="shared" si="93"/>
        <v>-4.6682201271594177E-2</v>
      </c>
      <c r="F154" s="348">
        <f t="shared" si="93"/>
        <v>0</v>
      </c>
      <c r="G154" s="348">
        <f t="shared" si="93"/>
        <v>0</v>
      </c>
      <c r="H154" s="345">
        <f t="shared" si="94"/>
        <v>1.0198379239266564</v>
      </c>
      <c r="I154" s="442">
        <f t="shared" si="95"/>
        <v>1.0198379239266564</v>
      </c>
      <c r="J154" s="467"/>
      <c r="K154" s="442"/>
      <c r="L154" s="467"/>
      <c r="M154" s="442">
        <f t="shared" si="96"/>
        <v>1.0198379239266564</v>
      </c>
      <c r="N154" s="442">
        <f t="shared" si="97"/>
        <v>1.0198379239266564</v>
      </c>
      <c r="O154" s="467"/>
      <c r="P154" s="442"/>
      <c r="Q154" s="467"/>
      <c r="R154" s="442">
        <f t="shared" si="98"/>
        <v>1.0198379239266564</v>
      </c>
      <c r="S154" s="442">
        <f t="shared" si="99"/>
        <v>1.0198379239266564</v>
      </c>
      <c r="T154" s="467"/>
      <c r="U154" s="442"/>
      <c r="V154" s="467"/>
      <c r="W154" s="442">
        <f t="shared" si="100"/>
        <v>1.0198379239266564</v>
      </c>
    </row>
    <row r="155" spans="2:23">
      <c r="B155" s="95">
        <f t="shared" si="101"/>
        <v>8</v>
      </c>
      <c r="C155" s="446" t="s">
        <v>816</v>
      </c>
      <c r="D155" s="348">
        <f t="shared" si="93"/>
        <v>7.2166910284767072E-2</v>
      </c>
      <c r="E155" s="348">
        <f t="shared" si="93"/>
        <v>-5.3698039219781581E-3</v>
      </c>
      <c r="F155" s="348">
        <f t="shared" si="93"/>
        <v>0</v>
      </c>
      <c r="G155" s="348">
        <f t="shared" si="93"/>
        <v>0</v>
      </c>
      <c r="H155" s="345">
        <f t="shared" si="94"/>
        <v>6.6797106362788919E-2</v>
      </c>
      <c r="I155" s="442">
        <f t="shared" si="95"/>
        <v>6.6797106362788919E-2</v>
      </c>
      <c r="J155" s="467"/>
      <c r="K155" s="442"/>
      <c r="L155" s="467"/>
      <c r="M155" s="442">
        <f t="shared" si="96"/>
        <v>6.6797106362788919E-2</v>
      </c>
      <c r="N155" s="442">
        <f t="shared" si="97"/>
        <v>6.6797106362788919E-2</v>
      </c>
      <c r="O155" s="467"/>
      <c r="P155" s="442"/>
      <c r="Q155" s="467"/>
      <c r="R155" s="442">
        <f t="shared" si="98"/>
        <v>6.6797106362788919E-2</v>
      </c>
      <c r="S155" s="442">
        <f t="shared" si="99"/>
        <v>6.6797106362788919E-2</v>
      </c>
      <c r="T155" s="467"/>
      <c r="U155" s="442"/>
      <c r="V155" s="467"/>
      <c r="W155" s="442">
        <f t="shared" si="100"/>
        <v>6.6797106362788919E-2</v>
      </c>
    </row>
    <row r="156" spans="2:23">
      <c r="B156" s="95">
        <f t="shared" si="101"/>
        <v>9</v>
      </c>
      <c r="C156" s="446" t="s">
        <v>817</v>
      </c>
      <c r="D156" s="348">
        <f t="shared" si="93"/>
        <v>16.862247500348282</v>
      </c>
      <c r="E156" s="348">
        <f t="shared" si="93"/>
        <v>-0.98482773944697966</v>
      </c>
      <c r="F156" s="348">
        <f t="shared" si="93"/>
        <v>0</v>
      </c>
      <c r="G156" s="348">
        <f t="shared" si="93"/>
        <v>0</v>
      </c>
      <c r="H156" s="345">
        <f t="shared" si="94"/>
        <v>15.877419760901303</v>
      </c>
      <c r="I156" s="442">
        <f t="shared" si="95"/>
        <v>15.877419760901303</v>
      </c>
      <c r="J156" s="467"/>
      <c r="K156" s="442"/>
      <c r="L156" s="467"/>
      <c r="M156" s="442">
        <f t="shared" si="96"/>
        <v>15.877419760901303</v>
      </c>
      <c r="N156" s="442">
        <f t="shared" si="97"/>
        <v>15.877419760901303</v>
      </c>
      <c r="O156" s="467"/>
      <c r="P156" s="442"/>
      <c r="Q156" s="467"/>
      <c r="R156" s="442">
        <f t="shared" si="98"/>
        <v>15.877419760901303</v>
      </c>
      <c r="S156" s="442">
        <f t="shared" si="99"/>
        <v>15.877419760901303</v>
      </c>
      <c r="T156" s="467"/>
      <c r="U156" s="442"/>
      <c r="V156" s="467"/>
      <c r="W156" s="442">
        <f t="shared" si="100"/>
        <v>15.877419760901303</v>
      </c>
    </row>
    <row r="157" spans="2:23">
      <c r="B157" s="95">
        <f t="shared" si="101"/>
        <v>10</v>
      </c>
      <c r="C157" s="446" t="s">
        <v>259</v>
      </c>
      <c r="D157" s="348">
        <f t="shared" si="93"/>
        <v>2.4800933231998732</v>
      </c>
      <c r="E157" s="348">
        <f t="shared" si="93"/>
        <v>-0.52260453193657286</v>
      </c>
      <c r="F157" s="348">
        <f t="shared" si="93"/>
        <v>0</v>
      </c>
      <c r="G157" s="348">
        <f t="shared" si="93"/>
        <v>0</v>
      </c>
      <c r="H157" s="345">
        <f t="shared" si="94"/>
        <v>1.9574887912633003</v>
      </c>
      <c r="I157" s="442">
        <f t="shared" si="95"/>
        <v>1.9574887912633003</v>
      </c>
      <c r="J157" s="467"/>
      <c r="K157" s="442"/>
      <c r="L157" s="467"/>
      <c r="M157" s="442">
        <f t="shared" si="96"/>
        <v>1.9574887912633003</v>
      </c>
      <c r="N157" s="442">
        <f t="shared" si="97"/>
        <v>1.9574887912633003</v>
      </c>
      <c r="O157" s="467"/>
      <c r="P157" s="442"/>
      <c r="Q157" s="467"/>
      <c r="R157" s="442">
        <f t="shared" si="98"/>
        <v>1.9574887912633003</v>
      </c>
      <c r="S157" s="442">
        <f t="shared" si="99"/>
        <v>1.9574887912633003</v>
      </c>
      <c r="T157" s="467"/>
      <c r="U157" s="442"/>
      <c r="V157" s="467"/>
      <c r="W157" s="442">
        <f t="shared" si="100"/>
        <v>1.9574887912633003</v>
      </c>
    </row>
    <row r="158" spans="2:23">
      <c r="B158" s="95">
        <f t="shared" si="101"/>
        <v>11</v>
      </c>
      <c r="C158" s="446" t="s">
        <v>260</v>
      </c>
      <c r="D158" s="348">
        <f t="shared" si="93"/>
        <v>1.3728955348536691</v>
      </c>
      <c r="E158" s="348">
        <f t="shared" si="93"/>
        <v>-0.19224767500591577</v>
      </c>
      <c r="F158" s="348">
        <f t="shared" si="93"/>
        <v>0</v>
      </c>
      <c r="G158" s="348">
        <f t="shared" si="93"/>
        <v>0</v>
      </c>
      <c r="H158" s="345">
        <f t="shared" si="94"/>
        <v>1.1806478598477534</v>
      </c>
      <c r="I158" s="442">
        <f t="shared" si="95"/>
        <v>1.1806478598477534</v>
      </c>
      <c r="J158" s="467"/>
      <c r="K158" s="442"/>
      <c r="L158" s="467"/>
      <c r="M158" s="442">
        <f t="shared" si="96"/>
        <v>1.1806478598477534</v>
      </c>
      <c r="N158" s="442">
        <f t="shared" si="97"/>
        <v>1.1806478598477534</v>
      </c>
      <c r="O158" s="467"/>
      <c r="P158" s="442"/>
      <c r="Q158" s="467"/>
      <c r="R158" s="442">
        <f t="shared" si="98"/>
        <v>1.1806478598477534</v>
      </c>
      <c r="S158" s="442">
        <f t="shared" si="99"/>
        <v>1.1806478598477534</v>
      </c>
      <c r="T158" s="467"/>
      <c r="U158" s="442"/>
      <c r="V158" s="467"/>
      <c r="W158" s="442">
        <f t="shared" si="100"/>
        <v>1.1806478598477534</v>
      </c>
    </row>
    <row r="159" spans="2:23">
      <c r="B159" s="95">
        <f t="shared" si="101"/>
        <v>12</v>
      </c>
      <c r="C159" s="446" t="s">
        <v>261</v>
      </c>
      <c r="D159" s="348">
        <f t="shared" si="93"/>
        <v>0.64561899437974646</v>
      </c>
      <c r="E159" s="348">
        <f t="shared" si="93"/>
        <v>-6.9050002701972368E-2</v>
      </c>
      <c r="F159" s="348">
        <f t="shared" si="93"/>
        <v>0</v>
      </c>
      <c r="G159" s="348">
        <f t="shared" si="93"/>
        <v>0</v>
      </c>
      <c r="H159" s="345">
        <f t="shared" si="94"/>
        <v>0.57656899167777409</v>
      </c>
      <c r="I159" s="442">
        <f t="shared" si="95"/>
        <v>0.57656899167777409</v>
      </c>
      <c r="J159" s="467"/>
      <c r="K159" s="442"/>
      <c r="L159" s="467"/>
      <c r="M159" s="442">
        <f t="shared" si="96"/>
        <v>0.57656899167777409</v>
      </c>
      <c r="N159" s="442">
        <f t="shared" si="97"/>
        <v>0.57656899167777409</v>
      </c>
      <c r="O159" s="467"/>
      <c r="P159" s="442"/>
      <c r="Q159" s="467"/>
      <c r="R159" s="442">
        <f t="shared" si="98"/>
        <v>0.57656899167777409</v>
      </c>
      <c r="S159" s="442">
        <f t="shared" si="99"/>
        <v>0.57656899167777409</v>
      </c>
      <c r="T159" s="467"/>
      <c r="U159" s="442"/>
      <c r="V159" s="467"/>
      <c r="W159" s="442">
        <f t="shared" si="100"/>
        <v>0.57656899167777409</v>
      </c>
    </row>
    <row r="160" spans="2:23">
      <c r="B160" s="95">
        <f t="shared" si="101"/>
        <v>13</v>
      </c>
      <c r="C160" s="466" t="s">
        <v>865</v>
      </c>
      <c r="D160" s="348">
        <f t="shared" si="93"/>
        <v>0</v>
      </c>
      <c r="E160" s="348">
        <f t="shared" si="93"/>
        <v>0</v>
      </c>
      <c r="F160" s="348">
        <f t="shared" si="93"/>
        <v>0</v>
      </c>
      <c r="G160" s="348">
        <f t="shared" si="93"/>
        <v>0</v>
      </c>
      <c r="H160" s="345">
        <f t="shared" ref="H160:H164" si="102">D160+E160-F160-G160</f>
        <v>0</v>
      </c>
      <c r="I160" s="442">
        <f t="shared" si="95"/>
        <v>0</v>
      </c>
      <c r="J160" s="467"/>
      <c r="K160" s="442"/>
      <c r="L160" s="467"/>
      <c r="M160" s="442">
        <f t="shared" si="96"/>
        <v>0</v>
      </c>
      <c r="N160" s="442">
        <f t="shared" si="97"/>
        <v>0</v>
      </c>
      <c r="O160" s="467"/>
      <c r="P160" s="442"/>
      <c r="Q160" s="467"/>
      <c r="R160" s="442">
        <f t="shared" si="98"/>
        <v>0</v>
      </c>
      <c r="S160" s="442">
        <f t="shared" si="99"/>
        <v>0</v>
      </c>
      <c r="T160" s="467"/>
      <c r="U160" s="442"/>
      <c r="V160" s="467"/>
      <c r="W160" s="442">
        <f t="shared" si="100"/>
        <v>0</v>
      </c>
    </row>
    <row r="161" spans="2:23">
      <c r="B161" s="95">
        <f t="shared" si="101"/>
        <v>14</v>
      </c>
      <c r="C161" s="466" t="s">
        <v>866</v>
      </c>
      <c r="D161" s="348">
        <f t="shared" si="93"/>
        <v>-8.2860775000000528E-3</v>
      </c>
      <c r="E161" s="348">
        <f t="shared" si="93"/>
        <v>0</v>
      </c>
      <c r="F161" s="348">
        <f t="shared" si="93"/>
        <v>0</v>
      </c>
      <c r="G161" s="348">
        <f t="shared" si="93"/>
        <v>0</v>
      </c>
      <c r="H161" s="345">
        <f t="shared" si="102"/>
        <v>-8.2860775000000528E-3</v>
      </c>
      <c r="I161" s="442">
        <f t="shared" si="95"/>
        <v>-8.2860775000000528E-3</v>
      </c>
      <c r="J161" s="467"/>
      <c r="K161" s="442"/>
      <c r="L161" s="467"/>
      <c r="M161" s="442">
        <f t="shared" si="96"/>
        <v>-8.2860775000000528E-3</v>
      </c>
      <c r="N161" s="442">
        <f t="shared" si="97"/>
        <v>-8.2860775000000528E-3</v>
      </c>
      <c r="O161" s="467"/>
      <c r="P161" s="442"/>
      <c r="Q161" s="467"/>
      <c r="R161" s="442">
        <f t="shared" si="98"/>
        <v>-8.2860775000000528E-3</v>
      </c>
      <c r="S161" s="442">
        <f t="shared" si="99"/>
        <v>-8.2860775000000528E-3</v>
      </c>
      <c r="T161" s="467"/>
      <c r="U161" s="442"/>
      <c r="V161" s="467"/>
      <c r="W161" s="442">
        <f t="shared" si="100"/>
        <v>-8.2860775000000528E-3</v>
      </c>
    </row>
    <row r="162" spans="2:23">
      <c r="B162" s="95">
        <f t="shared" si="101"/>
        <v>15</v>
      </c>
      <c r="C162" s="466" t="s">
        <v>867</v>
      </c>
      <c r="D162" s="348">
        <f t="shared" si="93"/>
        <v>0</v>
      </c>
      <c r="E162" s="348">
        <f t="shared" si="93"/>
        <v>0</v>
      </c>
      <c r="F162" s="348">
        <f t="shared" si="93"/>
        <v>0</v>
      </c>
      <c r="G162" s="348">
        <f t="shared" si="93"/>
        <v>0</v>
      </c>
      <c r="H162" s="345">
        <f t="shared" si="102"/>
        <v>0</v>
      </c>
      <c r="I162" s="442">
        <f t="shared" si="95"/>
        <v>0</v>
      </c>
      <c r="J162" s="467"/>
      <c r="K162" s="442"/>
      <c r="L162" s="467"/>
      <c r="M162" s="442">
        <f t="shared" si="96"/>
        <v>0</v>
      </c>
      <c r="N162" s="442">
        <f t="shared" si="97"/>
        <v>0</v>
      </c>
      <c r="O162" s="467"/>
      <c r="P162" s="442"/>
      <c r="Q162" s="467"/>
      <c r="R162" s="442">
        <f t="shared" si="98"/>
        <v>0</v>
      </c>
      <c r="S162" s="442">
        <f t="shared" si="99"/>
        <v>0</v>
      </c>
      <c r="T162" s="467"/>
      <c r="U162" s="442"/>
      <c r="V162" s="467"/>
      <c r="W162" s="442">
        <f t="shared" si="100"/>
        <v>0</v>
      </c>
    </row>
    <row r="163" spans="2:23">
      <c r="B163" s="95">
        <f t="shared" si="101"/>
        <v>16</v>
      </c>
      <c r="C163" s="466" t="s">
        <v>818</v>
      </c>
      <c r="D163" s="348">
        <f t="shared" si="93"/>
        <v>0</v>
      </c>
      <c r="E163" s="348">
        <f t="shared" si="93"/>
        <v>0</v>
      </c>
      <c r="F163" s="348">
        <f t="shared" si="93"/>
        <v>0</v>
      </c>
      <c r="G163" s="348">
        <f t="shared" si="93"/>
        <v>0</v>
      </c>
      <c r="H163" s="345">
        <f t="shared" si="102"/>
        <v>0</v>
      </c>
      <c r="I163" s="442">
        <f t="shared" si="95"/>
        <v>0</v>
      </c>
      <c r="J163" s="467"/>
      <c r="K163" s="442"/>
      <c r="L163" s="467"/>
      <c r="M163" s="442">
        <f t="shared" si="96"/>
        <v>0</v>
      </c>
      <c r="N163" s="442">
        <f t="shared" si="97"/>
        <v>0</v>
      </c>
      <c r="O163" s="467"/>
      <c r="P163" s="442"/>
      <c r="Q163" s="467"/>
      <c r="R163" s="442">
        <f t="shared" si="98"/>
        <v>0</v>
      </c>
      <c r="S163" s="442">
        <f t="shared" si="99"/>
        <v>0</v>
      </c>
      <c r="T163" s="467"/>
      <c r="U163" s="442"/>
      <c r="V163" s="467"/>
      <c r="W163" s="442">
        <f t="shared" si="100"/>
        <v>0</v>
      </c>
    </row>
    <row r="164" spans="2:23">
      <c r="B164" s="95">
        <f t="shared" si="101"/>
        <v>17</v>
      </c>
      <c r="C164" s="466" t="s">
        <v>868</v>
      </c>
      <c r="D164" s="348">
        <f t="shared" si="93"/>
        <v>0</v>
      </c>
      <c r="E164" s="348">
        <f t="shared" si="93"/>
        <v>0</v>
      </c>
      <c r="F164" s="348">
        <f t="shared" si="93"/>
        <v>0</v>
      </c>
      <c r="G164" s="348">
        <f t="shared" si="93"/>
        <v>0</v>
      </c>
      <c r="H164" s="345">
        <f t="shared" si="102"/>
        <v>0</v>
      </c>
      <c r="I164" s="442">
        <f t="shared" si="95"/>
        <v>0</v>
      </c>
      <c r="J164" s="467"/>
      <c r="K164" s="442"/>
      <c r="L164" s="467"/>
      <c r="M164" s="442">
        <f t="shared" si="96"/>
        <v>0</v>
      </c>
      <c r="N164" s="442">
        <f t="shared" si="97"/>
        <v>0</v>
      </c>
      <c r="O164" s="467"/>
      <c r="P164" s="442"/>
      <c r="Q164" s="467"/>
      <c r="R164" s="442">
        <f t="shared" si="98"/>
        <v>0</v>
      </c>
      <c r="S164" s="442">
        <f t="shared" si="99"/>
        <v>0</v>
      </c>
      <c r="T164" s="467"/>
      <c r="U164" s="442"/>
      <c r="V164" s="467"/>
      <c r="W164" s="442">
        <f t="shared" si="100"/>
        <v>0</v>
      </c>
    </row>
    <row r="165" spans="2:23" ht="16">
      <c r="B165" s="83"/>
      <c r="C165" s="97" t="s">
        <v>272</v>
      </c>
      <c r="D165" s="347">
        <f>SUM(D148:D163)</f>
        <v>2481.0592574118441</v>
      </c>
      <c r="E165" s="347">
        <f>SUM(E148:E163)</f>
        <v>-43.296680396660022</v>
      </c>
      <c r="F165" s="347">
        <f>SUM(F148:F163)</f>
        <v>0</v>
      </c>
      <c r="G165" s="347">
        <f>SUM(G148:G163)</f>
        <v>0</v>
      </c>
      <c r="H165" s="347">
        <f>SUM(H148:H163)</f>
        <v>2437.762577015184</v>
      </c>
      <c r="I165" s="347">
        <f t="shared" ref="I165:W165" si="103">SUM(I148:I164)</f>
        <v>2437.762577015184</v>
      </c>
      <c r="J165" s="347">
        <f t="shared" si="103"/>
        <v>0</v>
      </c>
      <c r="K165" s="347">
        <f t="shared" si="103"/>
        <v>0</v>
      </c>
      <c r="L165" s="347">
        <f t="shared" si="103"/>
        <v>0</v>
      </c>
      <c r="M165" s="347">
        <f t="shared" si="103"/>
        <v>2437.762577015184</v>
      </c>
      <c r="N165" s="347">
        <f t="shared" si="103"/>
        <v>2437.762577015184</v>
      </c>
      <c r="O165" s="347">
        <f t="shared" si="103"/>
        <v>0</v>
      </c>
      <c r="P165" s="347">
        <f t="shared" si="103"/>
        <v>0</v>
      </c>
      <c r="Q165" s="347">
        <f t="shared" si="103"/>
        <v>0</v>
      </c>
      <c r="R165" s="347">
        <f t="shared" si="103"/>
        <v>2437.762577015184</v>
      </c>
      <c r="S165" s="347">
        <f t="shared" si="103"/>
        <v>2437.762577015184</v>
      </c>
      <c r="T165" s="347">
        <f t="shared" si="103"/>
        <v>0</v>
      </c>
      <c r="U165" s="347">
        <f t="shared" si="103"/>
        <v>0</v>
      </c>
      <c r="V165" s="347">
        <f t="shared" si="103"/>
        <v>0</v>
      </c>
      <c r="W165" s="347">
        <f t="shared" si="103"/>
        <v>2437.762577015184</v>
      </c>
    </row>
    <row r="166" spans="2:23">
      <c r="B166" s="265"/>
      <c r="C166" s="79"/>
      <c r="D166" s="79"/>
      <c r="E166" s="79"/>
      <c r="F166" s="79"/>
    </row>
  </sheetData>
  <mergeCells count="61">
    <mergeCell ref="B144:B146"/>
    <mergeCell ref="C144:C146"/>
    <mergeCell ref="N119:R119"/>
    <mergeCell ref="S119:W119"/>
    <mergeCell ref="N65:R65"/>
    <mergeCell ref="S65:W65"/>
    <mergeCell ref="N118:R118"/>
    <mergeCell ref="D92:H92"/>
    <mergeCell ref="I92:M92"/>
    <mergeCell ref="D144:H144"/>
    <mergeCell ref="D145:H145"/>
    <mergeCell ref="I144:M144"/>
    <mergeCell ref="I145:M145"/>
    <mergeCell ref="S118:W118"/>
    <mergeCell ref="I119:M119"/>
    <mergeCell ref="D119:H119"/>
    <mergeCell ref="D118:H118"/>
    <mergeCell ref="I64:M64"/>
    <mergeCell ref="B36:B38"/>
    <mergeCell ref="C36:C38"/>
    <mergeCell ref="B64:B66"/>
    <mergeCell ref="I118:M118"/>
    <mergeCell ref="B118:B120"/>
    <mergeCell ref="C118:C120"/>
    <mergeCell ref="B91:B93"/>
    <mergeCell ref="C91:C93"/>
    <mergeCell ref="D36:H36"/>
    <mergeCell ref="D37:H37"/>
    <mergeCell ref="I36:M36"/>
    <mergeCell ref="I37:M37"/>
    <mergeCell ref="D91:H91"/>
    <mergeCell ref="I91:M91"/>
    <mergeCell ref="N11:R11"/>
    <mergeCell ref="S11:W11"/>
    <mergeCell ref="S10:W10"/>
    <mergeCell ref="N10:R10"/>
    <mergeCell ref="C64:C66"/>
    <mergeCell ref="D65:H65"/>
    <mergeCell ref="D64:H64"/>
    <mergeCell ref="I65:M65"/>
    <mergeCell ref="N64:R64"/>
    <mergeCell ref="S64:W64"/>
    <mergeCell ref="S36:W36"/>
    <mergeCell ref="S37:W37"/>
    <mergeCell ref="N36:R36"/>
    <mergeCell ref="N37:R37"/>
    <mergeCell ref="B33:G33"/>
    <mergeCell ref="B10:B12"/>
    <mergeCell ref="C10:C12"/>
    <mergeCell ref="I10:M10"/>
    <mergeCell ref="I11:M11"/>
    <mergeCell ref="D10:H10"/>
    <mergeCell ref="D11:H11"/>
    <mergeCell ref="N145:R145"/>
    <mergeCell ref="S145:W145"/>
    <mergeCell ref="N91:R91"/>
    <mergeCell ref="S91:W91"/>
    <mergeCell ref="N92:R92"/>
    <mergeCell ref="S92:W92"/>
    <mergeCell ref="N144:R144"/>
    <mergeCell ref="S144:W144"/>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88"/>
  <sheetViews>
    <sheetView showGridLines="0" view="pageBreakPreview" topLeftCell="N31" zoomScale="70" zoomScaleNormal="68" zoomScaleSheetLayoutView="70" workbookViewId="0">
      <selection activeCell="AC44" sqref="AC44:AC60"/>
    </sheetView>
  </sheetViews>
  <sheetFormatPr defaultColWidth="9.08984375" defaultRowHeight="14"/>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c r="B1" s="869"/>
    </row>
    <row r="2" spans="1:29">
      <c r="B2" s="869"/>
    </row>
    <row r="3" spans="1:29">
      <c r="B3" s="869"/>
    </row>
    <row r="4" spans="1:29">
      <c r="B4" s="8"/>
      <c r="N4" s="871"/>
      <c r="O4" s="871"/>
      <c r="P4" s="867" t="str">
        <f>Index!B2</f>
        <v xml:space="preserve">      Maharashtra State Power Generation Company Ltd.</v>
      </c>
      <c r="Q4" s="872"/>
      <c r="R4" s="871"/>
      <c r="S4" s="871"/>
      <c r="T4" s="871"/>
      <c r="U4" s="871"/>
      <c r="V4" s="871"/>
      <c r="W4" s="871"/>
      <c r="X4" s="871"/>
      <c r="Y4" s="871"/>
      <c r="Z4" s="871"/>
      <c r="AA4" s="871"/>
      <c r="AB4" s="871"/>
      <c r="AC4" s="871"/>
    </row>
    <row r="5" spans="1:29">
      <c r="B5" s="8"/>
      <c r="N5" s="873"/>
      <c r="O5" s="873"/>
      <c r="P5" s="867" t="str">
        <f>Index!B3</f>
        <v>MYT Petition Formats for Bhusawal Units 4&amp;5</v>
      </c>
      <c r="Q5" s="872"/>
      <c r="R5" s="873"/>
      <c r="S5" s="873"/>
      <c r="T5" s="873"/>
      <c r="U5" s="873"/>
      <c r="V5" s="873"/>
      <c r="W5" s="873"/>
      <c r="X5" s="873"/>
      <c r="Y5" s="873"/>
      <c r="Z5" s="873"/>
      <c r="AA5" s="873"/>
      <c r="AB5" s="873"/>
      <c r="AC5" s="871"/>
    </row>
    <row r="6" spans="1:29">
      <c r="B6" s="871"/>
      <c r="N6" s="871"/>
      <c r="O6" s="8"/>
      <c r="P6" s="130" t="s">
        <v>1030</v>
      </c>
      <c r="Q6" s="130"/>
      <c r="R6" s="8"/>
      <c r="S6" s="8"/>
      <c r="T6" s="871"/>
      <c r="U6" s="871"/>
      <c r="V6" s="871"/>
      <c r="W6" s="871"/>
      <c r="X6" s="871"/>
      <c r="Y6" s="871"/>
      <c r="Z6" s="871"/>
      <c r="AA6" s="871"/>
      <c r="AB6" s="871"/>
      <c r="AC6" s="871"/>
    </row>
    <row r="7" spans="1:29">
      <c r="C7" s="8"/>
      <c r="D7" s="8"/>
      <c r="E7" s="8"/>
      <c r="F7" s="8"/>
      <c r="G7" s="8"/>
      <c r="H7" s="8"/>
      <c r="I7" s="8"/>
      <c r="J7" s="8"/>
      <c r="K7" s="8"/>
      <c r="L7" s="8"/>
      <c r="M7" s="8"/>
      <c r="O7" s="44"/>
      <c r="R7" s="44"/>
      <c r="S7" s="44"/>
    </row>
    <row r="8" spans="1:29">
      <c r="A8" s="1" t="s">
        <v>266</v>
      </c>
      <c r="B8" s="869" t="s">
        <v>267</v>
      </c>
      <c r="C8" s="869"/>
      <c r="D8" s="869"/>
      <c r="E8" s="869"/>
      <c r="F8" s="869"/>
      <c r="G8" s="869"/>
      <c r="H8" s="869"/>
      <c r="I8" s="869"/>
      <c r="J8" s="869"/>
      <c r="K8" s="869"/>
      <c r="L8" s="869"/>
      <c r="M8" s="869"/>
      <c r="O8" s="44"/>
      <c r="R8" s="44"/>
      <c r="S8" s="44"/>
      <c r="W8" s="874"/>
    </row>
    <row r="9" spans="1:29">
      <c r="B9" s="255"/>
      <c r="C9" s="8"/>
      <c r="D9" s="8"/>
      <c r="E9" s="8"/>
      <c r="F9" s="8"/>
      <c r="G9" s="8"/>
      <c r="H9" s="8"/>
      <c r="I9" s="8"/>
      <c r="J9" s="8"/>
      <c r="K9" s="8"/>
      <c r="L9" s="8"/>
      <c r="M9" s="8"/>
      <c r="O9" s="44"/>
      <c r="R9" s="44"/>
      <c r="S9" s="44"/>
      <c r="W9" s="874"/>
      <c r="AB9" s="256" t="s">
        <v>10</v>
      </c>
    </row>
    <row r="10" spans="1:29">
      <c r="B10" s="869"/>
      <c r="C10" s="8"/>
      <c r="D10" s="8"/>
      <c r="E10" s="8"/>
      <c r="F10" s="8"/>
      <c r="G10" s="8"/>
      <c r="H10" s="8"/>
      <c r="I10" s="8"/>
      <c r="J10" s="8"/>
      <c r="K10" s="8"/>
      <c r="L10" s="8"/>
      <c r="M10" s="8"/>
      <c r="O10" s="44"/>
      <c r="R10" s="44"/>
      <c r="S10" s="44"/>
    </row>
    <row r="11" spans="1:29" ht="15.75" customHeight="1">
      <c r="B11" s="869"/>
      <c r="C11" s="8"/>
      <c r="D11" s="8"/>
      <c r="E11" s="8"/>
      <c r="F11" s="8"/>
      <c r="G11" s="8"/>
      <c r="H11" s="8"/>
      <c r="I11" s="8"/>
      <c r="J11" s="8"/>
      <c r="K11" s="8"/>
      <c r="L11" s="8"/>
      <c r="M11" s="8"/>
      <c r="O11" s="44"/>
      <c r="R11" s="44"/>
      <c r="S11" s="44"/>
      <c r="AB11" s="256" t="s">
        <v>10</v>
      </c>
    </row>
    <row r="12" spans="1:29" ht="15.75" customHeight="1">
      <c r="B12" s="1719" t="s">
        <v>341</v>
      </c>
      <c r="C12" s="1719" t="s">
        <v>37</v>
      </c>
      <c r="D12" s="1719" t="s">
        <v>947</v>
      </c>
      <c r="E12" s="1719"/>
      <c r="F12" s="1719"/>
      <c r="G12" s="1719"/>
      <c r="H12" s="1719"/>
      <c r="I12" s="1835" t="s">
        <v>948</v>
      </c>
      <c r="J12" s="1835"/>
      <c r="K12" s="1835"/>
      <c r="L12" s="1835"/>
      <c r="M12" s="1835"/>
      <c r="N12" s="1835" t="s">
        <v>949</v>
      </c>
      <c r="O12" s="1835"/>
      <c r="P12" s="1835"/>
      <c r="Q12" s="1835"/>
      <c r="R12" s="1835"/>
      <c r="S12" s="1835" t="s">
        <v>950</v>
      </c>
      <c r="T12" s="1835"/>
      <c r="U12" s="1835"/>
      <c r="V12" s="1835"/>
      <c r="W12" s="1835"/>
      <c r="X12" s="1835" t="s">
        <v>951</v>
      </c>
      <c r="Y12" s="1835"/>
      <c r="Z12" s="1835"/>
      <c r="AA12" s="1835"/>
      <c r="AB12" s="1835"/>
    </row>
    <row r="13" spans="1:29">
      <c r="B13" s="1719"/>
      <c r="C13" s="1719"/>
      <c r="D13" s="1841" t="s">
        <v>21</v>
      </c>
      <c r="E13" s="1842"/>
      <c r="F13" s="1842"/>
      <c r="G13" s="1842"/>
      <c r="H13" s="1842"/>
      <c r="I13" s="1839" t="s">
        <v>21</v>
      </c>
      <c r="J13" s="1840"/>
      <c r="K13" s="1840"/>
      <c r="L13" s="1840"/>
      <c r="M13" s="1840"/>
      <c r="N13" s="1839" t="s">
        <v>21</v>
      </c>
      <c r="O13" s="1840"/>
      <c r="P13" s="1840"/>
      <c r="Q13" s="1840"/>
      <c r="R13" s="1840"/>
      <c r="S13" s="1839" t="s">
        <v>21</v>
      </c>
      <c r="T13" s="1840"/>
      <c r="U13" s="1840"/>
      <c r="V13" s="1840"/>
      <c r="W13" s="1840"/>
      <c r="X13" s="1839" t="s">
        <v>21</v>
      </c>
      <c r="Y13" s="1840"/>
      <c r="Z13" s="1840"/>
      <c r="AA13" s="1840"/>
      <c r="AB13" s="1840"/>
    </row>
    <row r="14" spans="1:29" s="129" customFormat="1" ht="42">
      <c r="B14" s="1719"/>
      <c r="C14" s="1719"/>
      <c r="D14" s="868" t="s">
        <v>268</v>
      </c>
      <c r="E14" s="868" t="s">
        <v>269</v>
      </c>
      <c r="F14" s="868" t="s">
        <v>270</v>
      </c>
      <c r="G14" s="868" t="s">
        <v>555</v>
      </c>
      <c r="H14" s="868" t="s">
        <v>271</v>
      </c>
      <c r="I14" s="870" t="s">
        <v>268</v>
      </c>
      <c r="J14" s="870" t="s">
        <v>269</v>
      </c>
      <c r="K14" s="870" t="s">
        <v>270</v>
      </c>
      <c r="L14" s="868" t="s">
        <v>555</v>
      </c>
      <c r="M14" s="870" t="s">
        <v>271</v>
      </c>
      <c r="N14" s="870" t="s">
        <v>268</v>
      </c>
      <c r="O14" s="870" t="s">
        <v>269</v>
      </c>
      <c r="P14" s="870" t="s">
        <v>270</v>
      </c>
      <c r="Q14" s="868" t="s">
        <v>555</v>
      </c>
      <c r="R14" s="870" t="s">
        <v>271</v>
      </c>
      <c r="S14" s="870" t="s">
        <v>268</v>
      </c>
      <c r="T14" s="870" t="s">
        <v>269</v>
      </c>
      <c r="U14" s="870" t="s">
        <v>270</v>
      </c>
      <c r="V14" s="868" t="s">
        <v>555</v>
      </c>
      <c r="W14" s="870" t="s">
        <v>271</v>
      </c>
      <c r="X14" s="870" t="s">
        <v>268</v>
      </c>
      <c r="Y14" s="870" t="s">
        <v>269</v>
      </c>
      <c r="Z14" s="870" t="s">
        <v>270</v>
      </c>
      <c r="AA14" s="868" t="s">
        <v>555</v>
      </c>
      <c r="AB14" s="870" t="s">
        <v>271</v>
      </c>
    </row>
    <row r="15" spans="1:29" s="44" customFormat="1">
      <c r="B15" s="257"/>
      <c r="C15" s="257"/>
      <c r="D15" s="257" t="s">
        <v>81</v>
      </c>
      <c r="E15" s="257" t="s">
        <v>82</v>
      </c>
      <c r="F15" s="257" t="s">
        <v>462</v>
      </c>
      <c r="G15" s="257" t="s">
        <v>392</v>
      </c>
      <c r="H15" s="257" t="s">
        <v>556</v>
      </c>
      <c r="I15" s="257" t="s">
        <v>410</v>
      </c>
      <c r="J15" s="257" t="s">
        <v>512</v>
      </c>
      <c r="K15" s="257" t="s">
        <v>411</v>
      </c>
      <c r="L15" s="257" t="s">
        <v>412</v>
      </c>
      <c r="M15" s="257" t="s">
        <v>621</v>
      </c>
      <c r="N15" s="257" t="s">
        <v>557</v>
      </c>
      <c r="O15" s="257" t="s">
        <v>622</v>
      </c>
      <c r="P15" s="257" t="s">
        <v>558</v>
      </c>
      <c r="Q15" s="257" t="s">
        <v>559</v>
      </c>
      <c r="R15" s="257" t="s">
        <v>1031</v>
      </c>
      <c r="S15" s="257" t="s">
        <v>560</v>
      </c>
      <c r="T15" s="257" t="s">
        <v>561</v>
      </c>
      <c r="U15" s="257" t="s">
        <v>623</v>
      </c>
      <c r="V15" s="257" t="s">
        <v>562</v>
      </c>
      <c r="W15" s="257" t="s">
        <v>1032</v>
      </c>
      <c r="X15" s="257" t="s">
        <v>563</v>
      </c>
      <c r="Y15" s="257" t="s">
        <v>564</v>
      </c>
      <c r="Z15" s="257" t="s">
        <v>565</v>
      </c>
      <c r="AA15" s="257" t="s">
        <v>624</v>
      </c>
      <c r="AB15" s="257" t="s">
        <v>625</v>
      </c>
    </row>
    <row r="16" spans="1:29" s="44" customFormat="1">
      <c r="B16" s="464">
        <v>1</v>
      </c>
      <c r="C16" s="466" t="s">
        <v>810</v>
      </c>
      <c r="D16" s="1053">
        <v>0</v>
      </c>
      <c r="E16" s="1053">
        <v>0</v>
      </c>
      <c r="F16" s="1053">
        <v>0</v>
      </c>
      <c r="G16" s="876"/>
      <c r="H16" s="877">
        <f>D16+E16-F16-G16</f>
        <v>0</v>
      </c>
      <c r="I16" s="851">
        <f>H16</f>
        <v>0</v>
      </c>
      <c r="J16" s="1053">
        <v>0</v>
      </c>
      <c r="K16" s="1053">
        <v>0</v>
      </c>
      <c r="L16" s="876"/>
      <c r="M16" s="851">
        <f>I16+J16-K16-L16</f>
        <v>0</v>
      </c>
      <c r="N16" s="878">
        <f>M16</f>
        <v>0</v>
      </c>
      <c r="O16" s="1053">
        <v>0</v>
      </c>
      <c r="P16" s="1053">
        <v>0</v>
      </c>
      <c r="Q16" s="876"/>
      <c r="R16" s="879">
        <f>N16+O16-P16-Q16</f>
        <v>0</v>
      </c>
      <c r="S16" s="879">
        <f>R16</f>
        <v>0</v>
      </c>
      <c r="T16" s="1053">
        <v>0</v>
      </c>
      <c r="U16" s="1053">
        <v>0</v>
      </c>
      <c r="V16" s="876"/>
      <c r="W16" s="879">
        <f>S16+T16-U16-V16</f>
        <v>0</v>
      </c>
      <c r="X16" s="879">
        <f>W16</f>
        <v>0</v>
      </c>
      <c r="Y16" s="1054">
        <v>0</v>
      </c>
      <c r="Z16" s="1054">
        <v>0</v>
      </c>
      <c r="AA16" s="876"/>
      <c r="AB16" s="879">
        <f>X16+Y16-Z16-AA16</f>
        <v>0</v>
      </c>
    </row>
    <row r="17" spans="2:28" s="44" customFormat="1">
      <c r="B17" s="464">
        <f>B16+1</f>
        <v>2</v>
      </c>
      <c r="C17" s="466" t="s">
        <v>811</v>
      </c>
      <c r="D17" s="1053">
        <v>0</v>
      </c>
      <c r="E17" s="1053">
        <v>0</v>
      </c>
      <c r="F17" s="1053">
        <v>0</v>
      </c>
      <c r="G17" s="876"/>
      <c r="H17" s="877">
        <f t="shared" ref="H17:H32" si="0">D17+E17-F17-G17</f>
        <v>0</v>
      </c>
      <c r="I17" s="851">
        <f t="shared" ref="I17:I32" si="1">H17</f>
        <v>0</v>
      </c>
      <c r="J17" s="1053">
        <v>0</v>
      </c>
      <c r="K17" s="1053">
        <v>0</v>
      </c>
      <c r="L17" s="876"/>
      <c r="M17" s="851">
        <f t="shared" ref="M17:M32" si="2">I17+J17-K17-L17</f>
        <v>0</v>
      </c>
      <c r="N17" s="878">
        <f t="shared" ref="N17:N32" si="3">M17</f>
        <v>0</v>
      </c>
      <c r="O17" s="1053">
        <v>0</v>
      </c>
      <c r="P17" s="1053">
        <v>0</v>
      </c>
      <c r="Q17" s="876"/>
      <c r="R17" s="879">
        <f t="shared" ref="R17:R32" si="4">N17+O17-P17-Q17</f>
        <v>0</v>
      </c>
      <c r="S17" s="879">
        <f t="shared" ref="S17:S32" si="5">R17</f>
        <v>0</v>
      </c>
      <c r="T17" s="1053">
        <v>0</v>
      </c>
      <c r="U17" s="1053">
        <v>0</v>
      </c>
      <c r="V17" s="876"/>
      <c r="W17" s="879">
        <f t="shared" ref="W17:W32" si="6">S17+T17-U17-V17</f>
        <v>0</v>
      </c>
      <c r="X17" s="879">
        <f t="shared" ref="X17:X32" si="7">W17</f>
        <v>0</v>
      </c>
      <c r="Y17" s="1054">
        <v>0</v>
      </c>
      <c r="Z17" s="1054">
        <v>0</v>
      </c>
      <c r="AA17" s="876"/>
      <c r="AB17" s="879">
        <f t="shared" ref="AB17:AB32" si="8">X17+Y17-Z17-AA17</f>
        <v>0</v>
      </c>
    </row>
    <row r="18" spans="2:28">
      <c r="B18" s="464">
        <f t="shared" ref="B18:B32" si="9">B17+1</f>
        <v>3</v>
      </c>
      <c r="C18" s="466" t="s">
        <v>812</v>
      </c>
      <c r="D18" s="1055">
        <v>0</v>
      </c>
      <c r="E18" s="1055">
        <v>10</v>
      </c>
      <c r="F18" s="1055">
        <v>0</v>
      </c>
      <c r="G18" s="880"/>
      <c r="H18" s="877">
        <f t="shared" si="0"/>
        <v>10</v>
      </c>
      <c r="I18" s="851">
        <f t="shared" si="1"/>
        <v>10</v>
      </c>
      <c r="J18" s="1055">
        <v>0</v>
      </c>
      <c r="K18" s="1055">
        <v>0</v>
      </c>
      <c r="L18" s="880"/>
      <c r="M18" s="851">
        <f t="shared" si="2"/>
        <v>10</v>
      </c>
      <c r="N18" s="878">
        <f t="shared" si="3"/>
        <v>10</v>
      </c>
      <c r="O18" s="1055">
        <v>0</v>
      </c>
      <c r="P18" s="1055">
        <v>0</v>
      </c>
      <c r="Q18" s="880"/>
      <c r="R18" s="879">
        <f t="shared" si="4"/>
        <v>10</v>
      </c>
      <c r="S18" s="879">
        <f t="shared" si="5"/>
        <v>10</v>
      </c>
      <c r="T18" s="1055">
        <v>0</v>
      </c>
      <c r="U18" s="1055">
        <v>0</v>
      </c>
      <c r="V18" s="880"/>
      <c r="W18" s="879">
        <f t="shared" si="6"/>
        <v>10</v>
      </c>
      <c r="X18" s="879">
        <f t="shared" si="7"/>
        <v>10</v>
      </c>
      <c r="Y18" s="1056">
        <v>0</v>
      </c>
      <c r="Z18" s="1056">
        <v>0</v>
      </c>
      <c r="AA18" s="880"/>
      <c r="AB18" s="879">
        <f t="shared" si="8"/>
        <v>10</v>
      </c>
    </row>
    <row r="19" spans="2:28">
      <c r="B19" s="464">
        <f t="shared" si="9"/>
        <v>4</v>
      </c>
      <c r="C19" s="466" t="s">
        <v>813</v>
      </c>
      <c r="D19" s="1053">
        <v>0</v>
      </c>
      <c r="E19" s="1053">
        <v>0</v>
      </c>
      <c r="F19" s="1053">
        <v>0</v>
      </c>
      <c r="G19" s="876"/>
      <c r="H19" s="877">
        <f t="shared" si="0"/>
        <v>0</v>
      </c>
      <c r="I19" s="851">
        <f t="shared" si="1"/>
        <v>0</v>
      </c>
      <c r="J19" s="1053">
        <v>0</v>
      </c>
      <c r="K19" s="1053">
        <v>0</v>
      </c>
      <c r="L19" s="876"/>
      <c r="M19" s="851">
        <f t="shared" si="2"/>
        <v>0</v>
      </c>
      <c r="N19" s="878">
        <f t="shared" si="3"/>
        <v>0</v>
      </c>
      <c r="O19" s="1053">
        <v>0</v>
      </c>
      <c r="P19" s="1053">
        <v>0</v>
      </c>
      <c r="Q19" s="876"/>
      <c r="R19" s="879">
        <f t="shared" si="4"/>
        <v>0</v>
      </c>
      <c r="S19" s="879">
        <f t="shared" si="5"/>
        <v>0</v>
      </c>
      <c r="T19" s="1053">
        <v>0</v>
      </c>
      <c r="U19" s="1053">
        <v>0</v>
      </c>
      <c r="V19" s="876"/>
      <c r="W19" s="879">
        <f t="shared" si="6"/>
        <v>0</v>
      </c>
      <c r="X19" s="879">
        <f t="shared" si="7"/>
        <v>0</v>
      </c>
      <c r="Y19" s="1054">
        <v>0</v>
      </c>
      <c r="Z19" s="1054">
        <v>0</v>
      </c>
      <c r="AA19" s="876"/>
      <c r="AB19" s="879">
        <f t="shared" si="8"/>
        <v>0</v>
      </c>
    </row>
    <row r="20" spans="2:28">
      <c r="B20" s="464">
        <f t="shared" si="9"/>
        <v>5</v>
      </c>
      <c r="C20" s="466" t="s">
        <v>814</v>
      </c>
      <c r="D20" s="1053">
        <v>0</v>
      </c>
      <c r="E20" s="1053">
        <v>2.1999999999999997</v>
      </c>
      <c r="F20" s="1053">
        <v>0</v>
      </c>
      <c r="G20" s="876"/>
      <c r="H20" s="877">
        <f t="shared" si="0"/>
        <v>2.1999999999999997</v>
      </c>
      <c r="I20" s="851">
        <f t="shared" si="1"/>
        <v>2.1999999999999997</v>
      </c>
      <c r="J20" s="1053">
        <v>0</v>
      </c>
      <c r="K20" s="1053">
        <v>0</v>
      </c>
      <c r="L20" s="876"/>
      <c r="M20" s="851">
        <f t="shared" si="2"/>
        <v>2.1999999999999997</v>
      </c>
      <c r="N20" s="878">
        <f t="shared" si="3"/>
        <v>2.1999999999999997</v>
      </c>
      <c r="O20" s="1053">
        <v>0</v>
      </c>
      <c r="P20" s="1053">
        <v>0</v>
      </c>
      <c r="Q20" s="876"/>
      <c r="R20" s="879">
        <f t="shared" si="4"/>
        <v>2.1999999999999997</v>
      </c>
      <c r="S20" s="879">
        <f t="shared" si="5"/>
        <v>2.1999999999999997</v>
      </c>
      <c r="T20" s="1053">
        <v>0</v>
      </c>
      <c r="U20" s="1053">
        <v>0</v>
      </c>
      <c r="V20" s="876"/>
      <c r="W20" s="879">
        <f t="shared" si="6"/>
        <v>2.1999999999999997</v>
      </c>
      <c r="X20" s="879">
        <f t="shared" si="7"/>
        <v>2.1999999999999997</v>
      </c>
      <c r="Y20" s="1054">
        <v>0</v>
      </c>
      <c r="Z20" s="1054">
        <v>0</v>
      </c>
      <c r="AA20" s="876"/>
      <c r="AB20" s="879">
        <f t="shared" si="8"/>
        <v>2.1999999999999997</v>
      </c>
    </row>
    <row r="21" spans="2:28">
      <c r="B21" s="464">
        <f t="shared" si="9"/>
        <v>6</v>
      </c>
      <c r="C21" s="466" t="s">
        <v>256</v>
      </c>
      <c r="D21" s="1053">
        <v>0</v>
      </c>
      <c r="E21" s="1053">
        <v>46.709999999999994</v>
      </c>
      <c r="F21" s="1053">
        <v>0</v>
      </c>
      <c r="G21" s="876"/>
      <c r="H21" s="877">
        <f t="shared" si="0"/>
        <v>46.709999999999994</v>
      </c>
      <c r="I21" s="851">
        <f t="shared" si="1"/>
        <v>46.709999999999994</v>
      </c>
      <c r="J21" s="1053">
        <v>169.25000000000006</v>
      </c>
      <c r="K21" s="1053">
        <v>0</v>
      </c>
      <c r="L21" s="876"/>
      <c r="M21" s="851">
        <f t="shared" si="2"/>
        <v>215.96000000000004</v>
      </c>
      <c r="N21" s="878">
        <f t="shared" si="3"/>
        <v>215.96000000000004</v>
      </c>
      <c r="O21" s="1053">
        <v>72.66</v>
      </c>
      <c r="P21" s="1053">
        <v>0</v>
      </c>
      <c r="Q21" s="876"/>
      <c r="R21" s="879">
        <f t="shared" si="4"/>
        <v>288.62</v>
      </c>
      <c r="S21" s="879">
        <f t="shared" si="5"/>
        <v>288.62</v>
      </c>
      <c r="T21" s="1053">
        <v>171.33333333333331</v>
      </c>
      <c r="U21" s="1053">
        <v>0</v>
      </c>
      <c r="V21" s="876"/>
      <c r="W21" s="879">
        <f t="shared" si="6"/>
        <v>459.95333333333332</v>
      </c>
      <c r="X21" s="879">
        <f t="shared" si="7"/>
        <v>459.95333333333332</v>
      </c>
      <c r="Y21" s="1054">
        <v>145</v>
      </c>
      <c r="Z21" s="1054">
        <v>0</v>
      </c>
      <c r="AA21" s="876"/>
      <c r="AB21" s="879">
        <f t="shared" si="8"/>
        <v>604.95333333333338</v>
      </c>
    </row>
    <row r="22" spans="2:28">
      <c r="B22" s="464">
        <f t="shared" si="9"/>
        <v>7</v>
      </c>
      <c r="C22" s="466" t="s">
        <v>815</v>
      </c>
      <c r="D22" s="1053">
        <v>0</v>
      </c>
      <c r="E22" s="1053">
        <v>0</v>
      </c>
      <c r="F22" s="1053">
        <v>0</v>
      </c>
      <c r="G22" s="881"/>
      <c r="H22" s="877">
        <f t="shared" si="0"/>
        <v>0</v>
      </c>
      <c r="I22" s="851">
        <f t="shared" si="1"/>
        <v>0</v>
      </c>
      <c r="J22" s="1053">
        <v>0</v>
      </c>
      <c r="K22" s="1053">
        <v>0</v>
      </c>
      <c r="L22" s="881"/>
      <c r="M22" s="851">
        <f t="shared" si="2"/>
        <v>0</v>
      </c>
      <c r="N22" s="878">
        <f t="shared" si="3"/>
        <v>0</v>
      </c>
      <c r="O22" s="1053">
        <v>0</v>
      </c>
      <c r="P22" s="1053">
        <v>0</v>
      </c>
      <c r="Q22" s="881"/>
      <c r="R22" s="879">
        <f t="shared" si="4"/>
        <v>0</v>
      </c>
      <c r="S22" s="879">
        <f t="shared" si="5"/>
        <v>0</v>
      </c>
      <c r="T22" s="1053">
        <v>0</v>
      </c>
      <c r="U22" s="1053">
        <v>0</v>
      </c>
      <c r="V22" s="881"/>
      <c r="W22" s="879">
        <f t="shared" si="6"/>
        <v>0</v>
      </c>
      <c r="X22" s="879">
        <f t="shared" si="7"/>
        <v>0</v>
      </c>
      <c r="Y22" s="1054">
        <v>0</v>
      </c>
      <c r="Z22" s="1054">
        <v>0</v>
      </c>
      <c r="AA22" s="881"/>
      <c r="AB22" s="879">
        <f t="shared" si="8"/>
        <v>0</v>
      </c>
    </row>
    <row r="23" spans="2:28">
      <c r="B23" s="464">
        <f t="shared" si="9"/>
        <v>8</v>
      </c>
      <c r="C23" s="466" t="s">
        <v>816</v>
      </c>
      <c r="D23" s="1053">
        <v>0</v>
      </c>
      <c r="E23" s="1053">
        <v>0</v>
      </c>
      <c r="F23" s="1053">
        <v>0</v>
      </c>
      <c r="G23" s="881"/>
      <c r="H23" s="877">
        <f t="shared" si="0"/>
        <v>0</v>
      </c>
      <c r="I23" s="851">
        <f t="shared" si="1"/>
        <v>0</v>
      </c>
      <c r="J23" s="1053">
        <v>0</v>
      </c>
      <c r="K23" s="1053">
        <v>0</v>
      </c>
      <c r="L23" s="881"/>
      <c r="M23" s="851">
        <f t="shared" si="2"/>
        <v>0</v>
      </c>
      <c r="N23" s="878">
        <f t="shared" si="3"/>
        <v>0</v>
      </c>
      <c r="O23" s="1053">
        <v>0</v>
      </c>
      <c r="P23" s="1053">
        <v>0</v>
      </c>
      <c r="Q23" s="881"/>
      <c r="R23" s="879">
        <f t="shared" si="4"/>
        <v>0</v>
      </c>
      <c r="S23" s="879">
        <f t="shared" si="5"/>
        <v>0</v>
      </c>
      <c r="T23" s="1053">
        <v>0</v>
      </c>
      <c r="U23" s="1053">
        <v>0</v>
      </c>
      <c r="V23" s="881"/>
      <c r="W23" s="879">
        <f t="shared" si="6"/>
        <v>0</v>
      </c>
      <c r="X23" s="879">
        <f t="shared" si="7"/>
        <v>0</v>
      </c>
      <c r="Y23" s="1054">
        <v>0</v>
      </c>
      <c r="Z23" s="1054">
        <v>0</v>
      </c>
      <c r="AA23" s="881"/>
      <c r="AB23" s="879">
        <f t="shared" si="8"/>
        <v>0</v>
      </c>
    </row>
    <row r="24" spans="2:28">
      <c r="B24" s="464">
        <f t="shared" si="9"/>
        <v>9</v>
      </c>
      <c r="C24" s="466" t="s">
        <v>817</v>
      </c>
      <c r="D24" s="1053">
        <v>0</v>
      </c>
      <c r="E24" s="1053">
        <v>0</v>
      </c>
      <c r="F24" s="1053">
        <v>0</v>
      </c>
      <c r="G24" s="881"/>
      <c r="H24" s="877">
        <f t="shared" si="0"/>
        <v>0</v>
      </c>
      <c r="I24" s="851">
        <f t="shared" si="1"/>
        <v>0</v>
      </c>
      <c r="J24" s="1053">
        <v>0</v>
      </c>
      <c r="K24" s="1053">
        <v>0</v>
      </c>
      <c r="L24" s="881"/>
      <c r="M24" s="851">
        <f t="shared" si="2"/>
        <v>0</v>
      </c>
      <c r="N24" s="878">
        <f t="shared" si="3"/>
        <v>0</v>
      </c>
      <c r="O24" s="1053">
        <v>0</v>
      </c>
      <c r="P24" s="1053">
        <v>0</v>
      </c>
      <c r="Q24" s="881"/>
      <c r="R24" s="879">
        <f t="shared" si="4"/>
        <v>0</v>
      </c>
      <c r="S24" s="879">
        <f t="shared" si="5"/>
        <v>0</v>
      </c>
      <c r="T24" s="1053">
        <v>0</v>
      </c>
      <c r="U24" s="1053">
        <v>0</v>
      </c>
      <c r="V24" s="881"/>
      <c r="W24" s="879">
        <f t="shared" si="6"/>
        <v>0</v>
      </c>
      <c r="X24" s="879">
        <f t="shared" si="7"/>
        <v>0</v>
      </c>
      <c r="Y24" s="1054">
        <v>0</v>
      </c>
      <c r="Z24" s="1054">
        <v>0</v>
      </c>
      <c r="AA24" s="881"/>
      <c r="AB24" s="879">
        <f t="shared" si="8"/>
        <v>0</v>
      </c>
    </row>
    <row r="25" spans="2:28">
      <c r="B25" s="464">
        <f t="shared" si="9"/>
        <v>10</v>
      </c>
      <c r="C25" s="466" t="s">
        <v>259</v>
      </c>
      <c r="D25" s="1053">
        <v>0</v>
      </c>
      <c r="E25" s="1053">
        <v>0</v>
      </c>
      <c r="F25" s="1053">
        <v>0</v>
      </c>
      <c r="G25" s="881"/>
      <c r="H25" s="877">
        <f t="shared" si="0"/>
        <v>0</v>
      </c>
      <c r="I25" s="851">
        <f t="shared" si="1"/>
        <v>0</v>
      </c>
      <c r="J25" s="1053">
        <v>1.8374999999999999</v>
      </c>
      <c r="K25" s="1053">
        <v>0</v>
      </c>
      <c r="L25" s="881"/>
      <c r="M25" s="851">
        <f t="shared" si="2"/>
        <v>1.8374999999999999</v>
      </c>
      <c r="N25" s="878">
        <f t="shared" si="3"/>
        <v>1.8374999999999999</v>
      </c>
      <c r="O25" s="1053">
        <v>6.84</v>
      </c>
      <c r="P25" s="1053">
        <v>0</v>
      </c>
      <c r="Q25" s="881"/>
      <c r="R25" s="879">
        <f t="shared" si="4"/>
        <v>8.6775000000000002</v>
      </c>
      <c r="S25" s="879">
        <f t="shared" si="5"/>
        <v>8.6775000000000002</v>
      </c>
      <c r="T25" s="1053">
        <v>0</v>
      </c>
      <c r="U25" s="1053">
        <v>0</v>
      </c>
      <c r="V25" s="881"/>
      <c r="W25" s="879">
        <f t="shared" si="6"/>
        <v>8.6775000000000002</v>
      </c>
      <c r="X25" s="879">
        <f t="shared" si="7"/>
        <v>8.6775000000000002</v>
      </c>
      <c r="Y25" s="1054">
        <v>0</v>
      </c>
      <c r="Z25" s="1054">
        <v>0</v>
      </c>
      <c r="AA25" s="881"/>
      <c r="AB25" s="879">
        <f t="shared" si="8"/>
        <v>8.6775000000000002</v>
      </c>
    </row>
    <row r="26" spans="2:28">
      <c r="B26" s="464">
        <f t="shared" si="9"/>
        <v>11</v>
      </c>
      <c r="C26" s="466" t="s">
        <v>260</v>
      </c>
      <c r="D26" s="1053">
        <v>0</v>
      </c>
      <c r="E26" s="1053">
        <v>0</v>
      </c>
      <c r="F26" s="1053">
        <v>0</v>
      </c>
      <c r="G26" s="881"/>
      <c r="H26" s="877">
        <f t="shared" si="0"/>
        <v>0</v>
      </c>
      <c r="I26" s="851">
        <f t="shared" si="1"/>
        <v>0</v>
      </c>
      <c r="J26" s="1053">
        <v>0</v>
      </c>
      <c r="K26" s="1053">
        <v>0</v>
      </c>
      <c r="L26" s="881"/>
      <c r="M26" s="851">
        <f t="shared" si="2"/>
        <v>0</v>
      </c>
      <c r="N26" s="878">
        <f t="shared" si="3"/>
        <v>0</v>
      </c>
      <c r="O26" s="1053">
        <v>0</v>
      </c>
      <c r="P26" s="1053">
        <v>0</v>
      </c>
      <c r="Q26" s="881"/>
      <c r="R26" s="879">
        <f t="shared" si="4"/>
        <v>0</v>
      </c>
      <c r="S26" s="879">
        <f t="shared" si="5"/>
        <v>0</v>
      </c>
      <c r="T26" s="1053">
        <v>0</v>
      </c>
      <c r="U26" s="1053">
        <v>0</v>
      </c>
      <c r="V26" s="881"/>
      <c r="W26" s="879">
        <f t="shared" si="6"/>
        <v>0</v>
      </c>
      <c r="X26" s="879">
        <f t="shared" si="7"/>
        <v>0</v>
      </c>
      <c r="Y26" s="1054">
        <v>0</v>
      </c>
      <c r="Z26" s="1054">
        <v>0</v>
      </c>
      <c r="AA26" s="881"/>
      <c r="AB26" s="879">
        <f t="shared" si="8"/>
        <v>0</v>
      </c>
    </row>
    <row r="27" spans="2:28">
      <c r="B27" s="464">
        <f t="shared" si="9"/>
        <v>12</v>
      </c>
      <c r="C27" s="466" t="s">
        <v>261</v>
      </c>
      <c r="D27" s="1053">
        <v>0</v>
      </c>
      <c r="E27" s="1053">
        <v>0</v>
      </c>
      <c r="F27" s="1053">
        <v>0</v>
      </c>
      <c r="G27" s="881"/>
      <c r="H27" s="877">
        <f t="shared" si="0"/>
        <v>0</v>
      </c>
      <c r="I27" s="851">
        <f t="shared" si="1"/>
        <v>0</v>
      </c>
      <c r="J27" s="1053">
        <v>0</v>
      </c>
      <c r="K27" s="1053">
        <v>0</v>
      </c>
      <c r="L27" s="881"/>
      <c r="M27" s="851">
        <f t="shared" si="2"/>
        <v>0</v>
      </c>
      <c r="N27" s="878">
        <f t="shared" si="3"/>
        <v>0</v>
      </c>
      <c r="O27" s="1053">
        <v>0</v>
      </c>
      <c r="P27" s="1053">
        <v>0</v>
      </c>
      <c r="Q27" s="881"/>
      <c r="R27" s="879">
        <f t="shared" si="4"/>
        <v>0</v>
      </c>
      <c r="S27" s="879">
        <f t="shared" si="5"/>
        <v>0</v>
      </c>
      <c r="T27" s="1053">
        <v>0</v>
      </c>
      <c r="U27" s="1053">
        <v>0</v>
      </c>
      <c r="V27" s="881"/>
      <c r="W27" s="879">
        <f t="shared" si="6"/>
        <v>0</v>
      </c>
      <c r="X27" s="879">
        <f t="shared" si="7"/>
        <v>0</v>
      </c>
      <c r="Y27" s="1054">
        <v>0</v>
      </c>
      <c r="Z27" s="1054">
        <v>0</v>
      </c>
      <c r="AA27" s="881"/>
      <c r="AB27" s="879">
        <f t="shared" si="8"/>
        <v>0</v>
      </c>
    </row>
    <row r="28" spans="2:28">
      <c r="B28" s="464">
        <f t="shared" si="9"/>
        <v>13</v>
      </c>
      <c r="C28" s="466" t="s">
        <v>865</v>
      </c>
      <c r="D28" s="1053">
        <v>0</v>
      </c>
      <c r="E28" s="1053">
        <v>0</v>
      </c>
      <c r="F28" s="1053">
        <v>0</v>
      </c>
      <c r="G28" s="881"/>
      <c r="H28" s="877">
        <f t="shared" si="0"/>
        <v>0</v>
      </c>
      <c r="I28" s="851">
        <f t="shared" si="1"/>
        <v>0</v>
      </c>
      <c r="J28" s="1053">
        <v>0</v>
      </c>
      <c r="K28" s="1053">
        <v>0</v>
      </c>
      <c r="L28" s="881"/>
      <c r="M28" s="851">
        <f t="shared" si="2"/>
        <v>0</v>
      </c>
      <c r="N28" s="878">
        <f t="shared" si="3"/>
        <v>0</v>
      </c>
      <c r="O28" s="1053">
        <v>0</v>
      </c>
      <c r="P28" s="1053">
        <v>0</v>
      </c>
      <c r="Q28" s="881"/>
      <c r="R28" s="879">
        <f t="shared" si="4"/>
        <v>0</v>
      </c>
      <c r="S28" s="879">
        <f t="shared" si="5"/>
        <v>0</v>
      </c>
      <c r="T28" s="1053">
        <v>0</v>
      </c>
      <c r="U28" s="1053">
        <v>0</v>
      </c>
      <c r="V28" s="881"/>
      <c r="W28" s="879">
        <f t="shared" si="6"/>
        <v>0</v>
      </c>
      <c r="X28" s="879">
        <f t="shared" si="7"/>
        <v>0</v>
      </c>
      <c r="Y28" s="1054">
        <v>0</v>
      </c>
      <c r="Z28" s="1054">
        <v>0</v>
      </c>
      <c r="AA28" s="881"/>
      <c r="AB28" s="879">
        <f t="shared" si="8"/>
        <v>0</v>
      </c>
    </row>
    <row r="29" spans="2:28">
      <c r="B29" s="464">
        <f t="shared" si="9"/>
        <v>14</v>
      </c>
      <c r="C29" s="466" t="s">
        <v>866</v>
      </c>
      <c r="D29" s="1053">
        <v>0</v>
      </c>
      <c r="E29" s="1053">
        <v>0</v>
      </c>
      <c r="F29" s="1053">
        <v>0</v>
      </c>
      <c r="G29" s="881"/>
      <c r="H29" s="877">
        <f t="shared" si="0"/>
        <v>0</v>
      </c>
      <c r="I29" s="851">
        <f t="shared" si="1"/>
        <v>0</v>
      </c>
      <c r="J29" s="1053">
        <v>0</v>
      </c>
      <c r="K29" s="1053">
        <v>0</v>
      </c>
      <c r="L29" s="881"/>
      <c r="M29" s="851">
        <f t="shared" si="2"/>
        <v>0</v>
      </c>
      <c r="N29" s="878">
        <f t="shared" si="3"/>
        <v>0</v>
      </c>
      <c r="O29" s="1053">
        <v>0</v>
      </c>
      <c r="P29" s="1053">
        <v>0</v>
      </c>
      <c r="Q29" s="881"/>
      <c r="R29" s="879">
        <f t="shared" si="4"/>
        <v>0</v>
      </c>
      <c r="S29" s="879">
        <f t="shared" si="5"/>
        <v>0</v>
      </c>
      <c r="T29" s="1053">
        <v>0</v>
      </c>
      <c r="U29" s="1053">
        <v>0</v>
      </c>
      <c r="V29" s="881"/>
      <c r="W29" s="879">
        <f t="shared" si="6"/>
        <v>0</v>
      </c>
      <c r="X29" s="879">
        <f t="shared" si="7"/>
        <v>0</v>
      </c>
      <c r="Y29" s="1054">
        <v>0</v>
      </c>
      <c r="Z29" s="1054">
        <v>0</v>
      </c>
      <c r="AA29" s="881"/>
      <c r="AB29" s="879">
        <f t="shared" si="8"/>
        <v>0</v>
      </c>
    </row>
    <row r="30" spans="2:28">
      <c r="B30" s="464">
        <f t="shared" si="9"/>
        <v>15</v>
      </c>
      <c r="C30" s="466" t="s">
        <v>867</v>
      </c>
      <c r="D30" s="1053">
        <v>0</v>
      </c>
      <c r="E30" s="1053">
        <v>0</v>
      </c>
      <c r="F30" s="1053">
        <v>0</v>
      </c>
      <c r="G30" s="881"/>
      <c r="H30" s="877">
        <f t="shared" si="0"/>
        <v>0</v>
      </c>
      <c r="I30" s="851">
        <f t="shared" si="1"/>
        <v>0</v>
      </c>
      <c r="J30" s="1053">
        <v>0</v>
      </c>
      <c r="K30" s="1053">
        <v>0</v>
      </c>
      <c r="L30" s="881"/>
      <c r="M30" s="851">
        <f t="shared" si="2"/>
        <v>0</v>
      </c>
      <c r="N30" s="878">
        <f t="shared" si="3"/>
        <v>0</v>
      </c>
      <c r="O30" s="1053">
        <v>0</v>
      </c>
      <c r="P30" s="1053">
        <v>0</v>
      </c>
      <c r="Q30" s="881"/>
      <c r="R30" s="879">
        <f t="shared" si="4"/>
        <v>0</v>
      </c>
      <c r="S30" s="879">
        <f t="shared" si="5"/>
        <v>0</v>
      </c>
      <c r="T30" s="1053">
        <v>0</v>
      </c>
      <c r="U30" s="1053">
        <v>0</v>
      </c>
      <c r="V30" s="881"/>
      <c r="W30" s="879">
        <f t="shared" si="6"/>
        <v>0</v>
      </c>
      <c r="X30" s="879">
        <f t="shared" si="7"/>
        <v>0</v>
      </c>
      <c r="Y30" s="1054">
        <v>0</v>
      </c>
      <c r="Z30" s="1054">
        <v>0</v>
      </c>
      <c r="AA30" s="881"/>
      <c r="AB30" s="879">
        <f t="shared" si="8"/>
        <v>0</v>
      </c>
    </row>
    <row r="31" spans="2:28">
      <c r="B31" s="464">
        <f t="shared" si="9"/>
        <v>16</v>
      </c>
      <c r="C31" s="466" t="s">
        <v>818</v>
      </c>
      <c r="D31" s="1053">
        <v>0</v>
      </c>
      <c r="E31" s="1053">
        <v>0</v>
      </c>
      <c r="F31" s="1053">
        <v>0</v>
      </c>
      <c r="G31" s="881"/>
      <c r="H31" s="877">
        <f t="shared" si="0"/>
        <v>0</v>
      </c>
      <c r="I31" s="851">
        <f t="shared" si="1"/>
        <v>0</v>
      </c>
      <c r="J31" s="1053">
        <v>0</v>
      </c>
      <c r="K31" s="1053">
        <v>0</v>
      </c>
      <c r="L31" s="881"/>
      <c r="M31" s="851">
        <f t="shared" si="2"/>
        <v>0</v>
      </c>
      <c r="N31" s="878">
        <f t="shared" si="3"/>
        <v>0</v>
      </c>
      <c r="O31" s="1053">
        <v>0</v>
      </c>
      <c r="P31" s="1053">
        <v>0</v>
      </c>
      <c r="Q31" s="881"/>
      <c r="R31" s="879">
        <f t="shared" si="4"/>
        <v>0</v>
      </c>
      <c r="S31" s="879">
        <f t="shared" si="5"/>
        <v>0</v>
      </c>
      <c r="T31" s="1053">
        <v>0</v>
      </c>
      <c r="U31" s="1053">
        <v>0</v>
      </c>
      <c r="V31" s="881"/>
      <c r="W31" s="879">
        <f t="shared" si="6"/>
        <v>0</v>
      </c>
      <c r="X31" s="879">
        <f t="shared" si="7"/>
        <v>0</v>
      </c>
      <c r="Y31" s="1054">
        <v>0</v>
      </c>
      <c r="Z31" s="1054">
        <v>0</v>
      </c>
      <c r="AA31" s="881"/>
      <c r="AB31" s="879">
        <f t="shared" si="8"/>
        <v>0</v>
      </c>
    </row>
    <row r="32" spans="2:28">
      <c r="B32" s="464">
        <f t="shared" si="9"/>
        <v>17</v>
      </c>
      <c r="C32" s="466" t="s">
        <v>868</v>
      </c>
      <c r="D32" s="1057">
        <v>0</v>
      </c>
      <c r="E32" s="1053">
        <v>0</v>
      </c>
      <c r="F32" s="1053">
        <v>0</v>
      </c>
      <c r="G32" s="881"/>
      <c r="H32" s="877">
        <f t="shared" si="0"/>
        <v>0</v>
      </c>
      <c r="I32" s="851">
        <f t="shared" si="1"/>
        <v>0</v>
      </c>
      <c r="J32" s="1053">
        <v>0</v>
      </c>
      <c r="K32" s="1053">
        <v>0</v>
      </c>
      <c r="L32" s="881"/>
      <c r="M32" s="851">
        <f t="shared" si="2"/>
        <v>0</v>
      </c>
      <c r="N32" s="878">
        <f t="shared" si="3"/>
        <v>0</v>
      </c>
      <c r="O32" s="1053">
        <v>0</v>
      </c>
      <c r="P32" s="1053">
        <v>0</v>
      </c>
      <c r="Q32" s="881"/>
      <c r="R32" s="879">
        <f t="shared" si="4"/>
        <v>0</v>
      </c>
      <c r="S32" s="879">
        <f t="shared" si="5"/>
        <v>0</v>
      </c>
      <c r="T32" s="1053">
        <v>0</v>
      </c>
      <c r="U32" s="1053">
        <v>0</v>
      </c>
      <c r="V32" s="881"/>
      <c r="W32" s="879">
        <f t="shared" si="6"/>
        <v>0</v>
      </c>
      <c r="X32" s="879">
        <f t="shared" si="7"/>
        <v>0</v>
      </c>
      <c r="Y32" s="1054">
        <v>0</v>
      </c>
      <c r="Z32" s="1054">
        <v>0</v>
      </c>
      <c r="AA32" s="881"/>
      <c r="AB32" s="879">
        <f t="shared" si="8"/>
        <v>0</v>
      </c>
    </row>
    <row r="33" spans="2:32" ht="16">
      <c r="B33" s="83"/>
      <c r="C33" s="97" t="s">
        <v>272</v>
      </c>
      <c r="D33" s="97"/>
      <c r="E33" s="97"/>
      <c r="F33" s="97"/>
      <c r="G33" s="882"/>
      <c r="H33" s="883">
        <f>SUM(H16:H32)</f>
        <v>58.91</v>
      </c>
      <c r="I33" s="883">
        <f t="shared" ref="I33:AB33" si="10">SUM(I16:I32)</f>
        <v>58.91</v>
      </c>
      <c r="J33" s="883">
        <f t="shared" si="10"/>
        <v>171.08750000000006</v>
      </c>
      <c r="K33" s="883">
        <f t="shared" si="10"/>
        <v>0</v>
      </c>
      <c r="L33" s="883">
        <f t="shared" si="10"/>
        <v>0</v>
      </c>
      <c r="M33" s="883">
        <f t="shared" si="10"/>
        <v>229.99750000000003</v>
      </c>
      <c r="N33" s="883">
        <f t="shared" si="10"/>
        <v>229.99750000000003</v>
      </c>
      <c r="O33" s="883">
        <f t="shared" si="10"/>
        <v>79.5</v>
      </c>
      <c r="P33" s="883">
        <f t="shared" si="10"/>
        <v>0</v>
      </c>
      <c r="Q33" s="883">
        <f t="shared" si="10"/>
        <v>0</v>
      </c>
      <c r="R33" s="883">
        <f t="shared" si="10"/>
        <v>309.4975</v>
      </c>
      <c r="S33" s="883">
        <f t="shared" si="10"/>
        <v>309.4975</v>
      </c>
      <c r="T33" s="883">
        <f t="shared" si="10"/>
        <v>171.33333333333331</v>
      </c>
      <c r="U33" s="883">
        <f t="shared" si="10"/>
        <v>0</v>
      </c>
      <c r="V33" s="883">
        <f t="shared" si="10"/>
        <v>0</v>
      </c>
      <c r="W33" s="883">
        <f t="shared" si="10"/>
        <v>480.83083333333332</v>
      </c>
      <c r="X33" s="883">
        <f t="shared" si="10"/>
        <v>480.83083333333332</v>
      </c>
      <c r="Y33" s="883">
        <f t="shared" si="10"/>
        <v>145</v>
      </c>
      <c r="Z33" s="883">
        <f t="shared" si="10"/>
        <v>0</v>
      </c>
      <c r="AA33" s="883">
        <f t="shared" si="10"/>
        <v>0</v>
      </c>
      <c r="AB33" s="883">
        <f t="shared" si="10"/>
        <v>625.83083333333343</v>
      </c>
      <c r="AC33" s="259"/>
      <c r="AD33" s="259"/>
      <c r="AE33" s="259"/>
      <c r="AF33" s="259"/>
    </row>
    <row r="34" spans="2:32" ht="16">
      <c r="B34" s="259"/>
      <c r="C34" s="259"/>
      <c r="D34" s="259"/>
      <c r="E34" s="259"/>
      <c r="F34" s="259"/>
      <c r="G34" s="259"/>
      <c r="H34" s="259"/>
      <c r="I34" s="259"/>
      <c r="J34" s="259"/>
      <c r="K34" s="259"/>
      <c r="L34" s="259"/>
      <c r="M34" s="259"/>
      <c r="N34" s="259"/>
      <c r="O34" s="259"/>
      <c r="P34" s="259"/>
      <c r="Q34" s="259"/>
      <c r="R34" s="259"/>
      <c r="S34" s="259"/>
      <c r="T34" s="259"/>
    </row>
    <row r="35" spans="2:32" ht="16">
      <c r="B35" s="259"/>
      <c r="C35" s="259"/>
      <c r="D35" s="259"/>
      <c r="E35" s="259"/>
      <c r="F35" s="259"/>
      <c r="G35" s="259"/>
      <c r="H35" s="259"/>
      <c r="I35" s="259"/>
      <c r="J35" s="259"/>
      <c r="K35" s="259"/>
      <c r="L35" s="259"/>
      <c r="M35" s="259"/>
      <c r="N35" s="259"/>
      <c r="O35" s="259"/>
      <c r="P35" s="259"/>
      <c r="Q35" s="259"/>
      <c r="R35" s="259"/>
      <c r="S35" s="259"/>
      <c r="T35" s="259"/>
    </row>
    <row r="37" spans="2:32">
      <c r="B37" s="869" t="s">
        <v>273</v>
      </c>
    </row>
    <row r="38" spans="2:32" ht="15" customHeight="1">
      <c r="B38" s="259"/>
      <c r="C38" s="261"/>
      <c r="D38" s="261"/>
      <c r="E38" s="261"/>
      <c r="F38" s="261"/>
      <c r="G38" s="261"/>
      <c r="H38" s="261"/>
      <c r="I38" s="261"/>
      <c r="J38" s="261"/>
      <c r="K38" s="261"/>
      <c r="L38" s="261"/>
      <c r="M38" s="261"/>
      <c r="N38" s="259"/>
      <c r="O38" s="259"/>
      <c r="P38" s="259"/>
      <c r="Q38" s="259"/>
      <c r="R38" s="259"/>
      <c r="S38" s="259"/>
      <c r="T38" s="259"/>
      <c r="U38" s="259"/>
      <c r="V38" s="259"/>
      <c r="W38" s="259"/>
      <c r="X38" s="259"/>
      <c r="Y38" s="259"/>
      <c r="Z38" s="259"/>
      <c r="AA38" s="259"/>
      <c r="AB38" s="259"/>
    </row>
    <row r="39" spans="2:32" ht="29.4" customHeight="1">
      <c r="B39" s="259"/>
      <c r="C39" s="884"/>
      <c r="D39" s="261"/>
      <c r="E39" s="261"/>
      <c r="F39" s="261"/>
      <c r="G39" s="261"/>
      <c r="H39" s="261"/>
      <c r="I39" s="261"/>
      <c r="J39" s="261"/>
      <c r="K39" s="261"/>
      <c r="L39" s="261"/>
      <c r="M39" s="261"/>
      <c r="N39" s="259"/>
      <c r="O39" s="259"/>
      <c r="P39" s="259"/>
      <c r="Q39" s="259"/>
      <c r="R39" s="259"/>
      <c r="S39" s="259"/>
      <c r="T39" s="259"/>
      <c r="U39" s="259"/>
      <c r="V39" s="259"/>
      <c r="W39" s="256" t="s">
        <v>10</v>
      </c>
      <c r="X39" s="259"/>
      <c r="Y39" s="259"/>
      <c r="Z39" s="259"/>
      <c r="AA39" s="259"/>
      <c r="AB39" s="259"/>
    </row>
    <row r="40" spans="2:32">
      <c r="B40" s="1719" t="s">
        <v>341</v>
      </c>
      <c r="C40" s="1719" t="s">
        <v>37</v>
      </c>
      <c r="D40" s="1847" t="s">
        <v>947</v>
      </c>
      <c r="E40" s="1848"/>
      <c r="F40" s="1848"/>
      <c r="G40" s="1848"/>
      <c r="H40" s="1849"/>
      <c r="I40" s="1835" t="s">
        <v>948</v>
      </c>
      <c r="J40" s="1835"/>
      <c r="K40" s="1835"/>
      <c r="L40" s="1835"/>
      <c r="M40" s="1835"/>
      <c r="N40" s="1835" t="s">
        <v>949</v>
      </c>
      <c r="O40" s="1835"/>
      <c r="P40" s="1835"/>
      <c r="Q40" s="1835"/>
      <c r="R40" s="1835"/>
      <c r="S40" s="1835" t="s">
        <v>950</v>
      </c>
      <c r="T40" s="1835"/>
      <c r="U40" s="1835"/>
      <c r="V40" s="1835"/>
      <c r="W40" s="1835"/>
      <c r="X40" s="1835" t="s">
        <v>951</v>
      </c>
      <c r="Y40" s="1835"/>
      <c r="Z40" s="1835"/>
      <c r="AA40" s="1835"/>
      <c r="AB40" s="1835"/>
    </row>
    <row r="41" spans="2:32">
      <c r="B41" s="1719"/>
      <c r="C41" s="1719"/>
      <c r="D41" s="1839" t="s">
        <v>21</v>
      </c>
      <c r="E41" s="1840"/>
      <c r="F41" s="1840"/>
      <c r="G41" s="1840"/>
      <c r="H41" s="1840"/>
      <c r="I41" s="1839" t="s">
        <v>21</v>
      </c>
      <c r="J41" s="1840"/>
      <c r="K41" s="1840"/>
      <c r="L41" s="1840"/>
      <c r="M41" s="1840"/>
      <c r="N41" s="1839" t="s">
        <v>21</v>
      </c>
      <c r="O41" s="1840"/>
      <c r="P41" s="1840"/>
      <c r="Q41" s="1840"/>
      <c r="R41" s="1840"/>
      <c r="S41" s="1839" t="s">
        <v>21</v>
      </c>
      <c r="T41" s="1840"/>
      <c r="U41" s="1840"/>
      <c r="V41" s="1840"/>
      <c r="W41" s="1840"/>
      <c r="X41" s="1839" t="s">
        <v>21</v>
      </c>
      <c r="Y41" s="1840"/>
      <c r="Z41" s="1840"/>
      <c r="AA41" s="1840"/>
      <c r="AB41" s="1840"/>
    </row>
    <row r="42" spans="2:32" ht="56">
      <c r="B42" s="1719"/>
      <c r="C42" s="1719"/>
      <c r="D42" s="870" t="s">
        <v>274</v>
      </c>
      <c r="E42" s="870" t="s">
        <v>269</v>
      </c>
      <c r="F42" s="260" t="s">
        <v>275</v>
      </c>
      <c r="G42" s="868" t="s">
        <v>555</v>
      </c>
      <c r="H42" s="870" t="s">
        <v>276</v>
      </c>
      <c r="I42" s="870" t="s">
        <v>274</v>
      </c>
      <c r="J42" s="870" t="s">
        <v>269</v>
      </c>
      <c r="K42" s="260" t="s">
        <v>275</v>
      </c>
      <c r="L42" s="868" t="s">
        <v>555</v>
      </c>
      <c r="M42" s="870" t="s">
        <v>276</v>
      </c>
      <c r="N42" s="870" t="s">
        <v>274</v>
      </c>
      <c r="O42" s="870" t="s">
        <v>269</v>
      </c>
      <c r="P42" s="260" t="s">
        <v>275</v>
      </c>
      <c r="Q42" s="868" t="s">
        <v>555</v>
      </c>
      <c r="R42" s="870" t="s">
        <v>276</v>
      </c>
      <c r="S42" s="870" t="s">
        <v>274</v>
      </c>
      <c r="T42" s="870" t="s">
        <v>269</v>
      </c>
      <c r="U42" s="260" t="s">
        <v>275</v>
      </c>
      <c r="V42" s="868" t="s">
        <v>555</v>
      </c>
      <c r="W42" s="870" t="s">
        <v>276</v>
      </c>
      <c r="X42" s="870" t="s">
        <v>274</v>
      </c>
      <c r="Y42" s="870" t="s">
        <v>269</v>
      </c>
      <c r="Z42" s="260" t="s">
        <v>275</v>
      </c>
      <c r="AA42" s="868" t="s">
        <v>555</v>
      </c>
      <c r="AB42" s="870" t="s">
        <v>276</v>
      </c>
    </row>
    <row r="43" spans="2:32">
      <c r="B43" s="257"/>
      <c r="C43" s="257"/>
      <c r="D43" s="257" t="s">
        <v>81</v>
      </c>
      <c r="E43" s="257" t="s">
        <v>82</v>
      </c>
      <c r="F43" s="257" t="s">
        <v>462</v>
      </c>
      <c r="G43" s="257" t="s">
        <v>392</v>
      </c>
      <c r="H43" s="257" t="s">
        <v>556</v>
      </c>
      <c r="I43" s="257" t="s">
        <v>410</v>
      </c>
      <c r="J43" s="257" t="s">
        <v>512</v>
      </c>
      <c r="K43" s="257" t="s">
        <v>411</v>
      </c>
      <c r="L43" s="257" t="s">
        <v>412</v>
      </c>
      <c r="M43" s="257" t="s">
        <v>621</v>
      </c>
      <c r="N43" s="257" t="s">
        <v>557</v>
      </c>
      <c r="O43" s="257" t="s">
        <v>622</v>
      </c>
      <c r="P43" s="257" t="s">
        <v>558</v>
      </c>
      <c r="Q43" s="257" t="s">
        <v>559</v>
      </c>
      <c r="R43" s="257" t="s">
        <v>1031</v>
      </c>
      <c r="S43" s="257" t="s">
        <v>560</v>
      </c>
      <c r="T43" s="257" t="s">
        <v>561</v>
      </c>
      <c r="U43" s="257" t="s">
        <v>623</v>
      </c>
      <c r="V43" s="257" t="s">
        <v>562</v>
      </c>
      <c r="W43" s="257" t="s">
        <v>1032</v>
      </c>
      <c r="X43" s="257" t="s">
        <v>563</v>
      </c>
      <c r="Y43" s="257" t="s">
        <v>564</v>
      </c>
      <c r="Z43" s="257" t="s">
        <v>565</v>
      </c>
      <c r="AA43" s="257" t="s">
        <v>624</v>
      </c>
      <c r="AB43" s="257" t="s">
        <v>1033</v>
      </c>
    </row>
    <row r="44" spans="2:32">
      <c r="B44" s="464">
        <v>1</v>
      </c>
      <c r="C44" s="466" t="s">
        <v>810</v>
      </c>
      <c r="D44" s="1053">
        <v>0</v>
      </c>
      <c r="E44" s="691">
        <f>IF((IFERROR(D44/((D16+E16)*90%),0))&lt;70%,MIN((MAX((D16+E16)*90%-D44,0)),(D16+E16/2)*$AC44),MAX((D16+E16)*90%-D44,0)/E$62)</f>
        <v>0</v>
      </c>
      <c r="F44" s="691">
        <f>IFERROR(IF(D44=0,0,D44/D16*F16),0)</f>
        <v>0</v>
      </c>
      <c r="G44" s="885"/>
      <c r="H44" s="691">
        <f>D44+E44-F44-G44</f>
        <v>0</v>
      </c>
      <c r="I44" s="886">
        <f>H44</f>
        <v>0</v>
      </c>
      <c r="J44" s="691">
        <f>IF((IFERROR(I44/((I16+J16)*90%),0))&lt;70%,MIN((MAX((I16+J16)*90%-I44,0)),(I16+J16/2)*$AC44),MAX((I16+J16)*90%-I44,0)/J$62)</f>
        <v>0</v>
      </c>
      <c r="K44" s="691">
        <f>IFERROR(IF(I44=0,0,I44/I16*K16),0)</f>
        <v>0</v>
      </c>
      <c r="L44" s="885"/>
      <c r="M44" s="886">
        <f t="shared" ref="M44:M60" si="11">I44+J44-K44-L44</f>
        <v>0</v>
      </c>
      <c r="N44" s="878">
        <f>M44</f>
        <v>0</v>
      </c>
      <c r="O44" s="691">
        <f>IF((IFERROR(N44/((N16+O16)*90%),0))&lt;70%,MIN((MAX((N16+O16)*90%-N44,0)),(N16+O16/2)*$AC44),MAX((N16+O16)*90%-N44,0)/O$62)</f>
        <v>0</v>
      </c>
      <c r="P44" s="691">
        <f>IFERROR(IF(N44=0,0,N44/N16*P16),0)</f>
        <v>0</v>
      </c>
      <c r="Q44" s="885"/>
      <c r="R44" s="691">
        <f>N44+O44-P44-Q44</f>
        <v>0</v>
      </c>
      <c r="S44" s="886">
        <f>R44</f>
        <v>0</v>
      </c>
      <c r="T44" s="691">
        <f>IF((IFERROR(S44/((S16+T16)*90%),0))&lt;70%,MIN((MAX((S16+T16)*90%-S44,0)),(S16+T16/2)*$AC44),MAX((S16+T16)*90%-S44,0)/T$62)</f>
        <v>0</v>
      </c>
      <c r="U44" s="691">
        <f>IFERROR(IF(S44=0,0,S44/S16*U16),0)</f>
        <v>0</v>
      </c>
      <c r="V44" s="885"/>
      <c r="W44" s="886">
        <f>S44+T44-U44-V44</f>
        <v>0</v>
      </c>
      <c r="X44" s="878">
        <f>W44</f>
        <v>0</v>
      </c>
      <c r="Y44" s="691">
        <f>IF((IFERROR(X44/((X16+Y16)*90%),0))&lt;70%,MIN((MAX((X16+Y16)*90%-X44,0)),(X16+Y16/2)*$AC44),MAX((X16+Y16)*90%-X44,0)/Y$62)</f>
        <v>0</v>
      </c>
      <c r="Z44" s="691">
        <f>IFERROR(IF(X44=0,0,X44/X16*Z16),0)</f>
        <v>0</v>
      </c>
      <c r="AA44" s="876"/>
      <c r="AB44" s="9"/>
      <c r="AC44" s="1202">
        <v>0</v>
      </c>
    </row>
    <row r="45" spans="2:32">
      <c r="B45" s="464">
        <f>B44+1</f>
        <v>2</v>
      </c>
      <c r="C45" s="466" t="s">
        <v>811</v>
      </c>
      <c r="D45" s="1053">
        <v>0</v>
      </c>
      <c r="E45" s="691">
        <f t="shared" ref="E45:E60" si="12">IF((IFERROR(D45/((D17+E17)*90%),0))&lt;70%,MIN((MAX((D17+E17)*90%-D45,0)),(D17+E17/2)*$AC45),MAX((D17+E17)*90%-D45,0)/E$62)</f>
        <v>0</v>
      </c>
      <c r="F45" s="691">
        <f t="shared" ref="F45:F60" si="13">IFERROR(IF(D45=0,0,D45/D17*F17),0)</f>
        <v>0</v>
      </c>
      <c r="G45" s="885"/>
      <c r="H45" s="691">
        <f>D45+E45-F45-G45</f>
        <v>0</v>
      </c>
      <c r="I45" s="886">
        <f t="shared" ref="I45:I60" si="14">H45</f>
        <v>0</v>
      </c>
      <c r="J45" s="691">
        <f t="shared" ref="J45:J60" si="15">IF((IFERROR(I45/((I17+J17)*90%),0))&lt;70%,MIN((MAX((I17+J17)*90%-I45,0)),(I17+J17/2)*$AC45),MAX((I17+J17)*90%-I45,0)/J$62)</f>
        <v>0</v>
      </c>
      <c r="K45" s="691">
        <f t="shared" ref="K45:K60" si="16">IFERROR(IF(I45=0,0,I45/I17*K17),0)</f>
        <v>0</v>
      </c>
      <c r="L45" s="885"/>
      <c r="M45" s="886">
        <f t="shared" si="11"/>
        <v>0</v>
      </c>
      <c r="N45" s="878">
        <f t="shared" ref="N45:N60" si="17">M45</f>
        <v>0</v>
      </c>
      <c r="O45" s="691">
        <f t="shared" ref="O45:O60" si="18">IF((IFERROR(N45/((N17+O17)*90%),0))&lt;70%,MIN((MAX((N17+O17)*90%-N45,0)),(N17+O17/2)*$AC45),MAX((N17+O17)*90%-N45,0)/O$62)</f>
        <v>0</v>
      </c>
      <c r="P45" s="691">
        <f t="shared" ref="P45:P60" si="19">IFERROR(IF(N45=0,0,N45/N17*P17),0)</f>
        <v>0</v>
      </c>
      <c r="Q45" s="885"/>
      <c r="R45" s="691">
        <f t="shared" ref="R45:R60" si="20">N45+O45-P45-Q45</f>
        <v>0</v>
      </c>
      <c r="S45" s="886">
        <f t="shared" ref="S45:S60" si="21">R45</f>
        <v>0</v>
      </c>
      <c r="T45" s="691">
        <f t="shared" ref="T45:T60" si="22">IF((IFERROR(S45/((S17+T17)*90%),0))&lt;70%,MIN((MAX((S17+T17)*90%-S45,0)),(S17+T17/2)*$AC45),MAX((S17+T17)*90%-S45,0)/T$62)</f>
        <v>0</v>
      </c>
      <c r="U45" s="691">
        <f t="shared" ref="U45:U60" si="23">IFERROR(IF(S45=0,0,S45/S17*U17),0)</f>
        <v>0</v>
      </c>
      <c r="V45" s="885"/>
      <c r="W45" s="886">
        <f t="shared" ref="W45:W60" si="24">S45+T45-U45-V45</f>
        <v>0</v>
      </c>
      <c r="X45" s="878">
        <f t="shared" ref="X45:X60" si="25">W45</f>
        <v>0</v>
      </c>
      <c r="Y45" s="691">
        <f t="shared" ref="Y45:Y60" si="26">IF((IFERROR(X45/((X17+Y17)*90%),0))&lt;70%,MIN((MAX((X17+Y17)*90%-X45,0)),(X17+Y17/2)*$AC45),MAX((X17+Y17)*90%-X45,0)/Y$62)</f>
        <v>0</v>
      </c>
      <c r="Z45" s="691">
        <f t="shared" ref="Z45:Z60" si="27">IFERROR(IF(X45=0,0,X45/X17*Z17),0)</f>
        <v>0</v>
      </c>
      <c r="AA45" s="876"/>
      <c r="AB45" s="9"/>
      <c r="AC45" s="1202">
        <v>3.3399999999999999E-2</v>
      </c>
    </row>
    <row r="46" spans="2:32">
      <c r="B46" s="464">
        <f t="shared" ref="B46:B60" si="28">B45+1</f>
        <v>3</v>
      </c>
      <c r="C46" s="466" t="s">
        <v>812</v>
      </c>
      <c r="D46" s="1053">
        <v>0</v>
      </c>
      <c r="E46" s="691">
        <f t="shared" si="12"/>
        <v>0.21100000000000002</v>
      </c>
      <c r="F46" s="691">
        <f t="shared" si="13"/>
        <v>0</v>
      </c>
      <c r="G46" s="885"/>
      <c r="H46" s="691">
        <f t="shared" ref="H46:H60" si="29">D46+E46-F46-G46</f>
        <v>0.21100000000000002</v>
      </c>
      <c r="I46" s="886">
        <f t="shared" si="14"/>
        <v>0.21100000000000002</v>
      </c>
      <c r="J46" s="691">
        <f t="shared" si="15"/>
        <v>0.42200000000000004</v>
      </c>
      <c r="K46" s="691">
        <f t="shared" si="16"/>
        <v>0</v>
      </c>
      <c r="L46" s="885"/>
      <c r="M46" s="886">
        <f t="shared" si="11"/>
        <v>0.63300000000000001</v>
      </c>
      <c r="N46" s="878">
        <f t="shared" si="17"/>
        <v>0.63300000000000001</v>
      </c>
      <c r="O46" s="691">
        <f t="shared" si="18"/>
        <v>0.42200000000000004</v>
      </c>
      <c r="P46" s="691">
        <f t="shared" si="19"/>
        <v>0</v>
      </c>
      <c r="Q46" s="885"/>
      <c r="R46" s="691">
        <f t="shared" si="20"/>
        <v>1.0550000000000002</v>
      </c>
      <c r="S46" s="886">
        <f t="shared" si="21"/>
        <v>1.0550000000000002</v>
      </c>
      <c r="T46" s="691">
        <f t="shared" si="22"/>
        <v>0.42200000000000004</v>
      </c>
      <c r="U46" s="691">
        <f t="shared" si="23"/>
        <v>0</v>
      </c>
      <c r="V46" s="885"/>
      <c r="W46" s="886">
        <f t="shared" si="24"/>
        <v>1.4770000000000003</v>
      </c>
      <c r="X46" s="878">
        <f t="shared" si="25"/>
        <v>1.4770000000000003</v>
      </c>
      <c r="Y46" s="691">
        <f t="shared" si="26"/>
        <v>0.42200000000000004</v>
      </c>
      <c r="Z46" s="691">
        <f t="shared" si="27"/>
        <v>0</v>
      </c>
      <c r="AA46" s="880"/>
      <c r="AB46" s="9"/>
      <c r="AC46" s="1202">
        <v>4.2200000000000001E-2</v>
      </c>
    </row>
    <row r="47" spans="2:32">
      <c r="B47" s="464">
        <f t="shared" si="28"/>
        <v>4</v>
      </c>
      <c r="C47" s="466" t="s">
        <v>813</v>
      </c>
      <c r="D47" s="1053">
        <v>0</v>
      </c>
      <c r="E47" s="691">
        <f t="shared" si="12"/>
        <v>0</v>
      </c>
      <c r="F47" s="691">
        <f t="shared" si="13"/>
        <v>0</v>
      </c>
      <c r="G47" s="885"/>
      <c r="H47" s="691">
        <f t="shared" si="29"/>
        <v>0</v>
      </c>
      <c r="I47" s="886">
        <f t="shared" si="14"/>
        <v>0</v>
      </c>
      <c r="J47" s="691">
        <f t="shared" si="15"/>
        <v>0</v>
      </c>
      <c r="K47" s="691">
        <f t="shared" si="16"/>
        <v>0</v>
      </c>
      <c r="L47" s="885"/>
      <c r="M47" s="886">
        <f t="shared" si="11"/>
        <v>0</v>
      </c>
      <c r="N47" s="878">
        <f t="shared" si="17"/>
        <v>0</v>
      </c>
      <c r="O47" s="691">
        <f t="shared" si="18"/>
        <v>0</v>
      </c>
      <c r="P47" s="691">
        <f t="shared" si="19"/>
        <v>0</v>
      </c>
      <c r="Q47" s="885"/>
      <c r="R47" s="691">
        <f t="shared" si="20"/>
        <v>0</v>
      </c>
      <c r="S47" s="886">
        <f t="shared" si="21"/>
        <v>0</v>
      </c>
      <c r="T47" s="691">
        <f t="shared" si="22"/>
        <v>0</v>
      </c>
      <c r="U47" s="691">
        <f t="shared" si="23"/>
        <v>0</v>
      </c>
      <c r="V47" s="885"/>
      <c r="W47" s="886">
        <f t="shared" si="24"/>
        <v>0</v>
      </c>
      <c r="X47" s="878">
        <f t="shared" si="25"/>
        <v>0</v>
      </c>
      <c r="Y47" s="691">
        <f t="shared" si="26"/>
        <v>0</v>
      </c>
      <c r="Z47" s="691">
        <f t="shared" si="27"/>
        <v>0</v>
      </c>
      <c r="AA47" s="876"/>
      <c r="AB47" s="9"/>
      <c r="AC47" s="1202">
        <v>4.2200000000000001E-2</v>
      </c>
    </row>
    <row r="48" spans="2:32">
      <c r="B48" s="464">
        <f t="shared" si="28"/>
        <v>5</v>
      </c>
      <c r="C48" s="466" t="s">
        <v>814</v>
      </c>
      <c r="D48" s="1053">
        <v>0</v>
      </c>
      <c r="E48" s="691">
        <f t="shared" si="12"/>
        <v>3.6739999999999995E-2</v>
      </c>
      <c r="F48" s="691">
        <f t="shared" si="13"/>
        <v>0</v>
      </c>
      <c r="G48" s="885"/>
      <c r="H48" s="691">
        <f t="shared" si="29"/>
        <v>3.6739999999999995E-2</v>
      </c>
      <c r="I48" s="886">
        <f t="shared" si="14"/>
        <v>3.6739999999999995E-2</v>
      </c>
      <c r="J48" s="691">
        <f t="shared" si="15"/>
        <v>7.347999999999999E-2</v>
      </c>
      <c r="K48" s="691">
        <f t="shared" si="16"/>
        <v>0</v>
      </c>
      <c r="L48" s="885"/>
      <c r="M48" s="886">
        <f t="shared" si="11"/>
        <v>0.11021999999999998</v>
      </c>
      <c r="N48" s="878">
        <f t="shared" si="17"/>
        <v>0.11021999999999998</v>
      </c>
      <c r="O48" s="691">
        <f t="shared" si="18"/>
        <v>7.347999999999999E-2</v>
      </c>
      <c r="P48" s="691">
        <f t="shared" si="19"/>
        <v>0</v>
      </c>
      <c r="Q48" s="885"/>
      <c r="R48" s="691">
        <f t="shared" si="20"/>
        <v>0.18369999999999997</v>
      </c>
      <c r="S48" s="886">
        <f t="shared" si="21"/>
        <v>0.18369999999999997</v>
      </c>
      <c r="T48" s="691">
        <f t="shared" si="22"/>
        <v>7.347999999999999E-2</v>
      </c>
      <c r="U48" s="691">
        <f t="shared" si="23"/>
        <v>0</v>
      </c>
      <c r="V48" s="885"/>
      <c r="W48" s="886">
        <f t="shared" si="24"/>
        <v>0.25717999999999996</v>
      </c>
      <c r="X48" s="878">
        <f t="shared" si="25"/>
        <v>0.25717999999999996</v>
      </c>
      <c r="Y48" s="691">
        <f t="shared" si="26"/>
        <v>7.347999999999999E-2</v>
      </c>
      <c r="Z48" s="691">
        <f t="shared" si="27"/>
        <v>0</v>
      </c>
      <c r="AA48" s="876"/>
      <c r="AB48" s="9"/>
      <c r="AC48" s="1202">
        <v>3.3399999999999999E-2</v>
      </c>
    </row>
    <row r="49" spans="2:29">
      <c r="B49" s="464">
        <f t="shared" si="28"/>
        <v>6</v>
      </c>
      <c r="C49" s="466" t="s">
        <v>256</v>
      </c>
      <c r="D49" s="1053">
        <v>0</v>
      </c>
      <c r="E49" s="691">
        <f t="shared" si="12"/>
        <v>0.98558099999999993</v>
      </c>
      <c r="F49" s="691">
        <f t="shared" si="13"/>
        <v>0</v>
      </c>
      <c r="G49" s="885"/>
      <c r="H49" s="691">
        <f t="shared" si="29"/>
        <v>0.98558099999999993</v>
      </c>
      <c r="I49" s="886">
        <f t="shared" si="14"/>
        <v>0.98558099999999993</v>
      </c>
      <c r="J49" s="691">
        <f t="shared" si="15"/>
        <v>5.5423370000000016</v>
      </c>
      <c r="K49" s="691">
        <f t="shared" si="16"/>
        <v>0</v>
      </c>
      <c r="L49" s="885"/>
      <c r="M49" s="886">
        <f t="shared" si="11"/>
        <v>6.5279180000000014</v>
      </c>
      <c r="N49" s="878">
        <f t="shared" si="17"/>
        <v>6.5279180000000014</v>
      </c>
      <c r="O49" s="691">
        <f t="shared" si="18"/>
        <v>10.646638000000001</v>
      </c>
      <c r="P49" s="691">
        <f t="shared" si="19"/>
        <v>0</v>
      </c>
      <c r="Q49" s="885"/>
      <c r="R49" s="691">
        <f t="shared" si="20"/>
        <v>17.174556000000003</v>
      </c>
      <c r="S49" s="886">
        <f t="shared" si="21"/>
        <v>17.174556000000003</v>
      </c>
      <c r="T49" s="691">
        <f t="shared" si="22"/>
        <v>15.794897333333333</v>
      </c>
      <c r="U49" s="691">
        <f t="shared" si="23"/>
        <v>0</v>
      </c>
      <c r="V49" s="885"/>
      <c r="W49" s="886">
        <f t="shared" si="24"/>
        <v>32.969453333333334</v>
      </c>
      <c r="X49" s="878">
        <f t="shared" si="25"/>
        <v>32.969453333333334</v>
      </c>
      <c r="Y49" s="691">
        <f t="shared" si="26"/>
        <v>22.469530666666667</v>
      </c>
      <c r="Z49" s="691">
        <f t="shared" si="27"/>
        <v>0</v>
      </c>
      <c r="AA49" s="876"/>
      <c r="AB49" s="9"/>
      <c r="AC49" s="1202">
        <v>4.2200000000000001E-2</v>
      </c>
    </row>
    <row r="50" spans="2:29">
      <c r="B50" s="464">
        <f t="shared" si="28"/>
        <v>7</v>
      </c>
      <c r="C50" s="466" t="s">
        <v>815</v>
      </c>
      <c r="D50" s="1053">
        <v>0</v>
      </c>
      <c r="E50" s="691">
        <f t="shared" si="12"/>
        <v>0</v>
      </c>
      <c r="F50" s="691">
        <f t="shared" si="13"/>
        <v>0</v>
      </c>
      <c r="G50" s="885"/>
      <c r="H50" s="691">
        <f t="shared" si="29"/>
        <v>0</v>
      </c>
      <c r="I50" s="886">
        <f t="shared" si="14"/>
        <v>0</v>
      </c>
      <c r="J50" s="691">
        <f t="shared" si="15"/>
        <v>0</v>
      </c>
      <c r="K50" s="691">
        <f t="shared" si="16"/>
        <v>0</v>
      </c>
      <c r="L50" s="885"/>
      <c r="M50" s="886">
        <f t="shared" si="11"/>
        <v>0</v>
      </c>
      <c r="N50" s="878">
        <f t="shared" si="17"/>
        <v>0</v>
      </c>
      <c r="O50" s="691">
        <f t="shared" si="18"/>
        <v>0</v>
      </c>
      <c r="P50" s="691">
        <f t="shared" si="19"/>
        <v>0</v>
      </c>
      <c r="Q50" s="885"/>
      <c r="R50" s="691">
        <f t="shared" si="20"/>
        <v>0</v>
      </c>
      <c r="S50" s="886">
        <f t="shared" si="21"/>
        <v>0</v>
      </c>
      <c r="T50" s="691">
        <f t="shared" si="22"/>
        <v>0</v>
      </c>
      <c r="U50" s="691">
        <f t="shared" si="23"/>
        <v>0</v>
      </c>
      <c r="V50" s="885"/>
      <c r="W50" s="886">
        <f t="shared" si="24"/>
        <v>0</v>
      </c>
      <c r="X50" s="878">
        <f t="shared" si="25"/>
        <v>0</v>
      </c>
      <c r="Y50" s="691">
        <f t="shared" si="26"/>
        <v>0</v>
      </c>
      <c r="Z50" s="691">
        <f t="shared" si="27"/>
        <v>0</v>
      </c>
      <c r="AA50" s="876"/>
      <c r="AB50" s="9"/>
      <c r="AC50" s="1202">
        <v>9.5000000000000001E-2</v>
      </c>
    </row>
    <row r="51" spans="2:29">
      <c r="B51" s="464">
        <f t="shared" si="28"/>
        <v>8</v>
      </c>
      <c r="C51" s="466" t="s">
        <v>816</v>
      </c>
      <c r="D51" s="1053">
        <v>0</v>
      </c>
      <c r="E51" s="691">
        <f t="shared" si="12"/>
        <v>0</v>
      </c>
      <c r="F51" s="691">
        <f t="shared" si="13"/>
        <v>0</v>
      </c>
      <c r="G51" s="885"/>
      <c r="H51" s="691">
        <f t="shared" si="29"/>
        <v>0</v>
      </c>
      <c r="I51" s="886">
        <f t="shared" si="14"/>
        <v>0</v>
      </c>
      <c r="J51" s="691">
        <f t="shared" si="15"/>
        <v>0</v>
      </c>
      <c r="K51" s="691">
        <f t="shared" si="16"/>
        <v>0</v>
      </c>
      <c r="L51" s="885"/>
      <c r="M51" s="886">
        <f t="shared" si="11"/>
        <v>0</v>
      </c>
      <c r="N51" s="878">
        <f t="shared" si="17"/>
        <v>0</v>
      </c>
      <c r="O51" s="691">
        <f t="shared" si="18"/>
        <v>0</v>
      </c>
      <c r="P51" s="691">
        <f t="shared" si="19"/>
        <v>0</v>
      </c>
      <c r="Q51" s="885"/>
      <c r="R51" s="691">
        <f t="shared" si="20"/>
        <v>0</v>
      </c>
      <c r="S51" s="886">
        <f t="shared" si="21"/>
        <v>0</v>
      </c>
      <c r="T51" s="691">
        <f t="shared" si="22"/>
        <v>0</v>
      </c>
      <c r="U51" s="691">
        <f t="shared" si="23"/>
        <v>0</v>
      </c>
      <c r="V51" s="885"/>
      <c r="W51" s="886">
        <f t="shared" si="24"/>
        <v>0</v>
      </c>
      <c r="X51" s="878">
        <f t="shared" si="25"/>
        <v>0</v>
      </c>
      <c r="Y51" s="691">
        <f t="shared" si="26"/>
        <v>0</v>
      </c>
      <c r="Z51" s="691">
        <f t="shared" si="27"/>
        <v>0</v>
      </c>
      <c r="AA51" s="876"/>
      <c r="AB51" s="9"/>
      <c r="AC51" s="1202">
        <v>9.5000000000000001E-2</v>
      </c>
    </row>
    <row r="52" spans="2:29">
      <c r="B52" s="464">
        <f t="shared" si="28"/>
        <v>9</v>
      </c>
      <c r="C52" s="466" t="s">
        <v>817</v>
      </c>
      <c r="D52" s="1053">
        <v>0</v>
      </c>
      <c r="E52" s="691">
        <f t="shared" si="12"/>
        <v>0</v>
      </c>
      <c r="F52" s="691">
        <f t="shared" si="13"/>
        <v>0</v>
      </c>
      <c r="G52" s="885"/>
      <c r="H52" s="691">
        <f t="shared" si="29"/>
        <v>0</v>
      </c>
      <c r="I52" s="886">
        <f t="shared" si="14"/>
        <v>0</v>
      </c>
      <c r="J52" s="691">
        <f t="shared" si="15"/>
        <v>0</v>
      </c>
      <c r="K52" s="691">
        <f t="shared" si="16"/>
        <v>0</v>
      </c>
      <c r="L52" s="885"/>
      <c r="M52" s="886">
        <f t="shared" si="11"/>
        <v>0</v>
      </c>
      <c r="N52" s="878">
        <f t="shared" si="17"/>
        <v>0</v>
      </c>
      <c r="O52" s="691">
        <f t="shared" si="18"/>
        <v>0</v>
      </c>
      <c r="P52" s="691">
        <f t="shared" si="19"/>
        <v>0</v>
      </c>
      <c r="Q52" s="885"/>
      <c r="R52" s="691">
        <f t="shared" si="20"/>
        <v>0</v>
      </c>
      <c r="S52" s="886">
        <f t="shared" si="21"/>
        <v>0</v>
      </c>
      <c r="T52" s="691">
        <f t="shared" si="22"/>
        <v>0</v>
      </c>
      <c r="U52" s="691">
        <f t="shared" si="23"/>
        <v>0</v>
      </c>
      <c r="V52" s="885"/>
      <c r="W52" s="886">
        <f t="shared" si="24"/>
        <v>0</v>
      </c>
      <c r="X52" s="878">
        <f t="shared" si="25"/>
        <v>0</v>
      </c>
      <c r="Y52" s="691">
        <f t="shared" si="26"/>
        <v>0</v>
      </c>
      <c r="Z52" s="691">
        <f t="shared" si="27"/>
        <v>0</v>
      </c>
      <c r="AA52" s="876"/>
      <c r="AB52" s="9"/>
      <c r="AC52" s="1202">
        <v>4.2200000000000001E-2</v>
      </c>
    </row>
    <row r="53" spans="2:29">
      <c r="B53" s="464">
        <f t="shared" si="28"/>
        <v>10</v>
      </c>
      <c r="C53" s="466" t="s">
        <v>259</v>
      </c>
      <c r="D53" s="1053">
        <v>0</v>
      </c>
      <c r="E53" s="691">
        <f t="shared" si="12"/>
        <v>0</v>
      </c>
      <c r="F53" s="691">
        <f t="shared" si="13"/>
        <v>0</v>
      </c>
      <c r="G53" s="885"/>
      <c r="H53" s="691">
        <f t="shared" si="29"/>
        <v>0</v>
      </c>
      <c r="I53" s="886">
        <f t="shared" si="14"/>
        <v>0</v>
      </c>
      <c r="J53" s="691">
        <f t="shared" si="15"/>
        <v>8.7281249999999991E-2</v>
      </c>
      <c r="K53" s="691">
        <f t="shared" si="16"/>
        <v>0</v>
      </c>
      <c r="L53" s="885"/>
      <c r="M53" s="886">
        <f t="shared" si="11"/>
        <v>8.7281249999999991E-2</v>
      </c>
      <c r="N53" s="878">
        <f t="shared" si="17"/>
        <v>8.7281249999999991E-2</v>
      </c>
      <c r="O53" s="691">
        <f t="shared" si="18"/>
        <v>0.49946250000000003</v>
      </c>
      <c r="P53" s="691">
        <f t="shared" si="19"/>
        <v>0</v>
      </c>
      <c r="Q53" s="885"/>
      <c r="R53" s="691">
        <f t="shared" si="20"/>
        <v>0.58674375000000001</v>
      </c>
      <c r="S53" s="886">
        <f t="shared" si="21"/>
        <v>0.58674375000000001</v>
      </c>
      <c r="T53" s="691">
        <f t="shared" si="22"/>
        <v>0.8243625</v>
      </c>
      <c r="U53" s="691">
        <f t="shared" si="23"/>
        <v>0</v>
      </c>
      <c r="V53" s="885"/>
      <c r="W53" s="886">
        <f t="shared" si="24"/>
        <v>1.41110625</v>
      </c>
      <c r="X53" s="878">
        <f t="shared" si="25"/>
        <v>1.41110625</v>
      </c>
      <c r="Y53" s="691">
        <f t="shared" si="26"/>
        <v>0.8243625</v>
      </c>
      <c r="Z53" s="691">
        <f t="shared" si="27"/>
        <v>0</v>
      </c>
      <c r="AA53" s="876"/>
      <c r="AB53" s="9"/>
      <c r="AC53" s="1202">
        <v>9.5000000000000001E-2</v>
      </c>
    </row>
    <row r="54" spans="2:29">
      <c r="B54" s="464">
        <f t="shared" si="28"/>
        <v>11</v>
      </c>
      <c r="C54" s="466" t="s">
        <v>260</v>
      </c>
      <c r="D54" s="1053">
        <v>0</v>
      </c>
      <c r="E54" s="691">
        <f t="shared" si="12"/>
        <v>0</v>
      </c>
      <c r="F54" s="691">
        <f t="shared" si="13"/>
        <v>0</v>
      </c>
      <c r="G54" s="885"/>
      <c r="H54" s="691">
        <f t="shared" si="29"/>
        <v>0</v>
      </c>
      <c r="I54" s="886">
        <f t="shared" si="14"/>
        <v>0</v>
      </c>
      <c r="J54" s="691">
        <f t="shared" si="15"/>
        <v>0</v>
      </c>
      <c r="K54" s="691">
        <f t="shared" si="16"/>
        <v>0</v>
      </c>
      <c r="L54" s="885"/>
      <c r="M54" s="886">
        <f t="shared" si="11"/>
        <v>0</v>
      </c>
      <c r="N54" s="878">
        <f t="shared" si="17"/>
        <v>0</v>
      </c>
      <c r="O54" s="691">
        <f t="shared" si="18"/>
        <v>0</v>
      </c>
      <c r="P54" s="691">
        <f t="shared" si="19"/>
        <v>0</v>
      </c>
      <c r="Q54" s="885"/>
      <c r="R54" s="691">
        <f t="shared" si="20"/>
        <v>0</v>
      </c>
      <c r="S54" s="886">
        <f t="shared" si="21"/>
        <v>0</v>
      </c>
      <c r="T54" s="691">
        <f t="shared" si="22"/>
        <v>0</v>
      </c>
      <c r="U54" s="691">
        <f t="shared" si="23"/>
        <v>0</v>
      </c>
      <c r="V54" s="885"/>
      <c r="W54" s="886">
        <f t="shared" si="24"/>
        <v>0</v>
      </c>
      <c r="X54" s="878">
        <f t="shared" si="25"/>
        <v>0</v>
      </c>
      <c r="Y54" s="691">
        <f t="shared" si="26"/>
        <v>0</v>
      </c>
      <c r="Z54" s="691">
        <f t="shared" si="27"/>
        <v>0</v>
      </c>
      <c r="AA54" s="876"/>
      <c r="AB54" s="9"/>
      <c r="AC54" s="1202">
        <v>6.3299999999999995E-2</v>
      </c>
    </row>
    <row r="55" spans="2:29">
      <c r="B55" s="464">
        <f t="shared" si="28"/>
        <v>12</v>
      </c>
      <c r="C55" s="466" t="s">
        <v>261</v>
      </c>
      <c r="D55" s="1053">
        <v>0</v>
      </c>
      <c r="E55" s="691">
        <f t="shared" si="12"/>
        <v>0</v>
      </c>
      <c r="F55" s="691">
        <f t="shared" si="13"/>
        <v>0</v>
      </c>
      <c r="G55" s="887"/>
      <c r="H55" s="691">
        <f t="shared" si="29"/>
        <v>0</v>
      </c>
      <c r="I55" s="886">
        <f t="shared" si="14"/>
        <v>0</v>
      </c>
      <c r="J55" s="691">
        <f t="shared" si="15"/>
        <v>0</v>
      </c>
      <c r="K55" s="691">
        <f t="shared" si="16"/>
        <v>0</v>
      </c>
      <c r="L55" s="885"/>
      <c r="M55" s="886">
        <f t="shared" si="11"/>
        <v>0</v>
      </c>
      <c r="N55" s="878">
        <f t="shared" si="17"/>
        <v>0</v>
      </c>
      <c r="O55" s="691">
        <f t="shared" si="18"/>
        <v>0</v>
      </c>
      <c r="P55" s="691">
        <f t="shared" si="19"/>
        <v>0</v>
      </c>
      <c r="Q55" s="885"/>
      <c r="R55" s="691">
        <f t="shared" si="20"/>
        <v>0</v>
      </c>
      <c r="S55" s="886">
        <f t="shared" si="21"/>
        <v>0</v>
      </c>
      <c r="T55" s="691">
        <f t="shared" si="22"/>
        <v>0</v>
      </c>
      <c r="U55" s="691">
        <f t="shared" si="23"/>
        <v>0</v>
      </c>
      <c r="V55" s="885"/>
      <c r="W55" s="886">
        <f t="shared" si="24"/>
        <v>0</v>
      </c>
      <c r="X55" s="878">
        <f t="shared" si="25"/>
        <v>0</v>
      </c>
      <c r="Y55" s="691">
        <f t="shared" si="26"/>
        <v>0</v>
      </c>
      <c r="Z55" s="691">
        <f t="shared" si="27"/>
        <v>0</v>
      </c>
      <c r="AA55" s="876"/>
      <c r="AB55" s="9"/>
      <c r="AC55" s="1202">
        <v>6.3299999999999995E-2</v>
      </c>
    </row>
    <row r="56" spans="2:29">
      <c r="B56" s="464">
        <f t="shared" si="28"/>
        <v>13</v>
      </c>
      <c r="C56" s="466" t="s">
        <v>865</v>
      </c>
      <c r="D56" s="1053">
        <v>0</v>
      </c>
      <c r="E56" s="691">
        <f t="shared" si="12"/>
        <v>0</v>
      </c>
      <c r="F56" s="691">
        <f t="shared" si="13"/>
        <v>0</v>
      </c>
      <c r="G56" s="887"/>
      <c r="H56" s="691">
        <f t="shared" si="29"/>
        <v>0</v>
      </c>
      <c r="I56" s="886">
        <f t="shared" si="14"/>
        <v>0</v>
      </c>
      <c r="J56" s="691">
        <f t="shared" si="15"/>
        <v>0</v>
      </c>
      <c r="K56" s="691">
        <f t="shared" si="16"/>
        <v>0</v>
      </c>
      <c r="L56" s="885"/>
      <c r="M56" s="886">
        <f t="shared" si="11"/>
        <v>0</v>
      </c>
      <c r="N56" s="878">
        <f t="shared" si="17"/>
        <v>0</v>
      </c>
      <c r="O56" s="691">
        <f t="shared" si="18"/>
        <v>0</v>
      </c>
      <c r="P56" s="691">
        <f t="shared" si="19"/>
        <v>0</v>
      </c>
      <c r="Q56" s="885"/>
      <c r="R56" s="691">
        <f t="shared" si="20"/>
        <v>0</v>
      </c>
      <c r="S56" s="886">
        <f t="shared" si="21"/>
        <v>0</v>
      </c>
      <c r="T56" s="691">
        <f t="shared" si="22"/>
        <v>0</v>
      </c>
      <c r="U56" s="691">
        <f t="shared" si="23"/>
        <v>0</v>
      </c>
      <c r="V56" s="885"/>
      <c r="W56" s="886">
        <f t="shared" si="24"/>
        <v>0</v>
      </c>
      <c r="X56" s="878">
        <f t="shared" si="25"/>
        <v>0</v>
      </c>
      <c r="Y56" s="691">
        <f t="shared" si="26"/>
        <v>0</v>
      </c>
      <c r="Z56" s="691">
        <f t="shared" si="27"/>
        <v>0</v>
      </c>
      <c r="AA56" s="876"/>
      <c r="AB56" s="9"/>
      <c r="AC56" s="1202">
        <v>6.3299999999999995E-2</v>
      </c>
    </row>
    <row r="57" spans="2:29">
      <c r="B57" s="464">
        <f t="shared" si="28"/>
        <v>14</v>
      </c>
      <c r="C57" s="466" t="s">
        <v>866</v>
      </c>
      <c r="D57" s="1053">
        <v>0</v>
      </c>
      <c r="E57" s="691">
        <f>IF((IFERROR(D57/((D29+E29)*100%),0))&lt;70%,MIN((MAX((D29+E29)*100%-D57,0)),(D29+E29/2)*$AC57),MAX((D29+E29)*100%-D57,0)/E$62)</f>
        <v>0</v>
      </c>
      <c r="F57" s="691">
        <f t="shared" si="13"/>
        <v>0</v>
      </c>
      <c r="G57" s="887"/>
      <c r="H57" s="691">
        <f t="shared" si="29"/>
        <v>0</v>
      </c>
      <c r="I57" s="886">
        <f t="shared" si="14"/>
        <v>0</v>
      </c>
      <c r="J57" s="691">
        <f>IF((IFERROR(I57/((I29+J29)*100%),0))&lt;70%,MIN((MAX((I29+J29)*100%-I57,0)),(I29+J29/2)*$AC57),MAX((I29+J29)*100%-I57,0)/J$62)</f>
        <v>0</v>
      </c>
      <c r="K57" s="691">
        <f t="shared" si="16"/>
        <v>0</v>
      </c>
      <c r="L57" s="885"/>
      <c r="M57" s="886">
        <f t="shared" si="11"/>
        <v>0</v>
      </c>
      <c r="N57" s="878">
        <f t="shared" si="17"/>
        <v>0</v>
      </c>
      <c r="O57" s="691">
        <f>IF((IFERROR(N57/((N29+O29)*100%),0))&lt;70%,MIN((MAX((N29+O29)*100%-N57,0)),(N29+O29/2)*$AC57),MAX((N29+O29)*100%-N57,0)/O$62)</f>
        <v>0</v>
      </c>
      <c r="P57" s="691">
        <f t="shared" si="19"/>
        <v>0</v>
      </c>
      <c r="Q57" s="885"/>
      <c r="R57" s="691">
        <f t="shared" si="20"/>
        <v>0</v>
      </c>
      <c r="S57" s="886">
        <f t="shared" si="21"/>
        <v>0</v>
      </c>
      <c r="T57" s="691">
        <f>IF((IFERROR(S57/((S29+T29)*100%),0))&lt;70%,MIN((MAX((S29+T29)*100%-S57,0)),(S29+T29/2)*$AC57),MAX((S29+T29)*100%-S57,0)/T$62)</f>
        <v>0</v>
      </c>
      <c r="U57" s="691">
        <f t="shared" si="23"/>
        <v>0</v>
      </c>
      <c r="V57" s="885"/>
      <c r="W57" s="886">
        <f t="shared" si="24"/>
        <v>0</v>
      </c>
      <c r="X57" s="878">
        <f t="shared" si="25"/>
        <v>0</v>
      </c>
      <c r="Y57" s="691">
        <f>IF((IFERROR(X57/((X29+Y29)*100%),0))&lt;70%,MIN((MAX((X29+Y29)*100%-X57,0)),(X29+Y29/2)*$AC57),MAX((X29+Y29)*100%-X57,0)/Y$62)</f>
        <v>0</v>
      </c>
      <c r="Z57" s="691">
        <f t="shared" si="27"/>
        <v>0</v>
      </c>
      <c r="AA57" s="876"/>
      <c r="AB57" s="9"/>
      <c r="AC57" s="1202">
        <v>0.15</v>
      </c>
    </row>
    <row r="58" spans="2:29">
      <c r="B58" s="464">
        <f t="shared" si="28"/>
        <v>15</v>
      </c>
      <c r="C58" s="466" t="s">
        <v>867</v>
      </c>
      <c r="D58" s="1053">
        <v>0</v>
      </c>
      <c r="E58" s="691">
        <f>IF((IFERROR(D58/((D30+E30)*100%),0))&lt;70%,MIN((MAX((D30+E30)*100%-D58,0)),(D30+E30/2)*$AC58),MAX((D30+E30)*100%-D58,0)/E$62)</f>
        <v>0</v>
      </c>
      <c r="F58" s="691">
        <f t="shared" si="13"/>
        <v>0</v>
      </c>
      <c r="G58" s="887"/>
      <c r="H58" s="691">
        <f t="shared" si="29"/>
        <v>0</v>
      </c>
      <c r="I58" s="886">
        <f t="shared" si="14"/>
        <v>0</v>
      </c>
      <c r="J58" s="691">
        <f>IF((IFERROR(I58/((I30+J30)*100%),0))&lt;70%,MIN((MAX((I30+J30)*100%-I58,0)),(I30+J30/2)*$AC58),MAX((I30+J30)*100%-I58,0)/J$62)</f>
        <v>0</v>
      </c>
      <c r="K58" s="691">
        <f t="shared" si="16"/>
        <v>0</v>
      </c>
      <c r="L58" s="885"/>
      <c r="M58" s="886">
        <f t="shared" si="11"/>
        <v>0</v>
      </c>
      <c r="N58" s="878">
        <f t="shared" si="17"/>
        <v>0</v>
      </c>
      <c r="O58" s="691">
        <f>IF((IFERROR(N58/((N30+O30)*100%),0))&lt;70%,MIN((MAX((N30+O30)*100%-N58,0)),(N30+O30/2)*$AC58),MAX((N30+O30)*100%-N58,0)/O$62)</f>
        <v>0</v>
      </c>
      <c r="P58" s="691">
        <f t="shared" si="19"/>
        <v>0</v>
      </c>
      <c r="Q58" s="885"/>
      <c r="R58" s="691">
        <f t="shared" si="20"/>
        <v>0</v>
      </c>
      <c r="S58" s="886">
        <f t="shared" si="21"/>
        <v>0</v>
      </c>
      <c r="T58" s="691">
        <f>IF((IFERROR(S58/((S30+T30)*100%),0))&lt;70%,MIN((MAX((S30+T30)*100%-S58,0)),(S30+T30/2)*$AC58),MAX((S30+T30)*100%-S58,0)/T$62)</f>
        <v>0</v>
      </c>
      <c r="U58" s="691">
        <f t="shared" si="23"/>
        <v>0</v>
      </c>
      <c r="V58" s="885"/>
      <c r="W58" s="886">
        <f t="shared" si="24"/>
        <v>0</v>
      </c>
      <c r="X58" s="878">
        <f t="shared" si="25"/>
        <v>0</v>
      </c>
      <c r="Y58" s="691">
        <f>IF((IFERROR(X58/((X30+Y30)*100%),0))&lt;70%,MIN((MAX((X30+Y30)*100%-X58,0)),(X30+Y30/2)*$AC58),MAX((X30+Y30)*100%-X58,0)/Y$62)</f>
        <v>0</v>
      </c>
      <c r="Z58" s="691">
        <f t="shared" si="27"/>
        <v>0</v>
      </c>
      <c r="AA58" s="876"/>
      <c r="AB58" s="9"/>
      <c r="AC58" s="1202">
        <v>0.15</v>
      </c>
    </row>
    <row r="59" spans="2:29">
      <c r="B59" s="464">
        <f t="shared" si="28"/>
        <v>16</v>
      </c>
      <c r="C59" s="466" t="s">
        <v>818</v>
      </c>
      <c r="D59" s="1053">
        <v>0</v>
      </c>
      <c r="E59" s="691">
        <f>IF((IFERROR(D59/((D31+E31)*100%),0))&lt;70%,MIN((MAX((D31+E31)*100%-D59,0)),(D31+E31/2)*$AC59),MAX((D31+E31)*100%-D59,0)/E$62)</f>
        <v>0</v>
      </c>
      <c r="F59" s="691">
        <f t="shared" si="13"/>
        <v>0</v>
      </c>
      <c r="G59" s="885"/>
      <c r="H59" s="691">
        <f t="shared" si="29"/>
        <v>0</v>
      </c>
      <c r="I59" s="886">
        <f t="shared" si="14"/>
        <v>0</v>
      </c>
      <c r="J59" s="691">
        <f>IF((IFERROR(I59/((I31+J31)*100%),0))&lt;70%,MIN((MAX((I31+J31)*100%-I59,0)),(I31+J31/2)*$AC59),MAX((I31+J31)*100%-I59,0)/J$62)</f>
        <v>0</v>
      </c>
      <c r="K59" s="691">
        <f t="shared" si="16"/>
        <v>0</v>
      </c>
      <c r="L59" s="885"/>
      <c r="M59" s="886">
        <f t="shared" si="11"/>
        <v>0</v>
      </c>
      <c r="N59" s="878">
        <f t="shared" si="17"/>
        <v>0</v>
      </c>
      <c r="O59" s="691">
        <f>IF((IFERROR(N59/((N31+O31)*100%),0))&lt;70%,MIN((MAX((N31+O31)*100%-N59,0)),(N31+O31/2)*$AC59),MAX((N31+O31)*100%-N59,0)/O$62)</f>
        <v>0</v>
      </c>
      <c r="P59" s="691">
        <f t="shared" si="19"/>
        <v>0</v>
      </c>
      <c r="Q59" s="885"/>
      <c r="R59" s="691">
        <f t="shared" si="20"/>
        <v>0</v>
      </c>
      <c r="S59" s="886">
        <f t="shared" si="21"/>
        <v>0</v>
      </c>
      <c r="T59" s="691">
        <f>IF((IFERROR(S59/((S31+T31)*100%),0))&lt;70%,MIN((MAX((S31+T31)*100%-S59,0)),(S31+T31/2)*$AC59),MAX((S31+T31)*100%-S59,0)/T$62)</f>
        <v>0</v>
      </c>
      <c r="U59" s="691">
        <f t="shared" si="23"/>
        <v>0</v>
      </c>
      <c r="V59" s="885"/>
      <c r="W59" s="886">
        <f t="shared" si="24"/>
        <v>0</v>
      </c>
      <c r="X59" s="878">
        <f t="shared" si="25"/>
        <v>0</v>
      </c>
      <c r="Y59" s="691">
        <f>IF((IFERROR(X59/((X31+Y31)*100%),0))&lt;70%,MIN((MAX((X31+Y31)*100%-X59,0)),(X31+Y31/2)*$AC59),MAX((X31+Y31)*100%-X59,0)/Y$62)</f>
        <v>0</v>
      </c>
      <c r="Z59" s="691">
        <f t="shared" si="27"/>
        <v>0</v>
      </c>
      <c r="AA59" s="876"/>
      <c r="AB59" s="9"/>
      <c r="AC59" s="1202">
        <v>0.15</v>
      </c>
    </row>
    <row r="60" spans="2:29">
      <c r="B60" s="464">
        <f t="shared" si="28"/>
        <v>17</v>
      </c>
      <c r="C60" s="466" t="s">
        <v>868</v>
      </c>
      <c r="D60" s="1057">
        <v>0</v>
      </c>
      <c r="E60" s="691">
        <f t="shared" si="12"/>
        <v>0</v>
      </c>
      <c r="F60" s="691">
        <f t="shared" si="13"/>
        <v>0</v>
      </c>
      <c r="G60" s="885"/>
      <c r="H60" s="691">
        <f t="shared" si="29"/>
        <v>0</v>
      </c>
      <c r="I60" s="886">
        <f t="shared" si="14"/>
        <v>0</v>
      </c>
      <c r="J60" s="691">
        <f t="shared" si="15"/>
        <v>0</v>
      </c>
      <c r="K60" s="691">
        <f t="shared" si="16"/>
        <v>0</v>
      </c>
      <c r="L60" s="885"/>
      <c r="M60" s="886">
        <f t="shared" si="11"/>
        <v>0</v>
      </c>
      <c r="N60" s="878">
        <f t="shared" si="17"/>
        <v>0</v>
      </c>
      <c r="O60" s="691">
        <f t="shared" si="18"/>
        <v>0</v>
      </c>
      <c r="P60" s="691">
        <f t="shared" si="19"/>
        <v>0</v>
      </c>
      <c r="Q60" s="885"/>
      <c r="R60" s="691">
        <f t="shared" si="20"/>
        <v>0</v>
      </c>
      <c r="S60" s="886">
        <f t="shared" si="21"/>
        <v>0</v>
      </c>
      <c r="T60" s="691">
        <f t="shared" si="22"/>
        <v>0</v>
      </c>
      <c r="U60" s="691">
        <f t="shared" si="23"/>
        <v>0</v>
      </c>
      <c r="V60" s="885"/>
      <c r="W60" s="886">
        <f t="shared" si="24"/>
        <v>0</v>
      </c>
      <c r="X60" s="878">
        <f t="shared" si="25"/>
        <v>0</v>
      </c>
      <c r="Y60" s="691">
        <f t="shared" si="26"/>
        <v>0</v>
      </c>
      <c r="Z60" s="691">
        <f t="shared" si="27"/>
        <v>0</v>
      </c>
      <c r="AA60" s="876"/>
      <c r="AB60" s="9"/>
      <c r="AC60" s="1202">
        <v>3.3399999999999999E-2</v>
      </c>
    </row>
    <row r="61" spans="2:29" ht="16">
      <c r="B61" s="83"/>
      <c r="C61" s="97" t="s">
        <v>272</v>
      </c>
      <c r="D61" s="97"/>
      <c r="E61" s="888">
        <f>SUM(E44:E60)</f>
        <v>1.2333209999999999</v>
      </c>
      <c r="F61" s="888">
        <f t="shared" ref="F61:X61" si="30">SUM(F44:F60)</f>
        <v>0</v>
      </c>
      <c r="G61" s="888">
        <f t="shared" si="30"/>
        <v>0</v>
      </c>
      <c r="H61" s="888">
        <f t="shared" si="30"/>
        <v>1.2333209999999999</v>
      </c>
      <c r="I61" s="888">
        <f t="shared" si="30"/>
        <v>1.2333209999999999</v>
      </c>
      <c r="J61" s="888">
        <f>SUM(J44:J60)</f>
        <v>6.1250982500000015</v>
      </c>
      <c r="K61" s="888">
        <f t="shared" si="30"/>
        <v>0</v>
      </c>
      <c r="L61" s="888">
        <f t="shared" si="30"/>
        <v>0</v>
      </c>
      <c r="M61" s="888">
        <f t="shared" si="30"/>
        <v>7.3584192500000016</v>
      </c>
      <c r="N61" s="888">
        <f t="shared" si="30"/>
        <v>7.3584192500000016</v>
      </c>
      <c r="O61" s="888">
        <f>SUM(O44:O60)</f>
        <v>11.641580500000002</v>
      </c>
      <c r="P61" s="888">
        <f t="shared" ref="P61" si="31">SUM(P44:P60)</f>
        <v>0</v>
      </c>
      <c r="Q61" s="888">
        <f t="shared" si="30"/>
        <v>0</v>
      </c>
      <c r="R61" s="888">
        <f t="shared" si="30"/>
        <v>18.999999750000004</v>
      </c>
      <c r="S61" s="888">
        <f t="shared" si="30"/>
        <v>18.999999750000004</v>
      </c>
      <c r="T61" s="888">
        <f>SUM(T44:T60)</f>
        <v>17.114739833333331</v>
      </c>
      <c r="U61" s="888">
        <f t="shared" ref="U61" si="32">SUM(U44:U60)</f>
        <v>0</v>
      </c>
      <c r="V61" s="888">
        <f t="shared" si="30"/>
        <v>0</v>
      </c>
      <c r="W61" s="888">
        <f t="shared" si="30"/>
        <v>36.114739583333339</v>
      </c>
      <c r="X61" s="888">
        <f t="shared" si="30"/>
        <v>36.114739583333339</v>
      </c>
      <c r="Y61" s="83"/>
      <c r="Z61" s="83"/>
      <c r="AA61" s="881"/>
      <c r="AB61" s="83"/>
    </row>
    <row r="62" spans="2:29" ht="16">
      <c r="B62" s="259"/>
      <c r="C62" s="261"/>
      <c r="D62" s="261"/>
      <c r="E62" s="889">
        <f>'F5'!T86</f>
        <v>13.201369863013699</v>
      </c>
      <c r="F62" s="261"/>
      <c r="G62" s="261"/>
      <c r="H62" s="261"/>
      <c r="J62" s="889">
        <f>E62-1</f>
        <v>12.201369863013699</v>
      </c>
      <c r="K62" s="259"/>
      <c r="L62" s="259"/>
      <c r="M62" s="259"/>
      <c r="O62" s="889">
        <f>J62-1</f>
        <v>11.201369863013699</v>
      </c>
      <c r="P62" s="259"/>
      <c r="Q62" s="259"/>
      <c r="R62" s="259"/>
      <c r="T62" s="889">
        <f>O62-1</f>
        <v>10.201369863013699</v>
      </c>
      <c r="U62" s="890"/>
      <c r="V62" s="890"/>
      <c r="X62" s="259"/>
      <c r="Y62" s="889">
        <f>T62-1</f>
        <v>9.2013698630136993</v>
      </c>
      <c r="Z62" s="259"/>
      <c r="AA62" s="259"/>
      <c r="AB62" s="259"/>
    </row>
    <row r="64" spans="2:29">
      <c r="B64" s="869" t="s">
        <v>342</v>
      </c>
    </row>
    <row r="65" spans="2:28" ht="15" customHeight="1">
      <c r="B65" s="259"/>
      <c r="C65" s="261"/>
      <c r="D65" s="261"/>
      <c r="E65" s="261"/>
      <c r="F65" s="261"/>
      <c r="G65" s="261"/>
      <c r="H65" s="261"/>
      <c r="I65" s="261"/>
      <c r="J65" s="261"/>
      <c r="K65" s="261"/>
      <c r="L65" s="261"/>
      <c r="M65" s="261"/>
      <c r="N65" s="259"/>
      <c r="O65" s="259"/>
      <c r="P65" s="259"/>
      <c r="Q65" s="259"/>
      <c r="R65" s="259"/>
      <c r="S65" s="259"/>
      <c r="T65" s="259"/>
      <c r="U65" s="259"/>
      <c r="V65" s="259"/>
      <c r="W65" s="259"/>
      <c r="X65" s="259"/>
      <c r="Y65" s="259"/>
      <c r="Z65" s="259"/>
      <c r="AA65" s="259"/>
      <c r="AB65" s="256" t="s">
        <v>10</v>
      </c>
    </row>
    <row r="66" spans="2:28">
      <c r="B66" s="1719" t="s">
        <v>341</v>
      </c>
      <c r="C66" s="1719" t="s">
        <v>37</v>
      </c>
      <c r="D66" s="1847" t="s">
        <v>947</v>
      </c>
      <c r="E66" s="1848"/>
      <c r="F66" s="1848"/>
      <c r="G66" s="1848"/>
      <c r="H66" s="1849"/>
      <c r="I66" s="1835" t="s">
        <v>948</v>
      </c>
      <c r="J66" s="1835"/>
      <c r="K66" s="1835"/>
      <c r="L66" s="1835"/>
      <c r="M66" s="1835"/>
      <c r="N66" s="1835" t="s">
        <v>949</v>
      </c>
      <c r="O66" s="1835"/>
      <c r="P66" s="1835"/>
      <c r="Q66" s="1835"/>
      <c r="R66" s="1835"/>
      <c r="S66" s="1835" t="s">
        <v>950</v>
      </c>
      <c r="T66" s="1835"/>
      <c r="U66" s="1835"/>
      <c r="V66" s="1835"/>
      <c r="W66" s="1835"/>
      <c r="X66" s="1835" t="s">
        <v>951</v>
      </c>
      <c r="Y66" s="1835"/>
      <c r="Z66" s="1835"/>
      <c r="AA66" s="1835"/>
      <c r="AB66" s="1835"/>
    </row>
    <row r="67" spans="2:28">
      <c r="B67" s="1719"/>
      <c r="C67" s="1719"/>
      <c r="D67" s="1839" t="s">
        <v>21</v>
      </c>
      <c r="E67" s="1840"/>
      <c r="F67" s="1840"/>
      <c r="G67" s="1840"/>
      <c r="H67" s="1840"/>
      <c r="I67" s="1836" t="s">
        <v>21</v>
      </c>
      <c r="J67" s="1837"/>
      <c r="K67" s="1837"/>
      <c r="L67" s="1837"/>
      <c r="M67" s="1838"/>
      <c r="N67" s="1839" t="s">
        <v>21</v>
      </c>
      <c r="O67" s="1840"/>
      <c r="P67" s="1840"/>
      <c r="Q67" s="1840"/>
      <c r="R67" s="1840"/>
      <c r="S67" s="1839" t="s">
        <v>21</v>
      </c>
      <c r="T67" s="1840"/>
      <c r="U67" s="1840"/>
      <c r="V67" s="1840"/>
      <c r="W67" s="1840"/>
      <c r="X67" s="1839" t="s">
        <v>21</v>
      </c>
      <c r="Y67" s="1840"/>
      <c r="Z67" s="1840"/>
      <c r="AA67" s="1840"/>
      <c r="AB67" s="1840"/>
    </row>
    <row r="68" spans="2:28" ht="42">
      <c r="B68" s="1719"/>
      <c r="C68" s="1719"/>
      <c r="D68" s="870" t="s">
        <v>268</v>
      </c>
      <c r="E68" s="870" t="s">
        <v>269</v>
      </c>
      <c r="F68" s="260" t="s">
        <v>275</v>
      </c>
      <c r="G68" s="868" t="s">
        <v>555</v>
      </c>
      <c r="H68" s="870" t="s">
        <v>271</v>
      </c>
      <c r="I68" s="870" t="s">
        <v>268</v>
      </c>
      <c r="J68" s="870" t="s">
        <v>269</v>
      </c>
      <c r="K68" s="260" t="s">
        <v>275</v>
      </c>
      <c r="L68" s="868" t="s">
        <v>555</v>
      </c>
      <c r="M68" s="870" t="s">
        <v>271</v>
      </c>
      <c r="N68" s="870" t="s">
        <v>268</v>
      </c>
      <c r="O68" s="870" t="s">
        <v>269</v>
      </c>
      <c r="P68" s="260" t="s">
        <v>275</v>
      </c>
      <c r="Q68" s="868" t="s">
        <v>555</v>
      </c>
      <c r="R68" s="870" t="s">
        <v>271</v>
      </c>
      <c r="S68" s="870" t="s">
        <v>268</v>
      </c>
      <c r="T68" s="870" t="s">
        <v>269</v>
      </c>
      <c r="U68" s="260" t="s">
        <v>275</v>
      </c>
      <c r="V68" s="868" t="s">
        <v>555</v>
      </c>
      <c r="W68" s="870" t="s">
        <v>271</v>
      </c>
      <c r="X68" s="870" t="s">
        <v>268</v>
      </c>
      <c r="Y68" s="870" t="s">
        <v>269</v>
      </c>
      <c r="Z68" s="260" t="s">
        <v>275</v>
      </c>
      <c r="AA68" s="868" t="s">
        <v>555</v>
      </c>
      <c r="AB68" s="870" t="s">
        <v>271</v>
      </c>
    </row>
    <row r="69" spans="2:28">
      <c r="B69" s="257"/>
      <c r="C69" s="257"/>
      <c r="D69" s="257" t="s">
        <v>81</v>
      </c>
      <c r="E69" s="257" t="s">
        <v>82</v>
      </c>
      <c r="F69" s="257" t="s">
        <v>462</v>
      </c>
      <c r="G69" s="257" t="s">
        <v>392</v>
      </c>
      <c r="H69" s="257" t="s">
        <v>556</v>
      </c>
      <c r="I69" s="257" t="s">
        <v>410</v>
      </c>
      <c r="J69" s="257" t="s">
        <v>512</v>
      </c>
      <c r="K69" s="257" t="s">
        <v>411</v>
      </c>
      <c r="L69" s="257" t="s">
        <v>412</v>
      </c>
      <c r="M69" s="257" t="s">
        <v>621</v>
      </c>
      <c r="N69" s="257" t="s">
        <v>557</v>
      </c>
      <c r="O69" s="257" t="s">
        <v>622</v>
      </c>
      <c r="P69" s="257" t="s">
        <v>558</v>
      </c>
      <c r="Q69" s="257" t="s">
        <v>559</v>
      </c>
      <c r="R69" s="257" t="s">
        <v>1031</v>
      </c>
      <c r="S69" s="257" t="s">
        <v>560</v>
      </c>
      <c r="T69" s="257" t="s">
        <v>561</v>
      </c>
      <c r="U69" s="257" t="s">
        <v>623</v>
      </c>
      <c r="V69" s="257" t="s">
        <v>562</v>
      </c>
      <c r="W69" s="257" t="s">
        <v>1032</v>
      </c>
      <c r="X69" s="257" t="s">
        <v>563</v>
      </c>
      <c r="Y69" s="257" t="s">
        <v>564</v>
      </c>
      <c r="Z69" s="257" t="s">
        <v>565</v>
      </c>
      <c r="AA69" s="257" t="s">
        <v>624</v>
      </c>
      <c r="AB69" s="257" t="s">
        <v>1033</v>
      </c>
    </row>
    <row r="70" spans="2:28">
      <c r="B70" s="464">
        <v>1</v>
      </c>
      <c r="C70" s="466" t="s">
        <v>810</v>
      </c>
      <c r="D70" s="875">
        <f>D16-D44</f>
        <v>0</v>
      </c>
      <c r="E70" s="875">
        <f t="shared" ref="E70:F70" si="33">E16-E44</f>
        <v>0</v>
      </c>
      <c r="F70" s="875">
        <f t="shared" si="33"/>
        <v>0</v>
      </c>
      <c r="G70" s="875"/>
      <c r="H70" s="691">
        <f t="shared" ref="H70:H86" si="34">D70+E70-F70-G70</f>
        <v>0</v>
      </c>
      <c r="I70" s="875">
        <f>I16-I44</f>
        <v>0</v>
      </c>
      <c r="J70" s="875">
        <f t="shared" ref="J70:K70" si="35">J16-J44</f>
        <v>0</v>
      </c>
      <c r="K70" s="875">
        <f t="shared" si="35"/>
        <v>0</v>
      </c>
      <c r="L70" s="875"/>
      <c r="M70" s="691">
        <f t="shared" ref="M70:M86" si="36">I70+J70-K70-L70</f>
        <v>0</v>
      </c>
      <c r="N70" s="875">
        <f>N16-N44</f>
        <v>0</v>
      </c>
      <c r="O70" s="875">
        <f t="shared" ref="O70:P70" si="37">O16-O44</f>
        <v>0</v>
      </c>
      <c r="P70" s="875">
        <f t="shared" si="37"/>
        <v>0</v>
      </c>
      <c r="Q70" s="875"/>
      <c r="R70" s="691">
        <f t="shared" ref="R70:R86" si="38">N70+O70-P70-Q70</f>
        <v>0</v>
      </c>
      <c r="S70" s="875">
        <f>S16-S44</f>
        <v>0</v>
      </c>
      <c r="T70" s="875">
        <f t="shared" ref="T70:U70" si="39">T16-T44</f>
        <v>0</v>
      </c>
      <c r="U70" s="875">
        <f t="shared" si="39"/>
        <v>0</v>
      </c>
      <c r="V70" s="875"/>
      <c r="W70" s="691">
        <f t="shared" ref="W70:W86" si="40">S70+T70-U70-V70</f>
        <v>0</v>
      </c>
      <c r="X70" s="875">
        <f>X16-X44</f>
        <v>0</v>
      </c>
      <c r="Y70" s="875">
        <f t="shared" ref="Y70:Z70" si="41">Y16-Y44</f>
        <v>0</v>
      </c>
      <c r="Z70" s="875">
        <f t="shared" si="41"/>
        <v>0</v>
      </c>
      <c r="AA70" s="875"/>
      <c r="AB70" s="691">
        <f t="shared" ref="AB70:AB86" si="42">X70+Y70-Z70-AA70</f>
        <v>0</v>
      </c>
    </row>
    <row r="71" spans="2:28">
      <c r="B71" s="464">
        <f>B70+1</f>
        <v>2</v>
      </c>
      <c r="C71" s="466" t="s">
        <v>811</v>
      </c>
      <c r="D71" s="875">
        <f t="shared" ref="D71:F86" si="43">D17-D45</f>
        <v>0</v>
      </c>
      <c r="E71" s="875">
        <f t="shared" si="43"/>
        <v>0</v>
      </c>
      <c r="F71" s="875">
        <f t="shared" si="43"/>
        <v>0</v>
      </c>
      <c r="G71" s="875"/>
      <c r="H71" s="691">
        <f t="shared" si="34"/>
        <v>0</v>
      </c>
      <c r="I71" s="875">
        <f t="shared" ref="I71:K86" si="44">I17-I45</f>
        <v>0</v>
      </c>
      <c r="J71" s="875">
        <f t="shared" si="44"/>
        <v>0</v>
      </c>
      <c r="K71" s="875">
        <f t="shared" si="44"/>
        <v>0</v>
      </c>
      <c r="L71" s="875"/>
      <c r="M71" s="691">
        <f t="shared" si="36"/>
        <v>0</v>
      </c>
      <c r="N71" s="875">
        <f t="shared" ref="N71:P86" si="45">N17-N45</f>
        <v>0</v>
      </c>
      <c r="O71" s="875">
        <f t="shared" si="45"/>
        <v>0</v>
      </c>
      <c r="P71" s="875">
        <f t="shared" si="45"/>
        <v>0</v>
      </c>
      <c r="Q71" s="875"/>
      <c r="R71" s="691">
        <f t="shared" si="38"/>
        <v>0</v>
      </c>
      <c r="S71" s="875">
        <f t="shared" ref="S71:U86" si="46">S17-S45</f>
        <v>0</v>
      </c>
      <c r="T71" s="875">
        <f t="shared" si="46"/>
        <v>0</v>
      </c>
      <c r="U71" s="875">
        <f t="shared" si="46"/>
        <v>0</v>
      </c>
      <c r="V71" s="875"/>
      <c r="W71" s="691">
        <f t="shared" si="40"/>
        <v>0</v>
      </c>
      <c r="X71" s="875">
        <f t="shared" ref="X71:Z86" si="47">X17-X45</f>
        <v>0</v>
      </c>
      <c r="Y71" s="875">
        <f t="shared" si="47"/>
        <v>0</v>
      </c>
      <c r="Z71" s="875">
        <f t="shared" si="47"/>
        <v>0</v>
      </c>
      <c r="AA71" s="875"/>
      <c r="AB71" s="691">
        <f t="shared" si="42"/>
        <v>0</v>
      </c>
    </row>
    <row r="72" spans="2:28">
      <c r="B72" s="464">
        <f t="shared" ref="B72:B86" si="48">B71+1</f>
        <v>3</v>
      </c>
      <c r="C72" s="466" t="s">
        <v>812</v>
      </c>
      <c r="D72" s="875">
        <f t="shared" si="43"/>
        <v>0</v>
      </c>
      <c r="E72" s="875">
        <f t="shared" si="43"/>
        <v>9.7889999999999997</v>
      </c>
      <c r="F72" s="875">
        <f t="shared" si="43"/>
        <v>0</v>
      </c>
      <c r="G72" s="875"/>
      <c r="H72" s="691">
        <f t="shared" si="34"/>
        <v>9.7889999999999997</v>
      </c>
      <c r="I72" s="875">
        <f t="shared" si="44"/>
        <v>9.7889999999999997</v>
      </c>
      <c r="J72" s="875">
        <f t="shared" si="44"/>
        <v>-0.42200000000000004</v>
      </c>
      <c r="K72" s="875">
        <f t="shared" si="44"/>
        <v>0</v>
      </c>
      <c r="L72" s="875"/>
      <c r="M72" s="691">
        <f t="shared" si="36"/>
        <v>9.3669999999999991</v>
      </c>
      <c r="N72" s="875">
        <f t="shared" si="45"/>
        <v>9.3670000000000009</v>
      </c>
      <c r="O72" s="875">
        <f t="shared" si="45"/>
        <v>-0.42200000000000004</v>
      </c>
      <c r="P72" s="875">
        <f t="shared" si="45"/>
        <v>0</v>
      </c>
      <c r="Q72" s="875"/>
      <c r="R72" s="691">
        <f t="shared" si="38"/>
        <v>8.9450000000000003</v>
      </c>
      <c r="S72" s="875">
        <f t="shared" si="46"/>
        <v>8.9450000000000003</v>
      </c>
      <c r="T72" s="875">
        <f t="shared" si="46"/>
        <v>-0.42200000000000004</v>
      </c>
      <c r="U72" s="875">
        <f t="shared" si="46"/>
        <v>0</v>
      </c>
      <c r="V72" s="875"/>
      <c r="W72" s="691">
        <f t="shared" si="40"/>
        <v>8.5229999999999997</v>
      </c>
      <c r="X72" s="875">
        <f t="shared" si="47"/>
        <v>8.5229999999999997</v>
      </c>
      <c r="Y72" s="875">
        <f t="shared" si="47"/>
        <v>-0.42200000000000004</v>
      </c>
      <c r="Z72" s="875">
        <f t="shared" si="47"/>
        <v>0</v>
      </c>
      <c r="AA72" s="875"/>
      <c r="AB72" s="691">
        <f t="shared" si="42"/>
        <v>8.1009999999999991</v>
      </c>
    </row>
    <row r="73" spans="2:28">
      <c r="B73" s="464">
        <f t="shared" si="48"/>
        <v>4</v>
      </c>
      <c r="C73" s="466" t="s">
        <v>813</v>
      </c>
      <c r="D73" s="875">
        <f t="shared" si="43"/>
        <v>0</v>
      </c>
      <c r="E73" s="875">
        <f t="shared" si="43"/>
        <v>0</v>
      </c>
      <c r="F73" s="875">
        <f t="shared" si="43"/>
        <v>0</v>
      </c>
      <c r="G73" s="875"/>
      <c r="H73" s="691">
        <f t="shared" si="34"/>
        <v>0</v>
      </c>
      <c r="I73" s="875">
        <f t="shared" si="44"/>
        <v>0</v>
      </c>
      <c r="J73" s="875">
        <f t="shared" si="44"/>
        <v>0</v>
      </c>
      <c r="K73" s="875">
        <f t="shared" si="44"/>
        <v>0</v>
      </c>
      <c r="L73" s="875"/>
      <c r="M73" s="691">
        <f t="shared" si="36"/>
        <v>0</v>
      </c>
      <c r="N73" s="875">
        <f t="shared" si="45"/>
        <v>0</v>
      </c>
      <c r="O73" s="875">
        <f t="shared" si="45"/>
        <v>0</v>
      </c>
      <c r="P73" s="875">
        <f t="shared" si="45"/>
        <v>0</v>
      </c>
      <c r="Q73" s="875"/>
      <c r="R73" s="691">
        <f t="shared" si="38"/>
        <v>0</v>
      </c>
      <c r="S73" s="875">
        <f t="shared" si="46"/>
        <v>0</v>
      </c>
      <c r="T73" s="875">
        <f t="shared" si="46"/>
        <v>0</v>
      </c>
      <c r="U73" s="875">
        <f t="shared" si="46"/>
        <v>0</v>
      </c>
      <c r="V73" s="875"/>
      <c r="W73" s="691">
        <f t="shared" si="40"/>
        <v>0</v>
      </c>
      <c r="X73" s="875">
        <f t="shared" si="47"/>
        <v>0</v>
      </c>
      <c r="Y73" s="875">
        <f t="shared" si="47"/>
        <v>0</v>
      </c>
      <c r="Z73" s="875">
        <f t="shared" si="47"/>
        <v>0</v>
      </c>
      <c r="AA73" s="875"/>
      <c r="AB73" s="691">
        <f t="shared" si="42"/>
        <v>0</v>
      </c>
    </row>
    <row r="74" spans="2:28">
      <c r="B74" s="464">
        <f t="shared" si="48"/>
        <v>5</v>
      </c>
      <c r="C74" s="466" t="s">
        <v>814</v>
      </c>
      <c r="D74" s="875">
        <f t="shared" si="43"/>
        <v>0</v>
      </c>
      <c r="E74" s="875">
        <f t="shared" si="43"/>
        <v>2.1632599999999997</v>
      </c>
      <c r="F74" s="875">
        <f t="shared" si="43"/>
        <v>0</v>
      </c>
      <c r="G74" s="875"/>
      <c r="H74" s="691">
        <f t="shared" si="34"/>
        <v>2.1632599999999997</v>
      </c>
      <c r="I74" s="875">
        <f t="shared" si="44"/>
        <v>2.1632599999999997</v>
      </c>
      <c r="J74" s="875">
        <f t="shared" si="44"/>
        <v>-7.347999999999999E-2</v>
      </c>
      <c r="K74" s="875">
        <f t="shared" si="44"/>
        <v>0</v>
      </c>
      <c r="L74" s="875"/>
      <c r="M74" s="691">
        <f t="shared" si="36"/>
        <v>2.0897799999999997</v>
      </c>
      <c r="N74" s="875">
        <f t="shared" si="45"/>
        <v>2.0897799999999997</v>
      </c>
      <c r="O74" s="875">
        <f t="shared" si="45"/>
        <v>-7.347999999999999E-2</v>
      </c>
      <c r="P74" s="875">
        <f t="shared" si="45"/>
        <v>0</v>
      </c>
      <c r="Q74" s="875"/>
      <c r="R74" s="691">
        <f t="shared" si="38"/>
        <v>2.0162999999999998</v>
      </c>
      <c r="S74" s="875">
        <f t="shared" si="46"/>
        <v>2.0162999999999998</v>
      </c>
      <c r="T74" s="875">
        <f t="shared" si="46"/>
        <v>-7.347999999999999E-2</v>
      </c>
      <c r="U74" s="875">
        <f t="shared" si="46"/>
        <v>0</v>
      </c>
      <c r="V74" s="875"/>
      <c r="W74" s="691">
        <f t="shared" si="40"/>
        <v>1.9428199999999998</v>
      </c>
      <c r="X74" s="875">
        <f t="shared" si="47"/>
        <v>1.9428199999999998</v>
      </c>
      <c r="Y74" s="875">
        <f t="shared" si="47"/>
        <v>-7.347999999999999E-2</v>
      </c>
      <c r="Z74" s="875">
        <f t="shared" si="47"/>
        <v>0</v>
      </c>
      <c r="AA74" s="875"/>
      <c r="AB74" s="691">
        <f t="shared" si="42"/>
        <v>1.8693399999999998</v>
      </c>
    </row>
    <row r="75" spans="2:28">
      <c r="B75" s="464">
        <f t="shared" si="48"/>
        <v>6</v>
      </c>
      <c r="C75" s="466" t="s">
        <v>256</v>
      </c>
      <c r="D75" s="875">
        <f t="shared" si="43"/>
        <v>0</v>
      </c>
      <c r="E75" s="875">
        <f t="shared" si="43"/>
        <v>45.72441899999999</v>
      </c>
      <c r="F75" s="875">
        <f t="shared" si="43"/>
        <v>0</v>
      </c>
      <c r="G75" s="875"/>
      <c r="H75" s="691">
        <f t="shared" si="34"/>
        <v>45.72441899999999</v>
      </c>
      <c r="I75" s="875">
        <f t="shared" si="44"/>
        <v>45.72441899999999</v>
      </c>
      <c r="J75" s="875">
        <f t="shared" si="44"/>
        <v>163.70766300000005</v>
      </c>
      <c r="K75" s="875">
        <f t="shared" si="44"/>
        <v>0</v>
      </c>
      <c r="L75" s="875"/>
      <c r="M75" s="691">
        <f t="shared" si="36"/>
        <v>209.43208200000004</v>
      </c>
      <c r="N75" s="875">
        <f t="shared" si="45"/>
        <v>209.43208200000004</v>
      </c>
      <c r="O75" s="875">
        <f t="shared" si="45"/>
        <v>62.013361999999994</v>
      </c>
      <c r="P75" s="875">
        <f t="shared" si="45"/>
        <v>0</v>
      </c>
      <c r="Q75" s="875"/>
      <c r="R75" s="691">
        <f t="shared" si="38"/>
        <v>271.44544400000001</v>
      </c>
      <c r="S75" s="875">
        <f t="shared" si="46"/>
        <v>271.44544400000001</v>
      </c>
      <c r="T75" s="875">
        <f t="shared" si="46"/>
        <v>155.53843599999999</v>
      </c>
      <c r="U75" s="875">
        <f t="shared" si="46"/>
        <v>0</v>
      </c>
      <c r="V75" s="875"/>
      <c r="W75" s="691">
        <f t="shared" si="40"/>
        <v>426.98388</v>
      </c>
      <c r="X75" s="875">
        <f t="shared" si="47"/>
        <v>426.98388</v>
      </c>
      <c r="Y75" s="875">
        <f t="shared" si="47"/>
        <v>122.53046933333333</v>
      </c>
      <c r="Z75" s="875">
        <f t="shared" si="47"/>
        <v>0</v>
      </c>
      <c r="AA75" s="875"/>
      <c r="AB75" s="691">
        <f t="shared" si="42"/>
        <v>549.51434933333337</v>
      </c>
    </row>
    <row r="76" spans="2:28">
      <c r="B76" s="464">
        <f t="shared" si="48"/>
        <v>7</v>
      </c>
      <c r="C76" s="466" t="s">
        <v>815</v>
      </c>
      <c r="D76" s="875">
        <f t="shared" si="43"/>
        <v>0</v>
      </c>
      <c r="E76" s="875">
        <f t="shared" si="43"/>
        <v>0</v>
      </c>
      <c r="F76" s="875">
        <f t="shared" si="43"/>
        <v>0</v>
      </c>
      <c r="G76" s="875"/>
      <c r="H76" s="691">
        <f t="shared" si="34"/>
        <v>0</v>
      </c>
      <c r="I76" s="875">
        <f t="shared" si="44"/>
        <v>0</v>
      </c>
      <c r="J76" s="875">
        <f t="shared" si="44"/>
        <v>0</v>
      </c>
      <c r="K76" s="875">
        <f t="shared" si="44"/>
        <v>0</v>
      </c>
      <c r="L76" s="875"/>
      <c r="M76" s="691">
        <f t="shared" si="36"/>
        <v>0</v>
      </c>
      <c r="N76" s="875">
        <f t="shared" si="45"/>
        <v>0</v>
      </c>
      <c r="O76" s="875">
        <f t="shared" si="45"/>
        <v>0</v>
      </c>
      <c r="P76" s="875">
        <f t="shared" si="45"/>
        <v>0</v>
      </c>
      <c r="Q76" s="875"/>
      <c r="R76" s="691">
        <f t="shared" si="38"/>
        <v>0</v>
      </c>
      <c r="S76" s="875">
        <f t="shared" si="46"/>
        <v>0</v>
      </c>
      <c r="T76" s="875">
        <f t="shared" si="46"/>
        <v>0</v>
      </c>
      <c r="U76" s="875">
        <f t="shared" si="46"/>
        <v>0</v>
      </c>
      <c r="V76" s="875"/>
      <c r="W76" s="691">
        <f t="shared" si="40"/>
        <v>0</v>
      </c>
      <c r="X76" s="875">
        <f t="shared" si="47"/>
        <v>0</v>
      </c>
      <c r="Y76" s="875">
        <f t="shared" si="47"/>
        <v>0</v>
      </c>
      <c r="Z76" s="875">
        <f t="shared" si="47"/>
        <v>0</v>
      </c>
      <c r="AA76" s="875"/>
      <c r="AB76" s="691">
        <f t="shared" si="42"/>
        <v>0</v>
      </c>
    </row>
    <row r="77" spans="2:28">
      <c r="B77" s="464">
        <f t="shared" si="48"/>
        <v>8</v>
      </c>
      <c r="C77" s="466" t="s">
        <v>816</v>
      </c>
      <c r="D77" s="875">
        <f t="shared" si="43"/>
        <v>0</v>
      </c>
      <c r="E77" s="875">
        <f t="shared" si="43"/>
        <v>0</v>
      </c>
      <c r="F77" s="875">
        <f t="shared" si="43"/>
        <v>0</v>
      </c>
      <c r="G77" s="875"/>
      <c r="H77" s="691">
        <f t="shared" si="34"/>
        <v>0</v>
      </c>
      <c r="I77" s="875">
        <f t="shared" si="44"/>
        <v>0</v>
      </c>
      <c r="J77" s="875">
        <f t="shared" si="44"/>
        <v>0</v>
      </c>
      <c r="K77" s="875">
        <f t="shared" si="44"/>
        <v>0</v>
      </c>
      <c r="L77" s="875"/>
      <c r="M77" s="691">
        <f t="shared" si="36"/>
        <v>0</v>
      </c>
      <c r="N77" s="875">
        <f t="shared" si="45"/>
        <v>0</v>
      </c>
      <c r="O77" s="875">
        <f t="shared" si="45"/>
        <v>0</v>
      </c>
      <c r="P77" s="875">
        <f t="shared" si="45"/>
        <v>0</v>
      </c>
      <c r="Q77" s="875"/>
      <c r="R77" s="691">
        <f t="shared" si="38"/>
        <v>0</v>
      </c>
      <c r="S77" s="875">
        <f t="shared" si="46"/>
        <v>0</v>
      </c>
      <c r="T77" s="875">
        <f t="shared" si="46"/>
        <v>0</v>
      </c>
      <c r="U77" s="875">
        <f t="shared" si="46"/>
        <v>0</v>
      </c>
      <c r="V77" s="875"/>
      <c r="W77" s="691">
        <f t="shared" si="40"/>
        <v>0</v>
      </c>
      <c r="X77" s="875">
        <f t="shared" si="47"/>
        <v>0</v>
      </c>
      <c r="Y77" s="875">
        <f t="shared" si="47"/>
        <v>0</v>
      </c>
      <c r="Z77" s="875">
        <f t="shared" si="47"/>
        <v>0</v>
      </c>
      <c r="AA77" s="875"/>
      <c r="AB77" s="691">
        <f t="shared" si="42"/>
        <v>0</v>
      </c>
    </row>
    <row r="78" spans="2:28">
      <c r="B78" s="464">
        <f t="shared" si="48"/>
        <v>9</v>
      </c>
      <c r="C78" s="466" t="s">
        <v>817</v>
      </c>
      <c r="D78" s="875">
        <f t="shared" si="43"/>
        <v>0</v>
      </c>
      <c r="E78" s="875">
        <f t="shared" si="43"/>
        <v>0</v>
      </c>
      <c r="F78" s="875">
        <f t="shared" si="43"/>
        <v>0</v>
      </c>
      <c r="G78" s="875"/>
      <c r="H78" s="691">
        <f t="shared" si="34"/>
        <v>0</v>
      </c>
      <c r="I78" s="875">
        <f t="shared" si="44"/>
        <v>0</v>
      </c>
      <c r="J78" s="875">
        <f t="shared" si="44"/>
        <v>0</v>
      </c>
      <c r="K78" s="875">
        <f t="shared" si="44"/>
        <v>0</v>
      </c>
      <c r="L78" s="875"/>
      <c r="M78" s="691">
        <f t="shared" si="36"/>
        <v>0</v>
      </c>
      <c r="N78" s="875">
        <f t="shared" si="45"/>
        <v>0</v>
      </c>
      <c r="O78" s="875">
        <f t="shared" si="45"/>
        <v>0</v>
      </c>
      <c r="P78" s="875">
        <f t="shared" si="45"/>
        <v>0</v>
      </c>
      <c r="Q78" s="875"/>
      <c r="R78" s="691">
        <f t="shared" si="38"/>
        <v>0</v>
      </c>
      <c r="S78" s="875">
        <f t="shared" si="46"/>
        <v>0</v>
      </c>
      <c r="T78" s="875">
        <f t="shared" si="46"/>
        <v>0</v>
      </c>
      <c r="U78" s="875">
        <f t="shared" si="46"/>
        <v>0</v>
      </c>
      <c r="V78" s="875"/>
      <c r="W78" s="691">
        <f t="shared" si="40"/>
        <v>0</v>
      </c>
      <c r="X78" s="875">
        <f t="shared" si="47"/>
        <v>0</v>
      </c>
      <c r="Y78" s="875">
        <f t="shared" si="47"/>
        <v>0</v>
      </c>
      <c r="Z78" s="875">
        <f t="shared" si="47"/>
        <v>0</v>
      </c>
      <c r="AA78" s="875"/>
      <c r="AB78" s="691">
        <f t="shared" si="42"/>
        <v>0</v>
      </c>
    </row>
    <row r="79" spans="2:28">
      <c r="B79" s="464">
        <f t="shared" si="48"/>
        <v>10</v>
      </c>
      <c r="C79" s="466" t="s">
        <v>259</v>
      </c>
      <c r="D79" s="875">
        <f t="shared" si="43"/>
        <v>0</v>
      </c>
      <c r="E79" s="875">
        <f t="shared" si="43"/>
        <v>0</v>
      </c>
      <c r="F79" s="875">
        <f t="shared" si="43"/>
        <v>0</v>
      </c>
      <c r="G79" s="875"/>
      <c r="H79" s="691">
        <f t="shared" si="34"/>
        <v>0</v>
      </c>
      <c r="I79" s="875">
        <f t="shared" si="44"/>
        <v>0</v>
      </c>
      <c r="J79" s="875">
        <f t="shared" si="44"/>
        <v>1.7502187499999999</v>
      </c>
      <c r="K79" s="875">
        <f t="shared" si="44"/>
        <v>0</v>
      </c>
      <c r="L79" s="875"/>
      <c r="M79" s="691">
        <f t="shared" si="36"/>
        <v>1.7502187499999999</v>
      </c>
      <c r="N79" s="875">
        <f t="shared" si="45"/>
        <v>1.7502187499999999</v>
      </c>
      <c r="O79" s="875">
        <f t="shared" si="45"/>
        <v>6.3405374999999999</v>
      </c>
      <c r="P79" s="875">
        <f t="shared" si="45"/>
        <v>0</v>
      </c>
      <c r="Q79" s="875"/>
      <c r="R79" s="691">
        <f t="shared" si="38"/>
        <v>8.0907562500000001</v>
      </c>
      <c r="S79" s="875">
        <f t="shared" si="46"/>
        <v>8.0907562500000001</v>
      </c>
      <c r="T79" s="875">
        <f t="shared" si="46"/>
        <v>-0.8243625</v>
      </c>
      <c r="U79" s="875">
        <f t="shared" si="46"/>
        <v>0</v>
      </c>
      <c r="V79" s="875"/>
      <c r="W79" s="691">
        <f t="shared" si="40"/>
        <v>7.2663937499999998</v>
      </c>
      <c r="X79" s="875">
        <f t="shared" si="47"/>
        <v>7.2663937500000007</v>
      </c>
      <c r="Y79" s="875">
        <f t="shared" si="47"/>
        <v>-0.8243625</v>
      </c>
      <c r="Z79" s="875">
        <f t="shared" si="47"/>
        <v>0</v>
      </c>
      <c r="AA79" s="875"/>
      <c r="AB79" s="691">
        <f t="shared" si="42"/>
        <v>6.4420312500000003</v>
      </c>
    </row>
    <row r="80" spans="2:28">
      <c r="B80" s="464">
        <f t="shared" si="48"/>
        <v>11</v>
      </c>
      <c r="C80" s="466" t="s">
        <v>260</v>
      </c>
      <c r="D80" s="875">
        <f t="shared" si="43"/>
        <v>0</v>
      </c>
      <c r="E80" s="875">
        <f t="shared" si="43"/>
        <v>0</v>
      </c>
      <c r="F80" s="875">
        <f t="shared" si="43"/>
        <v>0</v>
      </c>
      <c r="G80" s="875"/>
      <c r="H80" s="691">
        <f t="shared" si="34"/>
        <v>0</v>
      </c>
      <c r="I80" s="875">
        <f t="shared" si="44"/>
        <v>0</v>
      </c>
      <c r="J80" s="875">
        <f t="shared" si="44"/>
        <v>0</v>
      </c>
      <c r="K80" s="875">
        <f t="shared" si="44"/>
        <v>0</v>
      </c>
      <c r="L80" s="875"/>
      <c r="M80" s="691">
        <f t="shared" si="36"/>
        <v>0</v>
      </c>
      <c r="N80" s="875">
        <f t="shared" si="45"/>
        <v>0</v>
      </c>
      <c r="O80" s="875">
        <f t="shared" si="45"/>
        <v>0</v>
      </c>
      <c r="P80" s="875">
        <f t="shared" si="45"/>
        <v>0</v>
      </c>
      <c r="Q80" s="875"/>
      <c r="R80" s="691">
        <f t="shared" si="38"/>
        <v>0</v>
      </c>
      <c r="S80" s="875">
        <f t="shared" si="46"/>
        <v>0</v>
      </c>
      <c r="T80" s="875">
        <f t="shared" si="46"/>
        <v>0</v>
      </c>
      <c r="U80" s="875">
        <f t="shared" si="46"/>
        <v>0</v>
      </c>
      <c r="V80" s="875"/>
      <c r="W80" s="691">
        <f t="shared" si="40"/>
        <v>0</v>
      </c>
      <c r="X80" s="875">
        <f t="shared" si="47"/>
        <v>0</v>
      </c>
      <c r="Y80" s="875">
        <f t="shared" si="47"/>
        <v>0</v>
      </c>
      <c r="Z80" s="875">
        <f t="shared" si="47"/>
        <v>0</v>
      </c>
      <c r="AA80" s="875"/>
      <c r="AB80" s="691">
        <f t="shared" si="42"/>
        <v>0</v>
      </c>
    </row>
    <row r="81" spans="2:28">
      <c r="B81" s="464">
        <f t="shared" si="48"/>
        <v>12</v>
      </c>
      <c r="C81" s="466" t="s">
        <v>261</v>
      </c>
      <c r="D81" s="875">
        <f t="shared" si="43"/>
        <v>0</v>
      </c>
      <c r="E81" s="875">
        <f t="shared" si="43"/>
        <v>0</v>
      </c>
      <c r="F81" s="875">
        <f t="shared" si="43"/>
        <v>0</v>
      </c>
      <c r="G81" s="875"/>
      <c r="H81" s="691">
        <f t="shared" si="34"/>
        <v>0</v>
      </c>
      <c r="I81" s="875">
        <f t="shared" si="44"/>
        <v>0</v>
      </c>
      <c r="J81" s="875">
        <f t="shared" si="44"/>
        <v>0</v>
      </c>
      <c r="K81" s="875">
        <f t="shared" si="44"/>
        <v>0</v>
      </c>
      <c r="L81" s="875"/>
      <c r="M81" s="691">
        <f t="shared" si="36"/>
        <v>0</v>
      </c>
      <c r="N81" s="875">
        <f t="shared" si="45"/>
        <v>0</v>
      </c>
      <c r="O81" s="875">
        <f t="shared" si="45"/>
        <v>0</v>
      </c>
      <c r="P81" s="875">
        <f t="shared" si="45"/>
        <v>0</v>
      </c>
      <c r="Q81" s="875"/>
      <c r="R81" s="691">
        <f t="shared" si="38"/>
        <v>0</v>
      </c>
      <c r="S81" s="875">
        <f t="shared" si="46"/>
        <v>0</v>
      </c>
      <c r="T81" s="875">
        <f t="shared" si="46"/>
        <v>0</v>
      </c>
      <c r="U81" s="875">
        <f t="shared" si="46"/>
        <v>0</v>
      </c>
      <c r="V81" s="875"/>
      <c r="W81" s="691">
        <f t="shared" si="40"/>
        <v>0</v>
      </c>
      <c r="X81" s="875">
        <f t="shared" si="47"/>
        <v>0</v>
      </c>
      <c r="Y81" s="875">
        <f t="shared" si="47"/>
        <v>0</v>
      </c>
      <c r="Z81" s="875">
        <f t="shared" si="47"/>
        <v>0</v>
      </c>
      <c r="AA81" s="875"/>
      <c r="AB81" s="691">
        <f t="shared" si="42"/>
        <v>0</v>
      </c>
    </row>
    <row r="82" spans="2:28">
      <c r="B82" s="464">
        <f t="shared" si="48"/>
        <v>13</v>
      </c>
      <c r="C82" s="466" t="s">
        <v>865</v>
      </c>
      <c r="D82" s="875">
        <f t="shared" si="43"/>
        <v>0</v>
      </c>
      <c r="E82" s="875">
        <f t="shared" si="43"/>
        <v>0</v>
      </c>
      <c r="F82" s="875">
        <f t="shared" si="43"/>
        <v>0</v>
      </c>
      <c r="G82" s="875"/>
      <c r="H82" s="691">
        <f t="shared" si="34"/>
        <v>0</v>
      </c>
      <c r="I82" s="875">
        <f t="shared" si="44"/>
        <v>0</v>
      </c>
      <c r="J82" s="875">
        <f t="shared" si="44"/>
        <v>0</v>
      </c>
      <c r="K82" s="875">
        <f t="shared" si="44"/>
        <v>0</v>
      </c>
      <c r="L82" s="875"/>
      <c r="M82" s="691">
        <f t="shared" si="36"/>
        <v>0</v>
      </c>
      <c r="N82" s="875">
        <f t="shared" si="45"/>
        <v>0</v>
      </c>
      <c r="O82" s="875">
        <f t="shared" si="45"/>
        <v>0</v>
      </c>
      <c r="P82" s="875">
        <f t="shared" si="45"/>
        <v>0</v>
      </c>
      <c r="Q82" s="875"/>
      <c r="R82" s="691">
        <f t="shared" si="38"/>
        <v>0</v>
      </c>
      <c r="S82" s="875">
        <f t="shared" si="46"/>
        <v>0</v>
      </c>
      <c r="T82" s="875">
        <f t="shared" si="46"/>
        <v>0</v>
      </c>
      <c r="U82" s="875">
        <f t="shared" si="46"/>
        <v>0</v>
      </c>
      <c r="V82" s="875"/>
      <c r="W82" s="691">
        <f t="shared" si="40"/>
        <v>0</v>
      </c>
      <c r="X82" s="875">
        <f t="shared" si="47"/>
        <v>0</v>
      </c>
      <c r="Y82" s="875">
        <f t="shared" si="47"/>
        <v>0</v>
      </c>
      <c r="Z82" s="875">
        <f t="shared" si="47"/>
        <v>0</v>
      </c>
      <c r="AA82" s="875"/>
      <c r="AB82" s="691">
        <f t="shared" si="42"/>
        <v>0</v>
      </c>
    </row>
    <row r="83" spans="2:28">
      <c r="B83" s="464">
        <f t="shared" si="48"/>
        <v>14</v>
      </c>
      <c r="C83" s="466" t="s">
        <v>866</v>
      </c>
      <c r="D83" s="875">
        <f t="shared" si="43"/>
        <v>0</v>
      </c>
      <c r="E83" s="875">
        <f t="shared" si="43"/>
        <v>0</v>
      </c>
      <c r="F83" s="875">
        <f t="shared" si="43"/>
        <v>0</v>
      </c>
      <c r="G83" s="875"/>
      <c r="H83" s="691">
        <f t="shared" si="34"/>
        <v>0</v>
      </c>
      <c r="I83" s="875">
        <f t="shared" si="44"/>
        <v>0</v>
      </c>
      <c r="J83" s="875">
        <f t="shared" si="44"/>
        <v>0</v>
      </c>
      <c r="K83" s="875">
        <f t="shared" si="44"/>
        <v>0</v>
      </c>
      <c r="L83" s="875"/>
      <c r="M83" s="691">
        <f t="shared" si="36"/>
        <v>0</v>
      </c>
      <c r="N83" s="875">
        <f t="shared" si="45"/>
        <v>0</v>
      </c>
      <c r="O83" s="875">
        <f t="shared" si="45"/>
        <v>0</v>
      </c>
      <c r="P83" s="875">
        <f t="shared" si="45"/>
        <v>0</v>
      </c>
      <c r="Q83" s="875"/>
      <c r="R83" s="691">
        <f t="shared" si="38"/>
        <v>0</v>
      </c>
      <c r="S83" s="875">
        <f t="shared" si="46"/>
        <v>0</v>
      </c>
      <c r="T83" s="875">
        <f t="shared" si="46"/>
        <v>0</v>
      </c>
      <c r="U83" s="875">
        <f t="shared" si="46"/>
        <v>0</v>
      </c>
      <c r="V83" s="875"/>
      <c r="W83" s="691">
        <f t="shared" si="40"/>
        <v>0</v>
      </c>
      <c r="X83" s="875">
        <f t="shared" si="47"/>
        <v>0</v>
      </c>
      <c r="Y83" s="875">
        <f t="shared" si="47"/>
        <v>0</v>
      </c>
      <c r="Z83" s="875">
        <f t="shared" si="47"/>
        <v>0</v>
      </c>
      <c r="AA83" s="875"/>
      <c r="AB83" s="691">
        <f t="shared" si="42"/>
        <v>0</v>
      </c>
    </row>
    <row r="84" spans="2:28">
      <c r="B84" s="464">
        <f t="shared" si="48"/>
        <v>15</v>
      </c>
      <c r="C84" s="466" t="s">
        <v>867</v>
      </c>
      <c r="D84" s="875">
        <f t="shared" si="43"/>
        <v>0</v>
      </c>
      <c r="E84" s="875">
        <f t="shared" si="43"/>
        <v>0</v>
      </c>
      <c r="F84" s="875">
        <f t="shared" si="43"/>
        <v>0</v>
      </c>
      <c r="G84" s="875"/>
      <c r="H84" s="691">
        <f t="shared" si="34"/>
        <v>0</v>
      </c>
      <c r="I84" s="875">
        <f t="shared" si="44"/>
        <v>0</v>
      </c>
      <c r="J84" s="875">
        <f t="shared" si="44"/>
        <v>0</v>
      </c>
      <c r="K84" s="875">
        <f t="shared" si="44"/>
        <v>0</v>
      </c>
      <c r="L84" s="875"/>
      <c r="M84" s="691">
        <f t="shared" si="36"/>
        <v>0</v>
      </c>
      <c r="N84" s="875">
        <f t="shared" si="45"/>
        <v>0</v>
      </c>
      <c r="O84" s="875">
        <f t="shared" si="45"/>
        <v>0</v>
      </c>
      <c r="P84" s="875">
        <f t="shared" si="45"/>
        <v>0</v>
      </c>
      <c r="Q84" s="875"/>
      <c r="R84" s="691">
        <f t="shared" si="38"/>
        <v>0</v>
      </c>
      <c r="S84" s="875">
        <f t="shared" si="46"/>
        <v>0</v>
      </c>
      <c r="T84" s="875">
        <f t="shared" si="46"/>
        <v>0</v>
      </c>
      <c r="U84" s="875">
        <f t="shared" si="46"/>
        <v>0</v>
      </c>
      <c r="V84" s="875"/>
      <c r="W84" s="691">
        <f t="shared" si="40"/>
        <v>0</v>
      </c>
      <c r="X84" s="875">
        <f t="shared" si="47"/>
        <v>0</v>
      </c>
      <c r="Y84" s="875">
        <f t="shared" si="47"/>
        <v>0</v>
      </c>
      <c r="Z84" s="875">
        <f t="shared" si="47"/>
        <v>0</v>
      </c>
      <c r="AA84" s="875"/>
      <c r="AB84" s="691">
        <f t="shared" si="42"/>
        <v>0</v>
      </c>
    </row>
    <row r="85" spans="2:28">
      <c r="B85" s="464">
        <f t="shared" si="48"/>
        <v>16</v>
      </c>
      <c r="C85" s="466" t="s">
        <v>818</v>
      </c>
      <c r="D85" s="875">
        <f t="shared" si="43"/>
        <v>0</v>
      </c>
      <c r="E85" s="875">
        <f t="shared" si="43"/>
        <v>0</v>
      </c>
      <c r="F85" s="875">
        <f t="shared" si="43"/>
        <v>0</v>
      </c>
      <c r="G85" s="875"/>
      <c r="H85" s="691">
        <f t="shared" si="34"/>
        <v>0</v>
      </c>
      <c r="I85" s="875">
        <f t="shared" si="44"/>
        <v>0</v>
      </c>
      <c r="J85" s="875">
        <f t="shared" si="44"/>
        <v>0</v>
      </c>
      <c r="K85" s="875">
        <f t="shared" si="44"/>
        <v>0</v>
      </c>
      <c r="L85" s="875"/>
      <c r="M85" s="691">
        <f t="shared" si="36"/>
        <v>0</v>
      </c>
      <c r="N85" s="875">
        <f t="shared" si="45"/>
        <v>0</v>
      </c>
      <c r="O85" s="875">
        <f t="shared" si="45"/>
        <v>0</v>
      </c>
      <c r="P85" s="875">
        <f t="shared" si="45"/>
        <v>0</v>
      </c>
      <c r="Q85" s="875"/>
      <c r="R85" s="691">
        <f t="shared" si="38"/>
        <v>0</v>
      </c>
      <c r="S85" s="875">
        <f t="shared" si="46"/>
        <v>0</v>
      </c>
      <c r="T85" s="875">
        <f t="shared" si="46"/>
        <v>0</v>
      </c>
      <c r="U85" s="875">
        <f t="shared" si="46"/>
        <v>0</v>
      </c>
      <c r="V85" s="875"/>
      <c r="W85" s="691">
        <f t="shared" si="40"/>
        <v>0</v>
      </c>
      <c r="X85" s="875">
        <f t="shared" si="47"/>
        <v>0</v>
      </c>
      <c r="Y85" s="875">
        <f t="shared" si="47"/>
        <v>0</v>
      </c>
      <c r="Z85" s="875">
        <f t="shared" si="47"/>
        <v>0</v>
      </c>
      <c r="AA85" s="875"/>
      <c r="AB85" s="691">
        <f t="shared" si="42"/>
        <v>0</v>
      </c>
    </row>
    <row r="86" spans="2:28">
      <c r="B86" s="464">
        <f t="shared" si="48"/>
        <v>17</v>
      </c>
      <c r="C86" s="466" t="s">
        <v>868</v>
      </c>
      <c r="D86" s="875">
        <f t="shared" si="43"/>
        <v>0</v>
      </c>
      <c r="E86" s="875">
        <f t="shared" si="43"/>
        <v>0</v>
      </c>
      <c r="F86" s="875">
        <f t="shared" si="43"/>
        <v>0</v>
      </c>
      <c r="G86" s="875"/>
      <c r="H86" s="691">
        <f t="shared" si="34"/>
        <v>0</v>
      </c>
      <c r="I86" s="875">
        <f t="shared" si="44"/>
        <v>0</v>
      </c>
      <c r="J86" s="875">
        <f t="shared" si="44"/>
        <v>0</v>
      </c>
      <c r="K86" s="875">
        <f t="shared" si="44"/>
        <v>0</v>
      </c>
      <c r="L86" s="875"/>
      <c r="M86" s="691">
        <f t="shared" si="36"/>
        <v>0</v>
      </c>
      <c r="N86" s="875">
        <f t="shared" si="45"/>
        <v>0</v>
      </c>
      <c r="O86" s="875">
        <f t="shared" si="45"/>
        <v>0</v>
      </c>
      <c r="P86" s="875">
        <f t="shared" si="45"/>
        <v>0</v>
      </c>
      <c r="Q86" s="875"/>
      <c r="R86" s="691">
        <f t="shared" si="38"/>
        <v>0</v>
      </c>
      <c r="S86" s="875">
        <f t="shared" si="46"/>
        <v>0</v>
      </c>
      <c r="T86" s="875">
        <f t="shared" si="46"/>
        <v>0</v>
      </c>
      <c r="U86" s="875">
        <f t="shared" si="46"/>
        <v>0</v>
      </c>
      <c r="V86" s="875"/>
      <c r="W86" s="691">
        <f t="shared" si="40"/>
        <v>0</v>
      </c>
      <c r="X86" s="875">
        <f t="shared" si="47"/>
        <v>0</v>
      </c>
      <c r="Y86" s="875">
        <f t="shared" si="47"/>
        <v>0</v>
      </c>
      <c r="Z86" s="875">
        <f t="shared" si="47"/>
        <v>0</v>
      </c>
      <c r="AA86" s="875"/>
      <c r="AB86" s="691">
        <f t="shared" si="42"/>
        <v>0</v>
      </c>
    </row>
    <row r="87" spans="2:28" ht="16">
      <c r="B87" s="83"/>
      <c r="C87" s="97" t="s">
        <v>272</v>
      </c>
      <c r="D87" s="97">
        <f>SUM(D70:D86)</f>
        <v>0</v>
      </c>
      <c r="E87" s="97">
        <f t="shared" ref="E87:AB87" si="49">SUM(E70:E86)</f>
        <v>57.676678999999993</v>
      </c>
      <c r="F87" s="97">
        <f t="shared" si="49"/>
        <v>0</v>
      </c>
      <c r="G87" s="97">
        <f t="shared" si="49"/>
        <v>0</v>
      </c>
      <c r="H87" s="97">
        <f t="shared" si="49"/>
        <v>57.676678999999993</v>
      </c>
      <c r="I87" s="97">
        <f t="shared" si="49"/>
        <v>57.676678999999993</v>
      </c>
      <c r="J87" s="97">
        <f t="shared" si="49"/>
        <v>164.96240175000005</v>
      </c>
      <c r="K87" s="97">
        <f t="shared" si="49"/>
        <v>0</v>
      </c>
      <c r="L87" s="97">
        <f t="shared" si="49"/>
        <v>0</v>
      </c>
      <c r="M87" s="97">
        <f t="shared" si="49"/>
        <v>222.63908075000003</v>
      </c>
      <c r="N87" s="97">
        <f t="shared" si="49"/>
        <v>222.63908075000003</v>
      </c>
      <c r="O87" s="97">
        <f t="shared" si="49"/>
        <v>67.858419499999997</v>
      </c>
      <c r="P87" s="97">
        <f t="shared" si="49"/>
        <v>0</v>
      </c>
      <c r="Q87" s="97">
        <f t="shared" si="49"/>
        <v>0</v>
      </c>
      <c r="R87" s="97">
        <f t="shared" si="49"/>
        <v>290.49750025000003</v>
      </c>
      <c r="S87" s="97">
        <f t="shared" si="49"/>
        <v>290.49750025000003</v>
      </c>
      <c r="T87" s="97">
        <f t="shared" si="49"/>
        <v>154.2185935</v>
      </c>
      <c r="U87" s="97">
        <f t="shared" si="49"/>
        <v>0</v>
      </c>
      <c r="V87" s="97">
        <f t="shared" si="49"/>
        <v>0</v>
      </c>
      <c r="W87" s="97">
        <f t="shared" si="49"/>
        <v>444.71609375000003</v>
      </c>
      <c r="X87" s="97">
        <f t="shared" si="49"/>
        <v>444.71609375000003</v>
      </c>
      <c r="Y87" s="97">
        <f t="shared" si="49"/>
        <v>121.21062683333332</v>
      </c>
      <c r="Z87" s="97">
        <f t="shared" si="49"/>
        <v>0</v>
      </c>
      <c r="AA87" s="97">
        <f t="shared" si="49"/>
        <v>0</v>
      </c>
      <c r="AB87" s="97">
        <f t="shared" si="49"/>
        <v>565.92672058333335</v>
      </c>
    </row>
    <row r="88" spans="2:28">
      <c r="B88" s="265"/>
      <c r="C88" s="891"/>
      <c r="D88" s="891"/>
      <c r="E88" s="891"/>
      <c r="F88" s="891"/>
      <c r="G88" s="891"/>
      <c r="H88" s="891"/>
      <c r="I88" s="891"/>
      <c r="J88" s="891"/>
      <c r="K88" s="891"/>
    </row>
  </sheetData>
  <mergeCells count="36">
    <mergeCell ref="X66:AB66"/>
    <mergeCell ref="D67:H67"/>
    <mergeCell ref="I67:M67"/>
    <mergeCell ref="N67:R67"/>
    <mergeCell ref="S67:W67"/>
    <mergeCell ref="X67:AB67"/>
    <mergeCell ref="S66:W66"/>
    <mergeCell ref="B66:B68"/>
    <mergeCell ref="C66:C68"/>
    <mergeCell ref="D66:H66"/>
    <mergeCell ref="I66:M66"/>
    <mergeCell ref="N66:R66"/>
    <mergeCell ref="X40:AB40"/>
    <mergeCell ref="D41:H41"/>
    <mergeCell ref="I41:M41"/>
    <mergeCell ref="N41:R41"/>
    <mergeCell ref="S41:W41"/>
    <mergeCell ref="X41:AB41"/>
    <mergeCell ref="S40:W40"/>
    <mergeCell ref="B40:B42"/>
    <mergeCell ref="C40:C42"/>
    <mergeCell ref="D40:H40"/>
    <mergeCell ref="I40:M40"/>
    <mergeCell ref="N40:R40"/>
    <mergeCell ref="X12:AB12"/>
    <mergeCell ref="D13:H13"/>
    <mergeCell ref="I13:M13"/>
    <mergeCell ref="N13:R13"/>
    <mergeCell ref="S13:W13"/>
    <mergeCell ref="X13:AB13"/>
    <mergeCell ref="S12:W12"/>
    <mergeCell ref="B12:B14"/>
    <mergeCell ref="C12:C14"/>
    <mergeCell ref="D12:H12"/>
    <mergeCell ref="I12:M12"/>
    <mergeCell ref="N12:R12"/>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V325"/>
  <sheetViews>
    <sheetView showGridLines="0" view="pageBreakPreview" zoomScale="56" zoomScaleNormal="75" zoomScaleSheetLayoutView="70" workbookViewId="0">
      <pane xSplit="3" ySplit="12" topLeftCell="D13" activePane="bottomRight" state="frozen"/>
      <selection pane="topRight" activeCell="D1" sqref="D1"/>
      <selection pane="bottomLeft" activeCell="A13" sqref="A13"/>
      <selection pane="bottomRight" activeCell="H17" sqref="H17"/>
    </sheetView>
  </sheetViews>
  <sheetFormatPr defaultColWidth="9.36328125" defaultRowHeight="14"/>
  <cols>
    <col min="1" max="1" width="6.6328125" style="14" customWidth="1"/>
    <col min="2" max="2" width="7" style="599" customWidth="1"/>
    <col min="3" max="3" width="41.81640625" style="426" customWidth="1"/>
    <col min="4" max="4" width="16.453125" style="426" customWidth="1"/>
    <col min="5" max="5" width="17.36328125" style="426" customWidth="1"/>
    <col min="6" max="6" width="21.36328125" style="426" customWidth="1"/>
    <col min="7" max="7" width="22.36328125" style="426" customWidth="1"/>
    <col min="8" max="9" width="20.6328125" style="426" customWidth="1"/>
    <col min="10" max="10" width="18.6328125" style="14" customWidth="1"/>
    <col min="11" max="11" width="18.6328125" style="64" customWidth="1"/>
    <col min="12" max="12" width="18.6328125" style="14" customWidth="1"/>
    <col min="13" max="16" width="16.54296875" style="14" customWidth="1"/>
    <col min="17" max="19" width="18.6328125" style="14" customWidth="1"/>
    <col min="20" max="16384" width="9.36328125" style="14"/>
  </cols>
  <sheetData>
    <row r="1" spans="2:18">
      <c r="C1" s="14"/>
      <c r="D1" s="14"/>
      <c r="E1" s="14"/>
      <c r="F1" s="14"/>
      <c r="G1" s="14"/>
      <c r="H1" s="14"/>
      <c r="I1" s="14"/>
    </row>
    <row r="2" spans="2:18">
      <c r="C2" s="15" t="str">
        <f>Index!B2</f>
        <v xml:space="preserve">      Maharashtra State Power Generation Company Ltd.</v>
      </c>
      <c r="D2" s="15"/>
      <c r="E2" s="15"/>
      <c r="F2" s="15"/>
      <c r="G2" s="15"/>
      <c r="H2" s="16"/>
      <c r="I2" s="16"/>
      <c r="J2" s="16"/>
      <c r="K2" s="335"/>
      <c r="L2" s="16"/>
      <c r="M2" s="16"/>
      <c r="N2" s="16"/>
      <c r="O2" s="16"/>
      <c r="P2" s="16"/>
    </row>
    <row r="3" spans="2:18" s="5" customFormat="1">
      <c r="B3" s="600"/>
      <c r="C3" s="15" t="str">
        <f>Index!B3</f>
        <v>MYT Petition Formats for Bhusawal Units 4&amp;5</v>
      </c>
      <c r="D3" s="17"/>
      <c r="E3" s="17"/>
      <c r="F3" s="17"/>
      <c r="G3" s="17"/>
      <c r="H3" s="18"/>
      <c r="I3" s="18"/>
      <c r="J3" s="18"/>
      <c r="K3" s="66"/>
      <c r="L3" s="18"/>
      <c r="M3" s="18"/>
      <c r="N3" s="18"/>
      <c r="O3" s="18"/>
      <c r="P3" s="18"/>
    </row>
    <row r="4" spans="2:18" s="5" customFormat="1">
      <c r="B4" s="600"/>
      <c r="C4" s="19" t="s">
        <v>52</v>
      </c>
      <c r="D4" s="19"/>
      <c r="E4" s="19"/>
      <c r="F4" s="19"/>
      <c r="G4" s="19"/>
      <c r="H4" s="18"/>
      <c r="I4" s="18"/>
      <c r="J4" s="20"/>
      <c r="K4" s="66"/>
      <c r="L4" s="18"/>
      <c r="M4" s="18"/>
      <c r="N4" s="18"/>
      <c r="O4" s="18"/>
      <c r="P4" s="18"/>
    </row>
    <row r="5" spans="2:18" s="5" customFormat="1">
      <c r="B5" s="600"/>
      <c r="C5" s="19"/>
      <c r="D5" s="19"/>
      <c r="E5" s="19"/>
      <c r="F5" s="19"/>
      <c r="G5" s="19"/>
      <c r="H5" s="18"/>
      <c r="I5" s="18"/>
      <c r="J5" s="20"/>
      <c r="K5" s="66"/>
      <c r="L5" s="18"/>
      <c r="M5" s="18"/>
      <c r="N5" s="18"/>
      <c r="O5" s="18"/>
      <c r="P5" s="18"/>
    </row>
    <row r="6" spans="2:18" s="5" customFormat="1">
      <c r="B6" s="600"/>
      <c r="C6" s="19"/>
      <c r="D6" s="19"/>
      <c r="E6" s="19"/>
      <c r="F6" s="19"/>
      <c r="G6" s="19"/>
      <c r="H6" s="18"/>
      <c r="I6" s="18"/>
      <c r="J6" s="20"/>
      <c r="K6" s="66"/>
      <c r="L6" s="18"/>
      <c r="M6" s="18"/>
      <c r="N6" s="18"/>
      <c r="O6" s="18"/>
      <c r="P6" s="18"/>
    </row>
    <row r="7" spans="2:18" s="5" customFormat="1">
      <c r="B7" s="600"/>
      <c r="C7" s="19"/>
      <c r="D7" s="19"/>
      <c r="E7" s="19"/>
      <c r="F7" s="19"/>
      <c r="G7" s="19"/>
      <c r="H7" s="18"/>
      <c r="I7" s="18"/>
      <c r="J7" s="20"/>
      <c r="K7" s="66"/>
      <c r="L7" s="18"/>
      <c r="M7" s="18"/>
      <c r="N7" s="18"/>
      <c r="O7" s="18"/>
      <c r="P7" s="18"/>
    </row>
    <row r="8" spans="2:18" s="5" customFormat="1" ht="17.5">
      <c r="B8" s="600"/>
      <c r="C8" s="101" t="s">
        <v>404</v>
      </c>
      <c r="D8" s="101"/>
      <c r="E8" s="101"/>
      <c r="F8" s="101"/>
      <c r="G8" s="101"/>
      <c r="H8" s="18"/>
      <c r="I8" s="18"/>
      <c r="J8" s="20"/>
      <c r="K8" s="66"/>
      <c r="L8" s="18"/>
      <c r="M8" s="18"/>
      <c r="N8" s="18"/>
      <c r="O8" s="18"/>
      <c r="P8" s="18"/>
    </row>
    <row r="9" spans="2:18" s="5" customFormat="1">
      <c r="B9" s="600"/>
      <c r="C9" s="19"/>
      <c r="D9" s="72"/>
      <c r="E9" s="72"/>
      <c r="F9" s="72"/>
      <c r="G9" s="72"/>
      <c r="H9" s="50"/>
      <c r="I9" s="50"/>
      <c r="J9" s="299"/>
      <c r="K9" s="336"/>
      <c r="L9" s="50"/>
      <c r="N9" s="50"/>
      <c r="O9" s="50"/>
      <c r="P9" s="50"/>
      <c r="Q9" s="285" t="s">
        <v>10</v>
      </c>
    </row>
    <row r="10" spans="2:18" ht="26" customHeight="1">
      <c r="B10" s="1854" t="s">
        <v>344</v>
      </c>
      <c r="C10" s="1676" t="s">
        <v>26</v>
      </c>
      <c r="D10" s="1795" t="s">
        <v>509</v>
      </c>
      <c r="E10" s="1796"/>
      <c r="F10" s="1797"/>
      <c r="G10" s="1795" t="s">
        <v>510</v>
      </c>
      <c r="H10" s="1796"/>
      <c r="I10" s="1797"/>
      <c r="J10" s="1795" t="s">
        <v>511</v>
      </c>
      <c r="K10" s="1796"/>
      <c r="L10" s="1797"/>
      <c r="M10" s="1681" t="s">
        <v>946</v>
      </c>
      <c r="N10" s="1681"/>
      <c r="O10" s="1681"/>
      <c r="P10" s="1681"/>
      <c r="Q10" s="1681"/>
      <c r="R10" s="1691" t="s">
        <v>27</v>
      </c>
    </row>
    <row r="11" spans="2:18" ht="49.5" customHeight="1">
      <c r="B11" s="1854"/>
      <c r="C11" s="1676"/>
      <c r="D11" s="298" t="s">
        <v>945</v>
      </c>
      <c r="E11" s="293" t="s">
        <v>79</v>
      </c>
      <c r="F11" s="293" t="s">
        <v>452</v>
      </c>
      <c r="G11" s="298" t="s">
        <v>945</v>
      </c>
      <c r="H11" s="293" t="s">
        <v>79</v>
      </c>
      <c r="I11" s="293" t="s">
        <v>452</v>
      </c>
      <c r="J11" s="293" t="s">
        <v>945</v>
      </c>
      <c r="K11" s="334" t="s">
        <v>80</v>
      </c>
      <c r="L11" s="293" t="s">
        <v>453</v>
      </c>
      <c r="M11" s="702" t="s">
        <v>947</v>
      </c>
      <c r="N11" s="702" t="s">
        <v>948</v>
      </c>
      <c r="O11" s="702" t="s">
        <v>949</v>
      </c>
      <c r="P11" s="702" t="s">
        <v>950</v>
      </c>
      <c r="Q11" s="702" t="s">
        <v>951</v>
      </c>
      <c r="R11" s="1691"/>
    </row>
    <row r="12" spans="2:18" ht="26" customHeight="1">
      <c r="B12" s="601"/>
      <c r="C12" s="212"/>
      <c r="D12" s="293" t="s">
        <v>81</v>
      </c>
      <c r="E12" s="293" t="s">
        <v>82</v>
      </c>
      <c r="F12" s="293" t="s">
        <v>644</v>
      </c>
      <c r="G12" s="293" t="s">
        <v>392</v>
      </c>
      <c r="H12" s="293" t="s">
        <v>410</v>
      </c>
      <c r="I12" s="293" t="s">
        <v>457</v>
      </c>
      <c r="J12" s="293" t="s">
        <v>411</v>
      </c>
      <c r="K12" s="334" t="s">
        <v>412</v>
      </c>
      <c r="L12" s="293" t="s">
        <v>513</v>
      </c>
      <c r="M12" s="692" t="s">
        <v>21</v>
      </c>
      <c r="N12" s="692" t="s">
        <v>21</v>
      </c>
      <c r="O12" s="692" t="s">
        <v>21</v>
      </c>
      <c r="P12" s="692" t="s">
        <v>21</v>
      </c>
      <c r="Q12" s="692" t="s">
        <v>21</v>
      </c>
      <c r="R12" s="1692"/>
    </row>
    <row r="13" spans="2:18">
      <c r="B13" s="602">
        <v>1</v>
      </c>
      <c r="C13" s="26" t="s">
        <v>398</v>
      </c>
      <c r="D13" s="351"/>
      <c r="E13" s="317"/>
      <c r="F13" s="317">
        <f t="shared" ref="F13:F18" si="0">E13-D13</f>
        <v>0</v>
      </c>
      <c r="G13" s="317"/>
      <c r="H13" s="305"/>
      <c r="I13" s="317">
        <f>H13-G13</f>
        <v>0</v>
      </c>
      <c r="J13" s="305"/>
      <c r="K13" s="318"/>
      <c r="L13" s="305">
        <f>K13-J13</f>
        <v>0</v>
      </c>
      <c r="M13" s="305"/>
      <c r="N13" s="306"/>
      <c r="O13" s="306"/>
      <c r="P13" s="306"/>
      <c r="Q13" s="306"/>
      <c r="R13" s="24"/>
    </row>
    <row r="14" spans="2:18">
      <c r="B14" s="602">
        <f>B13+1</f>
        <v>2</v>
      </c>
      <c r="C14" s="26" t="s">
        <v>399</v>
      </c>
      <c r="D14" s="351"/>
      <c r="E14" s="317"/>
      <c r="F14" s="317">
        <f t="shared" si="0"/>
        <v>0</v>
      </c>
      <c r="G14" s="317"/>
      <c r="H14" s="305"/>
      <c r="I14" s="317">
        <f t="shared" ref="I14:I22" si="1">H14-G14</f>
        <v>0</v>
      </c>
      <c r="J14" s="305"/>
      <c r="K14" s="318"/>
      <c r="L14" s="305">
        <f t="shared" ref="L14:L24" si="2">K14-J14</f>
        <v>0</v>
      </c>
      <c r="M14" s="305"/>
      <c r="N14" s="306"/>
      <c r="O14" s="306"/>
      <c r="P14" s="306"/>
      <c r="Q14" s="306"/>
      <c r="R14" s="24"/>
    </row>
    <row r="15" spans="2:18" s="314" customFormat="1">
      <c r="B15" s="603">
        <f t="shared" ref="B15:B20" si="3">B14+1</f>
        <v>3</v>
      </c>
      <c r="C15" s="705" t="s">
        <v>400</v>
      </c>
      <c r="D15" s="819">
        <v>2053.7691642697678</v>
      </c>
      <c r="E15" s="706">
        <v>2060.0203996963155</v>
      </c>
      <c r="F15" s="706">
        <f t="shared" si="0"/>
        <v>6.251235426547737</v>
      </c>
      <c r="G15" s="706">
        <f>D19</f>
        <v>1726.7398695941961</v>
      </c>
      <c r="H15" s="706">
        <f>E19</f>
        <v>1726.8170895819183</v>
      </c>
      <c r="I15" s="706">
        <f t="shared" si="1"/>
        <v>7.7219987722173755E-2</v>
      </c>
      <c r="J15" s="707">
        <f>G19</f>
        <v>1391.3181109186244</v>
      </c>
      <c r="K15" s="706">
        <f>H19</f>
        <v>1412.2688113203012</v>
      </c>
      <c r="L15" s="707">
        <f t="shared" si="2"/>
        <v>20.950700401676841</v>
      </c>
      <c r="M15" s="706">
        <f>K19</f>
        <v>1085.4259939678525</v>
      </c>
      <c r="N15" s="706">
        <f>M19</f>
        <v>782.42580442955682</v>
      </c>
      <c r="O15" s="706">
        <f>N19</f>
        <v>820.92177578289682</v>
      </c>
      <c r="P15" s="706">
        <f>O19</f>
        <v>742.19468964037196</v>
      </c>
      <c r="Q15" s="706">
        <f>P19</f>
        <v>692.68230758112168</v>
      </c>
      <c r="R15" s="119"/>
    </row>
    <row r="16" spans="2:18" s="314" customFormat="1">
      <c r="B16" s="603">
        <f t="shared" si="3"/>
        <v>4</v>
      </c>
      <c r="C16" s="59" t="s">
        <v>401</v>
      </c>
      <c r="D16" s="351"/>
      <c r="E16" s="351">
        <f>'F5'!$F$31*E15/'F5'!D31</f>
        <v>9.1879835181046449E-2</v>
      </c>
      <c r="F16" s="351">
        <f t="shared" si="0"/>
        <v>9.1879835181046449E-2</v>
      </c>
      <c r="G16" s="351"/>
      <c r="H16" s="318">
        <f>'F5'!$K$31*H15/'F5'!I31</f>
        <v>0</v>
      </c>
      <c r="I16" s="351">
        <f t="shared" si="1"/>
        <v>0</v>
      </c>
      <c r="J16" s="318"/>
      <c r="K16" s="318">
        <f>'F5'!$P$31*K15/'F5'!N31</f>
        <v>0</v>
      </c>
      <c r="L16" s="318">
        <f t="shared" si="2"/>
        <v>0</v>
      </c>
      <c r="M16" s="318"/>
      <c r="N16" s="318"/>
      <c r="O16" s="318"/>
      <c r="P16" s="318"/>
      <c r="Q16" s="318"/>
      <c r="R16" s="119"/>
    </row>
    <row r="17" spans="1:22" s="314" customFormat="1">
      <c r="B17" s="603">
        <f t="shared" si="3"/>
        <v>5</v>
      </c>
      <c r="C17" s="59" t="s">
        <v>468</v>
      </c>
      <c r="D17" s="351">
        <f>'F4'!D14*70%</f>
        <v>13.209</v>
      </c>
      <c r="E17" s="351">
        <f>'F4'!E14*70%</f>
        <v>9.7435479679999997</v>
      </c>
      <c r="F17" s="351">
        <f t="shared" si="0"/>
        <v>-3.465452032</v>
      </c>
      <c r="G17" s="351">
        <f>'F4'!G14*70%</f>
        <v>5.5229999999999997</v>
      </c>
      <c r="H17" s="318">
        <v>29.185011725099997</v>
      </c>
      <c r="I17" s="351">
        <f t="shared" si="1"/>
        <v>23.662011725099998</v>
      </c>
      <c r="J17" s="351">
        <f>'F4'!J14*70%</f>
        <v>337.036</v>
      </c>
      <c r="K17" s="318">
        <f>'F4'!M14*70%</f>
        <v>17.090360699999998</v>
      </c>
      <c r="L17" s="318">
        <f t="shared" si="2"/>
        <v>-319.94563929999998</v>
      </c>
      <c r="M17" s="318">
        <f>'F4'!O14*70%</f>
        <v>41.236999999999995</v>
      </c>
      <c r="N17" s="318">
        <f>'F4'!P14*70%</f>
        <v>194.06274999999999</v>
      </c>
      <c r="O17" s="318">
        <f>'F4'!Q14*70%</f>
        <v>85.370599999999996</v>
      </c>
      <c r="P17" s="318">
        <f>'F4'!R14*70%</f>
        <v>119.93333333333331</v>
      </c>
      <c r="Q17" s="318">
        <f>'F4'!S14*70%</f>
        <v>101.5</v>
      </c>
      <c r="R17" s="119"/>
    </row>
    <row r="18" spans="1:22" s="314" customFormat="1">
      <c r="A18" s="838">
        <v>340.23829467557158</v>
      </c>
      <c r="B18" s="603">
        <f t="shared" si="3"/>
        <v>6</v>
      </c>
      <c r="C18" s="59" t="s">
        <v>408</v>
      </c>
      <c r="D18" s="351">
        <f>MIN(D17+D15,A18)</f>
        <v>340.23829467557158</v>
      </c>
      <c r="E18" s="351">
        <f>IF((E15-E16+E17)&lt;'F5 (T)'!$E$85,(E15-E16+E17),'F5 (T)'!$E$85)</f>
        <v>342.94685808239706</v>
      </c>
      <c r="F18" s="351">
        <f t="shared" si="0"/>
        <v>2.7085634068254762</v>
      </c>
      <c r="G18" s="351">
        <f>MIN(G17+G15,U18)</f>
        <v>340.94475867557151</v>
      </c>
      <c r="H18" s="351">
        <f>IF((H15-H16+H17)&lt;'F5 (T)'!$J$85,(H15-H16+H17),'F5 (T)'!$J$85)</f>
        <v>343.73328998671707</v>
      </c>
      <c r="I18" s="351">
        <f t="shared" si="1"/>
        <v>2.7885313111455616</v>
      </c>
      <c r="J18" s="351">
        <f>MIN(J17+J15,V18)</f>
        <v>353.01630054678014</v>
      </c>
      <c r="K18" s="351">
        <f>IF((K15-K16+K17)&lt;'F5 (T)'!$O$85,(K15-K16+K17),'F5 (T)'!$O$85)</f>
        <v>343.93317805244874</v>
      </c>
      <c r="L18" s="318">
        <f t="shared" si="2"/>
        <v>-9.0831224943314055</v>
      </c>
      <c r="M18" s="317">
        <f>IF((M15-M16+M17)&lt;'F5 (T)'!T85,(M15-M16+M17),'F5 (T)'!T85)</f>
        <v>344.2371895382957</v>
      </c>
      <c r="N18" s="317">
        <f>IF((N15-N16+N17)&lt;'F5 (T)'!E112,(N15-N16+N17),'F5 (T)'!E112)</f>
        <v>155.56677864666005</v>
      </c>
      <c r="O18" s="317">
        <f>IF((O15-O16+O17)&lt;'F5 (T)'!J112,(O15-O16+O17),'F5 (T)'!J112)</f>
        <v>164.09768614252482</v>
      </c>
      <c r="P18" s="317">
        <f>IF((P15-P16+P17)&lt;'F5 (T)'!O112,(P15-P16+P17),'F5 (T)'!O112)</f>
        <v>169.44571539258354</v>
      </c>
      <c r="Q18" s="317">
        <f>IF((Q15-Q16+Q17)&lt;'F5 (T)'!T112,(Q15-Q16+Q17),'F5 (T)'!T112)</f>
        <v>176.1203487259169</v>
      </c>
      <c r="R18" s="119"/>
      <c r="U18" s="314">
        <f>'F1'!$I$15</f>
        <v>340.94475867557151</v>
      </c>
      <c r="V18" s="314">
        <f>'F1'!$M$15</f>
        <v>353.01630054678014</v>
      </c>
    </row>
    <row r="19" spans="1:22" s="314" customFormat="1">
      <c r="B19" s="603">
        <f t="shared" si="3"/>
        <v>7</v>
      </c>
      <c r="C19" s="705" t="s">
        <v>402</v>
      </c>
      <c r="D19" s="706">
        <f>D15-D16+D17-D18</f>
        <v>1726.7398695941961</v>
      </c>
      <c r="E19" s="706">
        <f>E15+E17-E18</f>
        <v>1726.8170895819183</v>
      </c>
      <c r="F19" s="706">
        <f t="shared" ref="F19:F24" si="4">E19-D19</f>
        <v>7.7219987722173755E-2</v>
      </c>
      <c r="G19" s="706">
        <f>G15-G16+G17-G18</f>
        <v>1391.3181109186244</v>
      </c>
      <c r="H19" s="706">
        <f>H15+H17-H18</f>
        <v>1412.2688113203012</v>
      </c>
      <c r="I19" s="706">
        <f t="shared" si="1"/>
        <v>20.950700401676841</v>
      </c>
      <c r="J19" s="706">
        <f>J15-J16+J17-J18</f>
        <v>1375.3378103718442</v>
      </c>
      <c r="K19" s="706">
        <f>K15+K17-K18</f>
        <v>1085.4259939678525</v>
      </c>
      <c r="L19" s="707">
        <f t="shared" si="2"/>
        <v>-289.91181640399168</v>
      </c>
      <c r="M19" s="706">
        <f t="shared" ref="M19:Q19" si="5">M15+M17-M18</f>
        <v>782.42580442955682</v>
      </c>
      <c r="N19" s="706">
        <f t="shared" si="5"/>
        <v>820.92177578289682</v>
      </c>
      <c r="O19" s="706">
        <f t="shared" si="5"/>
        <v>742.19468964037196</v>
      </c>
      <c r="P19" s="706">
        <f t="shared" si="5"/>
        <v>692.68230758112168</v>
      </c>
      <c r="Q19" s="706">
        <f t="shared" si="5"/>
        <v>618.06195885520481</v>
      </c>
      <c r="R19" s="119"/>
    </row>
    <row r="20" spans="1:22" s="314" customFormat="1">
      <c r="B20" s="603">
        <f t="shared" si="3"/>
        <v>8</v>
      </c>
      <c r="C20" s="59" t="s">
        <v>403</v>
      </c>
      <c r="D20" s="351"/>
      <c r="E20" s="351"/>
      <c r="F20" s="351">
        <f t="shared" si="4"/>
        <v>0</v>
      </c>
      <c r="G20" s="351"/>
      <c r="H20" s="318"/>
      <c r="I20" s="351">
        <f t="shared" si="1"/>
        <v>0</v>
      </c>
      <c r="J20" s="318"/>
      <c r="K20" s="318"/>
      <c r="L20" s="318">
        <f t="shared" si="2"/>
        <v>0</v>
      </c>
      <c r="M20" s="318"/>
      <c r="N20" s="318"/>
      <c r="O20" s="318"/>
      <c r="P20" s="318"/>
      <c r="Q20" s="318"/>
      <c r="R20" s="119"/>
    </row>
    <row r="21" spans="1:22" s="314" customFormat="1">
      <c r="B21" s="603">
        <v>9</v>
      </c>
      <c r="C21" s="59" t="s">
        <v>472</v>
      </c>
      <c r="D21" s="351">
        <f>AVERAGE(D15,D19)</f>
        <v>1890.2545169319819</v>
      </c>
      <c r="E21" s="351">
        <f>AVERAGE(E15,E19)</f>
        <v>1893.418744639117</v>
      </c>
      <c r="F21" s="351">
        <f t="shared" si="4"/>
        <v>3.1642277071350691</v>
      </c>
      <c r="G21" s="351">
        <f>AVERAGE(G15,G19)</f>
        <v>1559.0289902564102</v>
      </c>
      <c r="H21" s="351">
        <f>AVERAGE(H15,H19)</f>
        <v>1569.5429504511098</v>
      </c>
      <c r="I21" s="351">
        <f t="shared" si="1"/>
        <v>10.513960194699621</v>
      </c>
      <c r="J21" s="351">
        <f>AVERAGE(J15,J19)</f>
        <v>1383.3279606452343</v>
      </c>
      <c r="K21" s="351">
        <f>AVERAGE(K15,K19)</f>
        <v>1248.8474026440767</v>
      </c>
      <c r="L21" s="351">
        <f t="shared" si="2"/>
        <v>-134.48055800115753</v>
      </c>
      <c r="M21" s="351">
        <f>AVERAGE(M15,M19)</f>
        <v>933.92589919870466</v>
      </c>
      <c r="N21" s="351">
        <f t="shared" ref="N21:Q21" si="6">AVERAGE(N15,N19)</f>
        <v>801.67379010622676</v>
      </c>
      <c r="O21" s="351">
        <f t="shared" si="6"/>
        <v>781.55823271163445</v>
      </c>
      <c r="P21" s="351">
        <f t="shared" si="6"/>
        <v>717.43849861074682</v>
      </c>
      <c r="Q21" s="351">
        <f t="shared" si="6"/>
        <v>655.3721332181633</v>
      </c>
      <c r="R21" s="119"/>
    </row>
    <row r="22" spans="1:22" s="314" customFormat="1" ht="15.5">
      <c r="B22" s="603">
        <v>10</v>
      </c>
      <c r="C22" s="59" t="s">
        <v>469</v>
      </c>
      <c r="D22" s="504">
        <v>0.10431028216235365</v>
      </c>
      <c r="E22" s="504">
        <f>(E123+E269)/(E267+E121)</f>
        <v>0.10292500731960057</v>
      </c>
      <c r="F22" s="504">
        <f>E22-D22</f>
        <v>-1.3852748427530814E-3</v>
      </c>
      <c r="G22" s="855">
        <v>0.10431028216235365</v>
      </c>
      <c r="H22" s="318">
        <f>(H123+H269)/(H267+H121)</f>
        <v>0.10261761906855411</v>
      </c>
      <c r="I22" s="504">
        <f t="shared" si="1"/>
        <v>-1.6926630937995346E-3</v>
      </c>
      <c r="J22" s="856">
        <v>0.10431028216235365</v>
      </c>
      <c r="K22" s="358">
        <f>H22</f>
        <v>0.10261761906855411</v>
      </c>
      <c r="L22" s="318">
        <f t="shared" si="2"/>
        <v>-1.6926630937995346E-3</v>
      </c>
      <c r="M22" s="587">
        <f>$H$22</f>
        <v>0.10261761906855411</v>
      </c>
      <c r="N22" s="587">
        <f t="shared" ref="N22:Q22" si="7">$H$22</f>
        <v>0.10261761906855411</v>
      </c>
      <c r="O22" s="587">
        <f t="shared" si="7"/>
        <v>0.10261761906855411</v>
      </c>
      <c r="P22" s="587">
        <f t="shared" si="7"/>
        <v>0.10261761906855411</v>
      </c>
      <c r="Q22" s="587">
        <f t="shared" si="7"/>
        <v>0.10261761906855411</v>
      </c>
      <c r="R22" s="119"/>
    </row>
    <row r="23" spans="1:22" s="314" customFormat="1" ht="15.5">
      <c r="B23" s="603">
        <v>11</v>
      </c>
      <c r="C23" s="705" t="s">
        <v>33</v>
      </c>
      <c r="D23" s="708">
        <f>D21*D22</f>
        <v>197.17298201983851</v>
      </c>
      <c r="E23" s="813">
        <f>E21*E22</f>
        <v>194.88013815105003</v>
      </c>
      <c r="F23" s="708">
        <f t="shared" si="4"/>
        <v>-2.2928438687884807</v>
      </c>
      <c r="G23" s="708">
        <f>G21*G22</f>
        <v>162.62275387293545</v>
      </c>
      <c r="H23" s="708">
        <f>H21*H22</f>
        <v>161.06276060112648</v>
      </c>
      <c r="I23" s="808">
        <f>H23-G23</f>
        <v>-1.5599932718089633</v>
      </c>
      <c r="J23" s="808">
        <f>J21*J22</f>
        <v>144.29532989797764</v>
      </c>
      <c r="K23" s="808">
        <f>K21*K22</f>
        <v>128.15374703928308</v>
      </c>
      <c r="L23" s="808">
        <f>K23-J23</f>
        <v>-16.141582858694562</v>
      </c>
      <c r="M23" s="708">
        <f>M21*M22</f>
        <v>95.837252162229547</v>
      </c>
      <c r="N23" s="708">
        <f t="shared" ref="N23:Q23" si="8">N21*N22</f>
        <v>82.265855610364781</v>
      </c>
      <c r="O23" s="708">
        <f t="shared" si="8"/>
        <v>80.201645004294875</v>
      </c>
      <c r="P23" s="708">
        <f t="shared" si="8"/>
        <v>73.621830555553004</v>
      </c>
      <c r="Q23" s="708">
        <f t="shared" si="8"/>
        <v>67.252727914727174</v>
      </c>
      <c r="R23" s="119"/>
    </row>
    <row r="24" spans="1:22">
      <c r="B24" s="602">
        <v>12</v>
      </c>
      <c r="C24" s="26" t="s">
        <v>405</v>
      </c>
      <c r="D24" s="351">
        <v>0.77669376032063964</v>
      </c>
      <c r="E24" s="317">
        <v>1.964372512947282</v>
      </c>
      <c r="F24" s="317">
        <f t="shared" si="4"/>
        <v>1.1876787526266424</v>
      </c>
      <c r="G24" s="857">
        <v>0.77669376032063964</v>
      </c>
      <c r="H24" s="317">
        <v>2.9846723167141169</v>
      </c>
      <c r="I24" s="857">
        <f t="shared" ref="I24" si="9">H24-G24</f>
        <v>2.2079785563934773</v>
      </c>
      <c r="J24" s="853">
        <v>0.77669376032063964</v>
      </c>
      <c r="K24" s="317">
        <v>2.9846723167141169</v>
      </c>
      <c r="L24" s="305">
        <f t="shared" si="2"/>
        <v>2.2079785563934773</v>
      </c>
      <c r="M24" s="853">
        <v>2.9846723167141169</v>
      </c>
      <c r="N24" s="853">
        <v>2.9846723167141169</v>
      </c>
      <c r="O24" s="853">
        <v>2.9846723167141169</v>
      </c>
      <c r="P24" s="853">
        <v>2.9846723167141169</v>
      </c>
      <c r="Q24" s="853">
        <v>2.9846723167141169</v>
      </c>
      <c r="R24" s="24"/>
    </row>
    <row r="25" spans="1:22">
      <c r="B25" s="604">
        <v>13</v>
      </c>
      <c r="C25" s="25" t="s">
        <v>470</v>
      </c>
      <c r="D25" s="309">
        <f>SUM(D23:D24)</f>
        <v>197.94967578015914</v>
      </c>
      <c r="E25" s="309">
        <f>SUM(E23:E24)</f>
        <v>196.84451066399731</v>
      </c>
      <c r="F25" s="309">
        <f t="shared" ref="F25:M25" si="10">SUM(F23:F24)</f>
        <v>-1.1051651161618383</v>
      </c>
      <c r="G25" s="309">
        <f t="shared" si="10"/>
        <v>163.39944763325607</v>
      </c>
      <c r="H25" s="309">
        <f t="shared" si="10"/>
        <v>164.04743291784061</v>
      </c>
      <c r="I25" s="309">
        <f t="shared" si="10"/>
        <v>0.64798528458451399</v>
      </c>
      <c r="J25" s="309">
        <f t="shared" si="10"/>
        <v>145.07202365829826</v>
      </c>
      <c r="K25" s="309">
        <f t="shared" si="10"/>
        <v>131.1384193559972</v>
      </c>
      <c r="L25" s="309">
        <f t="shared" si="10"/>
        <v>-13.933604302301084</v>
      </c>
      <c r="M25" s="309">
        <f t="shared" si="10"/>
        <v>98.821924478943657</v>
      </c>
      <c r="N25" s="309">
        <f t="shared" ref="N25:Q25" si="11">SUM(N23:N24)</f>
        <v>85.250527927078892</v>
      </c>
      <c r="O25" s="309">
        <f t="shared" si="11"/>
        <v>83.186317321008985</v>
      </c>
      <c r="P25" s="309">
        <f t="shared" si="11"/>
        <v>76.606502872267114</v>
      </c>
      <c r="Q25" s="309">
        <f t="shared" si="11"/>
        <v>70.237400231441285</v>
      </c>
      <c r="R25" s="24"/>
    </row>
    <row r="26" spans="1:22" s="5" customFormat="1">
      <c r="B26" s="600"/>
      <c r="C26" s="19"/>
      <c r="D26" s="19"/>
      <c r="E26" s="19"/>
      <c r="F26" s="19"/>
      <c r="G26" s="19"/>
      <c r="H26" s="18"/>
      <c r="I26" s="18"/>
      <c r="J26" s="20"/>
      <c r="K26" s="66"/>
      <c r="L26" s="18"/>
      <c r="M26" s="18"/>
      <c r="N26" s="18"/>
      <c r="O26" s="18"/>
      <c r="P26" s="18"/>
    </row>
    <row r="27" spans="1:22" ht="17.5">
      <c r="C27" s="101" t="s">
        <v>471</v>
      </c>
      <c r="D27" s="101"/>
      <c r="E27" s="101"/>
      <c r="F27" s="101"/>
      <c r="G27" s="101"/>
      <c r="H27" s="14"/>
      <c r="I27" s="14"/>
    </row>
    <row r="28" spans="1:22">
      <c r="C28" s="14"/>
      <c r="D28" s="14"/>
      <c r="E28" s="14"/>
      <c r="F28" s="14"/>
      <c r="G28" s="14"/>
      <c r="H28" s="14"/>
      <c r="I28" s="14"/>
      <c r="O28" s="21"/>
      <c r="P28" s="21"/>
      <c r="Q28" s="21" t="s">
        <v>10</v>
      </c>
    </row>
    <row r="29" spans="1:22" ht="26" customHeight="1">
      <c r="B29" s="1854" t="s">
        <v>344</v>
      </c>
      <c r="C29" s="1676" t="s">
        <v>26</v>
      </c>
      <c r="D29" s="1795" t="s">
        <v>509</v>
      </c>
      <c r="E29" s="1796"/>
      <c r="F29" s="1797"/>
      <c r="G29" s="1795" t="s">
        <v>510</v>
      </c>
      <c r="H29" s="1796"/>
      <c r="I29" s="1797"/>
      <c r="J29" s="1795" t="s">
        <v>511</v>
      </c>
      <c r="K29" s="1796"/>
      <c r="L29" s="1797"/>
      <c r="M29" s="1681" t="s">
        <v>946</v>
      </c>
      <c r="N29" s="1681"/>
      <c r="O29" s="1681"/>
      <c r="P29" s="1681"/>
      <c r="Q29" s="1681"/>
      <c r="R29" s="1691" t="s">
        <v>27</v>
      </c>
    </row>
    <row r="30" spans="1:22" ht="31.5" customHeight="1">
      <c r="B30" s="1854"/>
      <c r="C30" s="1676"/>
      <c r="D30" s="298" t="s">
        <v>451</v>
      </c>
      <c r="E30" s="293" t="s">
        <v>79</v>
      </c>
      <c r="F30" s="293" t="s">
        <v>452</v>
      </c>
      <c r="G30" s="298" t="s">
        <v>451</v>
      </c>
      <c r="H30" s="293" t="s">
        <v>79</v>
      </c>
      <c r="I30" s="293" t="s">
        <v>452</v>
      </c>
      <c r="J30" s="293" t="s">
        <v>451</v>
      </c>
      <c r="K30" s="334" t="s">
        <v>80</v>
      </c>
      <c r="L30" s="293" t="s">
        <v>453</v>
      </c>
      <c r="M30" s="802" t="s">
        <v>947</v>
      </c>
      <c r="N30" s="802" t="s">
        <v>948</v>
      </c>
      <c r="O30" s="802" t="s">
        <v>949</v>
      </c>
      <c r="P30" s="802" t="s">
        <v>950</v>
      </c>
      <c r="Q30" s="802" t="s">
        <v>951</v>
      </c>
      <c r="R30" s="1691"/>
    </row>
    <row r="31" spans="1:22">
      <c r="B31" s="605"/>
      <c r="C31" s="218"/>
      <c r="D31" s="293" t="s">
        <v>81</v>
      </c>
      <c r="E31" s="293" t="s">
        <v>82</v>
      </c>
      <c r="F31" s="293" t="s">
        <v>644</v>
      </c>
      <c r="G31" s="293" t="s">
        <v>392</v>
      </c>
      <c r="H31" s="293" t="s">
        <v>410</v>
      </c>
      <c r="I31" s="293" t="s">
        <v>457</v>
      </c>
      <c r="J31" s="803" t="s">
        <v>411</v>
      </c>
      <c r="K31" s="803" t="s">
        <v>412</v>
      </c>
      <c r="L31" s="803" t="s">
        <v>513</v>
      </c>
      <c r="M31" s="801" t="s">
        <v>21</v>
      </c>
      <c r="N31" s="801" t="s">
        <v>21</v>
      </c>
      <c r="O31" s="801" t="s">
        <v>21</v>
      </c>
      <c r="P31" s="801" t="s">
        <v>21</v>
      </c>
      <c r="Q31" s="801" t="s">
        <v>21</v>
      </c>
      <c r="R31" s="1692"/>
    </row>
    <row r="32" spans="1:22">
      <c r="B32" s="604">
        <v>1</v>
      </c>
      <c r="C32" s="25" t="s">
        <v>1399</v>
      </c>
      <c r="D32" s="309"/>
      <c r="E32" s="309"/>
      <c r="F32" s="309"/>
      <c r="G32" s="309"/>
      <c r="H32" s="305"/>
      <c r="I32" s="305"/>
      <c r="J32" s="305"/>
      <c r="K32" s="318"/>
      <c r="L32" s="305"/>
      <c r="M32" s="305"/>
      <c r="N32" s="306"/>
      <c r="O32" s="306"/>
      <c r="P32" s="306"/>
      <c r="Q32" s="306"/>
      <c r="R32" s="408"/>
    </row>
    <row r="33" spans="2:18" ht="15" customHeight="1">
      <c r="B33" s="602">
        <v>1.1000000000000001</v>
      </c>
      <c r="C33" s="26" t="s">
        <v>29</v>
      </c>
      <c r="D33" s="482"/>
      <c r="E33" s="482">
        <v>0</v>
      </c>
      <c r="F33" s="482">
        <f>E33-D33</f>
        <v>0</v>
      </c>
      <c r="G33" s="482"/>
      <c r="H33" s="482">
        <v>0</v>
      </c>
      <c r="I33" s="482">
        <f>H33-G33</f>
        <v>0</v>
      </c>
      <c r="J33" s="483"/>
      <c r="K33" s="482"/>
      <c r="L33" s="482">
        <f>K33-J33</f>
        <v>0</v>
      </c>
      <c r="M33" s="483"/>
      <c r="N33" s="483"/>
      <c r="O33" s="483"/>
      <c r="P33" s="483"/>
      <c r="Q33" s="483"/>
      <c r="R33" s="411"/>
    </row>
    <row r="34" spans="2:18" ht="29.4" customHeight="1">
      <c r="B34" s="602">
        <f t="shared" ref="B34:B40" si="12">B33+0.1</f>
        <v>1.2000000000000002</v>
      </c>
      <c r="C34" s="29" t="s">
        <v>401</v>
      </c>
      <c r="D34" s="482"/>
      <c r="E34" s="482">
        <v>0</v>
      </c>
      <c r="F34" s="482">
        <f t="shared" ref="F34:F40" si="13">E34-D34</f>
        <v>0</v>
      </c>
      <c r="G34" s="482"/>
      <c r="H34" s="482">
        <v>0</v>
      </c>
      <c r="I34" s="482">
        <f t="shared" ref="I34:I40" si="14">H34-G34</f>
        <v>0</v>
      </c>
      <c r="J34" s="483"/>
      <c r="K34" s="482"/>
      <c r="L34" s="482">
        <f t="shared" ref="L34:L40" si="15">K34-J34</f>
        <v>0</v>
      </c>
      <c r="M34" s="483"/>
      <c r="N34" s="483"/>
      <c r="O34" s="483"/>
      <c r="P34" s="483"/>
      <c r="Q34" s="483"/>
      <c r="R34" s="411"/>
    </row>
    <row r="35" spans="2:18" ht="15" customHeight="1">
      <c r="B35" s="602">
        <f t="shared" si="12"/>
        <v>1.3000000000000003</v>
      </c>
      <c r="C35" s="26" t="s">
        <v>343</v>
      </c>
      <c r="D35" s="482"/>
      <c r="E35" s="482">
        <v>0</v>
      </c>
      <c r="F35" s="482">
        <f t="shared" si="13"/>
        <v>0</v>
      </c>
      <c r="G35" s="482"/>
      <c r="H35" s="482">
        <v>0</v>
      </c>
      <c r="I35" s="482">
        <f t="shared" si="14"/>
        <v>0</v>
      </c>
      <c r="J35" s="483"/>
      <c r="K35" s="482"/>
      <c r="L35" s="482">
        <f t="shared" si="15"/>
        <v>0</v>
      </c>
      <c r="M35" s="483"/>
      <c r="N35" s="483"/>
      <c r="O35" s="483"/>
      <c r="P35" s="483"/>
      <c r="Q35" s="483"/>
      <c r="R35" s="411"/>
    </row>
    <row r="36" spans="2:18" ht="15" customHeight="1">
      <c r="B36" s="602">
        <f t="shared" si="12"/>
        <v>1.4000000000000004</v>
      </c>
      <c r="C36" s="428" t="s">
        <v>30</v>
      </c>
      <c r="D36" s="482"/>
      <c r="E36" s="482">
        <v>0</v>
      </c>
      <c r="F36" s="482">
        <f t="shared" si="13"/>
        <v>0</v>
      </c>
      <c r="G36" s="482"/>
      <c r="H36" s="482">
        <v>0</v>
      </c>
      <c r="I36" s="482">
        <f t="shared" si="14"/>
        <v>0</v>
      </c>
      <c r="J36" s="483"/>
      <c r="K36" s="482"/>
      <c r="L36" s="482">
        <f t="shared" si="15"/>
        <v>0</v>
      </c>
      <c r="M36" s="483"/>
      <c r="N36" s="483"/>
      <c r="O36" s="483"/>
      <c r="P36" s="483"/>
      <c r="Q36" s="483"/>
      <c r="R36" s="411"/>
    </row>
    <row r="37" spans="2:18" ht="15" customHeight="1">
      <c r="B37" s="602">
        <f t="shared" si="12"/>
        <v>1.5000000000000004</v>
      </c>
      <c r="C37" s="428" t="s">
        <v>31</v>
      </c>
      <c r="D37" s="482"/>
      <c r="E37" s="482">
        <f>+E33-E34+E35-E36</f>
        <v>0</v>
      </c>
      <c r="F37" s="482">
        <f t="shared" si="13"/>
        <v>0</v>
      </c>
      <c r="G37" s="482"/>
      <c r="H37" s="482">
        <f>+H33-H34+H35-H36</f>
        <v>0</v>
      </c>
      <c r="I37" s="482">
        <f t="shared" si="14"/>
        <v>0</v>
      </c>
      <c r="J37" s="483"/>
      <c r="K37" s="483">
        <f>+J33-J34+J35-J36</f>
        <v>0</v>
      </c>
      <c r="L37" s="482">
        <f t="shared" si="15"/>
        <v>0</v>
      </c>
      <c r="M37" s="483"/>
      <c r="N37" s="483">
        <f>+M33-M34+M35-M36</f>
        <v>0</v>
      </c>
      <c r="O37" s="483"/>
      <c r="P37" s="483"/>
      <c r="Q37" s="483">
        <f>+O33-O34+O35-O36</f>
        <v>0</v>
      </c>
      <c r="R37" s="411"/>
    </row>
    <row r="38" spans="2:18" ht="15" customHeight="1">
      <c r="B38" s="602">
        <f t="shared" si="12"/>
        <v>1.6000000000000005</v>
      </c>
      <c r="C38" s="428" t="s">
        <v>473</v>
      </c>
      <c r="D38" s="482"/>
      <c r="E38" s="442">
        <f>AVERAGE(E33,E37)</f>
        <v>0</v>
      </c>
      <c r="F38" s="482">
        <f t="shared" si="13"/>
        <v>0</v>
      </c>
      <c r="G38" s="482"/>
      <c r="H38" s="442">
        <f>AVERAGE(H33,H37)</f>
        <v>0</v>
      </c>
      <c r="I38" s="482">
        <f t="shared" si="14"/>
        <v>0</v>
      </c>
      <c r="J38" s="483"/>
      <c r="K38" s="482"/>
      <c r="L38" s="482">
        <f t="shared" si="15"/>
        <v>0</v>
      </c>
      <c r="M38" s="483"/>
      <c r="N38" s="483"/>
      <c r="O38" s="483"/>
      <c r="P38" s="483"/>
      <c r="Q38" s="483"/>
      <c r="R38" s="411"/>
    </row>
    <row r="39" spans="2:18" s="598" customFormat="1" ht="15" customHeight="1">
      <c r="B39" s="606">
        <f t="shared" si="12"/>
        <v>1.7000000000000006</v>
      </c>
      <c r="C39" s="594" t="s">
        <v>32</v>
      </c>
      <c r="D39" s="595"/>
      <c r="E39" s="595">
        <f>IFERROR(E40/E38,0)</f>
        <v>0</v>
      </c>
      <c r="F39" s="595" t="e">
        <f>F40/F38</f>
        <v>#DIV/0!</v>
      </c>
      <c r="G39" s="595"/>
      <c r="H39" s="595">
        <f>IFERROR(H40/H38,0)</f>
        <v>0</v>
      </c>
      <c r="I39" s="595" t="e">
        <f>I40/I38</f>
        <v>#DIV/0!</v>
      </c>
      <c r="J39" s="596"/>
      <c r="K39" s="596" t="e">
        <f>J40/K38</f>
        <v>#DIV/0!</v>
      </c>
      <c r="L39" s="595" t="e">
        <f>L40/L38</f>
        <v>#DIV/0!</v>
      </c>
      <c r="M39" s="596"/>
      <c r="N39" s="596" t="e">
        <f>M40/N38</f>
        <v>#DIV/0!</v>
      </c>
      <c r="O39" s="596"/>
      <c r="P39" s="596"/>
      <c r="Q39" s="596" t="e">
        <f>O40/Q38</f>
        <v>#DIV/0!</v>
      </c>
      <c r="R39" s="597"/>
    </row>
    <row r="40" spans="2:18" ht="15" customHeight="1">
      <c r="B40" s="602">
        <f t="shared" si="12"/>
        <v>1.8000000000000007</v>
      </c>
      <c r="C40" s="428" t="s">
        <v>33</v>
      </c>
      <c r="D40" s="482"/>
      <c r="E40" s="482">
        <v>0</v>
      </c>
      <c r="F40" s="482">
        <f t="shared" si="13"/>
        <v>0</v>
      </c>
      <c r="G40" s="482"/>
      <c r="H40" s="482">
        <v>0</v>
      </c>
      <c r="I40" s="482">
        <f t="shared" si="14"/>
        <v>0</v>
      </c>
      <c r="J40" s="483"/>
      <c r="K40" s="482"/>
      <c r="L40" s="482">
        <f t="shared" si="15"/>
        <v>0</v>
      </c>
      <c r="M40" s="483"/>
      <c r="N40" s="483"/>
      <c r="O40" s="483"/>
      <c r="P40" s="483"/>
      <c r="Q40" s="483"/>
      <c r="R40" s="411"/>
    </row>
    <row r="41" spans="2:18" ht="15" customHeight="1">
      <c r="B41" s="602"/>
      <c r="C41" s="428"/>
      <c r="D41" s="482"/>
      <c r="E41" s="482"/>
      <c r="F41" s="482"/>
      <c r="G41" s="482"/>
      <c r="H41" s="482"/>
      <c r="I41" s="482"/>
      <c r="J41" s="483"/>
      <c r="K41" s="482"/>
      <c r="L41" s="482"/>
      <c r="M41" s="483"/>
      <c r="N41" s="483"/>
      <c r="O41" s="483"/>
      <c r="P41" s="483"/>
      <c r="Q41" s="483"/>
      <c r="R41" s="411"/>
    </row>
    <row r="42" spans="2:18" ht="15" customHeight="1">
      <c r="B42" s="604">
        <v>2</v>
      </c>
      <c r="C42" s="429" t="s">
        <v>1400</v>
      </c>
      <c r="D42" s="482"/>
      <c r="E42" s="482"/>
      <c r="F42" s="482"/>
      <c r="G42" s="482"/>
      <c r="H42" s="482"/>
      <c r="I42" s="482"/>
      <c r="J42" s="483"/>
      <c r="K42" s="482"/>
      <c r="L42" s="482"/>
      <c r="M42" s="483"/>
      <c r="N42" s="483"/>
      <c r="O42" s="483"/>
      <c r="P42" s="483"/>
      <c r="Q42" s="483"/>
      <c r="R42" s="411"/>
    </row>
    <row r="43" spans="2:18" ht="15" customHeight="1">
      <c r="B43" s="602">
        <f t="shared" ref="B43:B50" si="16">B42+0.1</f>
        <v>2.1</v>
      </c>
      <c r="C43" s="428" t="s">
        <v>29</v>
      </c>
      <c r="D43" s="482"/>
      <c r="E43" s="482">
        <v>0</v>
      </c>
      <c r="F43" s="482">
        <f t="shared" ref="F43:F50" si="17">E43-D43</f>
        <v>0</v>
      </c>
      <c r="G43" s="482"/>
      <c r="H43" s="482">
        <v>0</v>
      </c>
      <c r="I43" s="482">
        <f t="shared" ref="I43:I50" si="18">H43-G43</f>
        <v>0</v>
      </c>
      <c r="J43" s="483"/>
      <c r="K43" s="482"/>
      <c r="L43" s="482">
        <f t="shared" ref="L43:L50" si="19">K43-J43</f>
        <v>0</v>
      </c>
      <c r="M43" s="483"/>
      <c r="N43" s="483"/>
      <c r="O43" s="483"/>
      <c r="P43" s="483"/>
      <c r="Q43" s="483"/>
      <c r="R43" s="411"/>
    </row>
    <row r="44" spans="2:18" ht="15" customHeight="1">
      <c r="B44" s="602">
        <f t="shared" si="16"/>
        <v>2.2000000000000002</v>
      </c>
      <c r="C44" s="428" t="s">
        <v>401</v>
      </c>
      <c r="D44" s="482"/>
      <c r="E44" s="482">
        <v>0</v>
      </c>
      <c r="F44" s="482">
        <f t="shared" si="17"/>
        <v>0</v>
      </c>
      <c r="G44" s="482"/>
      <c r="H44" s="482">
        <v>0</v>
      </c>
      <c r="I44" s="482">
        <f t="shared" si="18"/>
        <v>0</v>
      </c>
      <c r="J44" s="483"/>
      <c r="K44" s="482"/>
      <c r="L44" s="482">
        <f t="shared" si="19"/>
        <v>0</v>
      </c>
      <c r="M44" s="483"/>
      <c r="N44" s="483"/>
      <c r="O44" s="483"/>
      <c r="P44" s="483"/>
      <c r="Q44" s="483"/>
      <c r="R44" s="411"/>
    </row>
    <row r="45" spans="2:18" ht="15" customHeight="1">
      <c r="B45" s="602">
        <f t="shared" si="16"/>
        <v>2.3000000000000003</v>
      </c>
      <c r="C45" s="428" t="s">
        <v>343</v>
      </c>
      <c r="D45" s="482"/>
      <c r="E45" s="482">
        <v>0</v>
      </c>
      <c r="F45" s="482">
        <f t="shared" si="17"/>
        <v>0</v>
      </c>
      <c r="G45" s="482"/>
      <c r="H45" s="482">
        <v>0</v>
      </c>
      <c r="I45" s="482">
        <f t="shared" si="18"/>
        <v>0</v>
      </c>
      <c r="J45" s="483"/>
      <c r="K45" s="482"/>
      <c r="L45" s="482">
        <f t="shared" si="19"/>
        <v>0</v>
      </c>
      <c r="M45" s="483"/>
      <c r="N45" s="483"/>
      <c r="O45" s="483"/>
      <c r="P45" s="483"/>
      <c r="Q45" s="483"/>
      <c r="R45" s="411"/>
    </row>
    <row r="46" spans="2:18" ht="15" customHeight="1">
      <c r="B46" s="602">
        <f t="shared" si="16"/>
        <v>2.4000000000000004</v>
      </c>
      <c r="C46" s="428" t="s">
        <v>30</v>
      </c>
      <c r="D46" s="482"/>
      <c r="E46" s="482">
        <v>0</v>
      </c>
      <c r="F46" s="482">
        <f t="shared" si="17"/>
        <v>0</v>
      </c>
      <c r="G46" s="482"/>
      <c r="H46" s="482">
        <v>0</v>
      </c>
      <c r="I46" s="482">
        <f t="shared" si="18"/>
        <v>0</v>
      </c>
      <c r="J46" s="483"/>
      <c r="K46" s="482"/>
      <c r="L46" s="482">
        <f t="shared" si="19"/>
        <v>0</v>
      </c>
      <c r="M46" s="483"/>
      <c r="N46" s="483"/>
      <c r="O46" s="483"/>
      <c r="P46" s="483"/>
      <c r="Q46" s="483"/>
      <c r="R46" s="411"/>
    </row>
    <row r="47" spans="2:18" ht="15" customHeight="1">
      <c r="B47" s="602">
        <f t="shared" si="16"/>
        <v>2.5000000000000004</v>
      </c>
      <c r="C47" s="428" t="s">
        <v>31</v>
      </c>
      <c r="D47" s="482"/>
      <c r="E47" s="482">
        <f>+E43-E44+E45-E46</f>
        <v>0</v>
      </c>
      <c r="F47" s="482">
        <f t="shared" si="17"/>
        <v>0</v>
      </c>
      <c r="G47" s="482"/>
      <c r="H47" s="482">
        <f>+H43-H44+H45-H46</f>
        <v>0</v>
      </c>
      <c r="I47" s="482">
        <f t="shared" si="18"/>
        <v>0</v>
      </c>
      <c r="J47" s="483"/>
      <c r="K47" s="483">
        <f>+J43-J44+J45-J46</f>
        <v>0</v>
      </c>
      <c r="L47" s="482">
        <f t="shared" si="19"/>
        <v>0</v>
      </c>
      <c r="M47" s="483"/>
      <c r="N47" s="483">
        <f>+M43-M44+M45-M46</f>
        <v>0</v>
      </c>
      <c r="O47" s="483"/>
      <c r="P47" s="483"/>
      <c r="Q47" s="483">
        <f>+O43-O44+O45-O46</f>
        <v>0</v>
      </c>
      <c r="R47" s="411"/>
    </row>
    <row r="48" spans="2:18" ht="15" customHeight="1">
      <c r="B48" s="602">
        <f t="shared" si="16"/>
        <v>2.6000000000000005</v>
      </c>
      <c r="C48" s="428" t="s">
        <v>473</v>
      </c>
      <c r="D48" s="482"/>
      <c r="E48" s="442">
        <f>AVERAGE(E43,E47)</f>
        <v>0</v>
      </c>
      <c r="F48" s="482">
        <f t="shared" si="17"/>
        <v>0</v>
      </c>
      <c r="G48" s="482"/>
      <c r="H48" s="442">
        <f>AVERAGE(H43,H47)</f>
        <v>0</v>
      </c>
      <c r="I48" s="482">
        <f t="shared" si="18"/>
        <v>0</v>
      </c>
      <c r="J48" s="483"/>
      <c r="K48" s="482"/>
      <c r="L48" s="482">
        <f t="shared" si="19"/>
        <v>0</v>
      </c>
      <c r="M48" s="483"/>
      <c r="N48" s="483"/>
      <c r="O48" s="483"/>
      <c r="P48" s="483"/>
      <c r="Q48" s="483"/>
      <c r="R48" s="411"/>
    </row>
    <row r="49" spans="2:18" s="598" customFormat="1" ht="15" customHeight="1">
      <c r="B49" s="606">
        <f t="shared" si="16"/>
        <v>2.7000000000000006</v>
      </c>
      <c r="C49" s="594" t="s">
        <v>32</v>
      </c>
      <c r="D49" s="595"/>
      <c r="E49" s="595">
        <f>IFERROR(E50/E48,0)</f>
        <v>0</v>
      </c>
      <c r="F49" s="595" t="e">
        <f>F50/F48</f>
        <v>#DIV/0!</v>
      </c>
      <c r="G49" s="595"/>
      <c r="H49" s="595">
        <f>IFERROR(H50/H48,0)</f>
        <v>0</v>
      </c>
      <c r="I49" s="595" t="e">
        <f>I50/I48</f>
        <v>#DIV/0!</v>
      </c>
      <c r="J49" s="596"/>
      <c r="K49" s="596" t="e">
        <f>J50/K48</f>
        <v>#DIV/0!</v>
      </c>
      <c r="L49" s="595" t="e">
        <f>L50/L48</f>
        <v>#DIV/0!</v>
      </c>
      <c r="M49" s="596"/>
      <c r="N49" s="596" t="e">
        <f>M50/N48</f>
        <v>#DIV/0!</v>
      </c>
      <c r="O49" s="596"/>
      <c r="P49" s="596"/>
      <c r="Q49" s="596" t="e">
        <f>O50/Q48</f>
        <v>#DIV/0!</v>
      </c>
      <c r="R49" s="597"/>
    </row>
    <row r="50" spans="2:18" ht="15" customHeight="1">
      <c r="B50" s="602">
        <f t="shared" si="16"/>
        <v>2.8000000000000007</v>
      </c>
      <c r="C50" s="428" t="s">
        <v>33</v>
      </c>
      <c r="D50" s="482"/>
      <c r="E50" s="482">
        <v>0</v>
      </c>
      <c r="F50" s="482">
        <f t="shared" si="17"/>
        <v>0</v>
      </c>
      <c r="G50" s="482"/>
      <c r="H50" s="482">
        <v>0</v>
      </c>
      <c r="I50" s="482">
        <f t="shared" si="18"/>
        <v>0</v>
      </c>
      <c r="J50" s="483"/>
      <c r="K50" s="482"/>
      <c r="L50" s="482">
        <f t="shared" si="19"/>
        <v>0</v>
      </c>
      <c r="M50" s="483"/>
      <c r="N50" s="483"/>
      <c r="O50" s="483"/>
      <c r="P50" s="483"/>
      <c r="Q50" s="483"/>
      <c r="R50" s="411"/>
    </row>
    <row r="51" spans="2:18" ht="15" customHeight="1">
      <c r="B51" s="602"/>
      <c r="C51" s="428"/>
      <c r="D51" s="482"/>
      <c r="E51" s="482"/>
      <c r="F51" s="482"/>
      <c r="G51" s="482"/>
      <c r="H51" s="482"/>
      <c r="I51" s="482"/>
      <c r="J51" s="483"/>
      <c r="K51" s="482"/>
      <c r="L51" s="482"/>
      <c r="M51" s="483"/>
      <c r="N51" s="483"/>
      <c r="O51" s="483"/>
      <c r="P51" s="483"/>
      <c r="Q51" s="483"/>
      <c r="R51" s="411"/>
    </row>
    <row r="52" spans="2:18" ht="15" customHeight="1">
      <c r="B52" s="604">
        <v>3</v>
      </c>
      <c r="C52" s="429" t="s">
        <v>1401</v>
      </c>
      <c r="D52" s="482"/>
      <c r="E52" s="482"/>
      <c r="F52" s="482"/>
      <c r="G52" s="482"/>
      <c r="H52" s="482"/>
      <c r="I52" s="482"/>
      <c r="J52" s="483"/>
      <c r="K52" s="482"/>
      <c r="L52" s="482"/>
      <c r="M52" s="483"/>
      <c r="N52" s="483"/>
      <c r="O52" s="483"/>
      <c r="P52" s="483"/>
      <c r="Q52" s="483"/>
      <c r="R52" s="411"/>
    </row>
    <row r="53" spans="2:18" ht="15" customHeight="1">
      <c r="B53" s="602">
        <f>B52+0.1</f>
        <v>3.1</v>
      </c>
      <c r="C53" s="428" t="s">
        <v>29</v>
      </c>
      <c r="D53" s="482"/>
      <c r="E53" s="482">
        <v>0</v>
      </c>
      <c r="F53" s="482">
        <f t="shared" ref="F53:F60" si="20">E53-D53</f>
        <v>0</v>
      </c>
      <c r="G53" s="482"/>
      <c r="H53" s="482">
        <v>0</v>
      </c>
      <c r="I53" s="482">
        <f t="shared" ref="I53:I60" si="21">H53-G53</f>
        <v>0</v>
      </c>
      <c r="J53" s="483"/>
      <c r="K53" s="482"/>
      <c r="L53" s="482">
        <f t="shared" ref="L53:L60" si="22">K53-J53</f>
        <v>0</v>
      </c>
      <c r="M53" s="483"/>
      <c r="N53" s="483"/>
      <c r="O53" s="483"/>
      <c r="P53" s="483"/>
      <c r="Q53" s="483"/>
      <c r="R53" s="411"/>
    </row>
    <row r="54" spans="2:18" ht="15" customHeight="1">
      <c r="B54" s="602">
        <f t="shared" ref="B54:B60" si="23">B53+0.1</f>
        <v>3.2</v>
      </c>
      <c r="C54" s="428" t="s">
        <v>401</v>
      </c>
      <c r="D54" s="482"/>
      <c r="E54" s="482">
        <v>0</v>
      </c>
      <c r="F54" s="482">
        <f t="shared" si="20"/>
        <v>0</v>
      </c>
      <c r="G54" s="482"/>
      <c r="H54" s="482">
        <v>0</v>
      </c>
      <c r="I54" s="482">
        <f t="shared" si="21"/>
        <v>0</v>
      </c>
      <c r="J54" s="483"/>
      <c r="K54" s="482"/>
      <c r="L54" s="482">
        <f t="shared" si="22"/>
        <v>0</v>
      </c>
      <c r="M54" s="483"/>
      <c r="N54" s="483"/>
      <c r="O54" s="483"/>
      <c r="P54" s="483"/>
      <c r="Q54" s="483"/>
      <c r="R54" s="411"/>
    </row>
    <row r="55" spans="2:18" ht="15" customHeight="1">
      <c r="B55" s="602">
        <f t="shared" si="23"/>
        <v>3.3000000000000003</v>
      </c>
      <c r="C55" s="428" t="s">
        <v>343</v>
      </c>
      <c r="D55" s="482"/>
      <c r="E55" s="482">
        <v>0</v>
      </c>
      <c r="F55" s="482">
        <f t="shared" si="20"/>
        <v>0</v>
      </c>
      <c r="G55" s="482"/>
      <c r="H55" s="482">
        <v>0</v>
      </c>
      <c r="I55" s="482">
        <f t="shared" si="21"/>
        <v>0</v>
      </c>
      <c r="J55" s="483"/>
      <c r="K55" s="482"/>
      <c r="L55" s="482">
        <f t="shared" si="22"/>
        <v>0</v>
      </c>
      <c r="M55" s="483"/>
      <c r="N55" s="483"/>
      <c r="O55" s="483"/>
      <c r="P55" s="483"/>
      <c r="Q55" s="483"/>
      <c r="R55" s="411"/>
    </row>
    <row r="56" spans="2:18" ht="15" customHeight="1">
      <c r="B56" s="602">
        <f t="shared" si="23"/>
        <v>3.4000000000000004</v>
      </c>
      <c r="C56" s="428" t="s">
        <v>30</v>
      </c>
      <c r="D56" s="482"/>
      <c r="E56" s="482">
        <v>0</v>
      </c>
      <c r="F56" s="482">
        <f t="shared" si="20"/>
        <v>0</v>
      </c>
      <c r="G56" s="482"/>
      <c r="H56" s="482">
        <v>0</v>
      </c>
      <c r="I56" s="482">
        <f t="shared" si="21"/>
        <v>0</v>
      </c>
      <c r="J56" s="483"/>
      <c r="K56" s="482"/>
      <c r="L56" s="482">
        <f t="shared" si="22"/>
        <v>0</v>
      </c>
      <c r="M56" s="483"/>
      <c r="N56" s="483"/>
      <c r="O56" s="483"/>
      <c r="P56" s="483"/>
      <c r="Q56" s="483"/>
      <c r="R56" s="411"/>
    </row>
    <row r="57" spans="2:18" ht="15" customHeight="1">
      <c r="B57" s="602">
        <f t="shared" si="23"/>
        <v>3.5000000000000004</v>
      </c>
      <c r="C57" s="428" t="s">
        <v>31</v>
      </c>
      <c r="D57" s="482"/>
      <c r="E57" s="482">
        <f>+E53-E54+E55-E56</f>
        <v>0</v>
      </c>
      <c r="F57" s="482">
        <f t="shared" si="20"/>
        <v>0</v>
      </c>
      <c r="G57" s="482"/>
      <c r="H57" s="482">
        <f>+H53-H54+H55-H56</f>
        <v>0</v>
      </c>
      <c r="I57" s="482">
        <f t="shared" si="21"/>
        <v>0</v>
      </c>
      <c r="J57" s="483"/>
      <c r="K57" s="483">
        <f>+J53-J54+J55-J56</f>
        <v>0</v>
      </c>
      <c r="L57" s="482">
        <f t="shared" si="22"/>
        <v>0</v>
      </c>
      <c r="M57" s="483"/>
      <c r="N57" s="483">
        <f>+M53-M54+M55-M56</f>
        <v>0</v>
      </c>
      <c r="O57" s="483"/>
      <c r="P57" s="483"/>
      <c r="Q57" s="483">
        <f>+O53-O54+O55-O56</f>
        <v>0</v>
      </c>
      <c r="R57" s="411"/>
    </row>
    <row r="58" spans="2:18" ht="15" customHeight="1">
      <c r="B58" s="602">
        <f t="shared" si="23"/>
        <v>3.6000000000000005</v>
      </c>
      <c r="C58" s="428" t="s">
        <v>473</v>
      </c>
      <c r="D58" s="482"/>
      <c r="E58" s="442">
        <f>AVERAGE(E53,E57)</f>
        <v>0</v>
      </c>
      <c r="F58" s="482">
        <f t="shared" si="20"/>
        <v>0</v>
      </c>
      <c r="G58" s="482"/>
      <c r="H58" s="442">
        <f>AVERAGE(H53,H57)</f>
        <v>0</v>
      </c>
      <c r="I58" s="482">
        <f t="shared" si="21"/>
        <v>0</v>
      </c>
      <c r="J58" s="483"/>
      <c r="K58" s="482"/>
      <c r="L58" s="482">
        <f t="shared" si="22"/>
        <v>0</v>
      </c>
      <c r="M58" s="483"/>
      <c r="N58" s="483"/>
      <c r="O58" s="483"/>
      <c r="P58" s="483"/>
      <c r="Q58" s="483"/>
      <c r="R58" s="411"/>
    </row>
    <row r="59" spans="2:18" s="598" customFormat="1" ht="15" customHeight="1">
      <c r="B59" s="606">
        <f t="shared" si="23"/>
        <v>3.7000000000000006</v>
      </c>
      <c r="C59" s="594" t="s">
        <v>32</v>
      </c>
      <c r="D59" s="595"/>
      <c r="E59" s="595">
        <f>IFERROR(E60/E58,0)</f>
        <v>0</v>
      </c>
      <c r="F59" s="595" t="e">
        <f>F60/F58</f>
        <v>#DIV/0!</v>
      </c>
      <c r="G59" s="595"/>
      <c r="H59" s="595">
        <f>IFERROR(H60/H58,0)</f>
        <v>0</v>
      </c>
      <c r="I59" s="595" t="e">
        <f>I60/I58</f>
        <v>#DIV/0!</v>
      </c>
      <c r="J59" s="596"/>
      <c r="K59" s="596" t="e">
        <f>J60/K58</f>
        <v>#DIV/0!</v>
      </c>
      <c r="L59" s="595" t="e">
        <f>L60/L58</f>
        <v>#DIV/0!</v>
      </c>
      <c r="M59" s="596"/>
      <c r="N59" s="596" t="e">
        <f>M60/N58</f>
        <v>#DIV/0!</v>
      </c>
      <c r="O59" s="596"/>
      <c r="P59" s="596"/>
      <c r="Q59" s="596" t="e">
        <f>O60/Q58</f>
        <v>#DIV/0!</v>
      </c>
      <c r="R59" s="597"/>
    </row>
    <row r="60" spans="2:18" ht="15" customHeight="1">
      <c r="B60" s="602">
        <f t="shared" si="23"/>
        <v>3.8000000000000007</v>
      </c>
      <c r="C60" s="428" t="s">
        <v>33</v>
      </c>
      <c r="D60" s="482"/>
      <c r="E60" s="482">
        <v>0</v>
      </c>
      <c r="F60" s="482">
        <f t="shared" si="20"/>
        <v>0</v>
      </c>
      <c r="G60" s="482"/>
      <c r="H60" s="482">
        <v>0</v>
      </c>
      <c r="I60" s="482">
        <f t="shared" si="21"/>
        <v>0</v>
      </c>
      <c r="J60" s="483"/>
      <c r="K60" s="482"/>
      <c r="L60" s="482">
        <f t="shared" si="22"/>
        <v>0</v>
      </c>
      <c r="M60" s="483"/>
      <c r="N60" s="483"/>
      <c r="O60" s="483"/>
      <c r="P60" s="483"/>
      <c r="Q60" s="483"/>
      <c r="R60" s="411"/>
    </row>
    <row r="61" spans="2:18" ht="15" customHeight="1">
      <c r="B61" s="604"/>
      <c r="C61" s="429"/>
      <c r="D61" s="482"/>
      <c r="E61" s="482"/>
      <c r="F61" s="482"/>
      <c r="G61" s="482"/>
      <c r="H61" s="482"/>
      <c r="I61" s="482"/>
      <c r="J61" s="483"/>
      <c r="K61" s="482"/>
      <c r="L61" s="482"/>
      <c r="M61" s="483"/>
      <c r="N61" s="483"/>
      <c r="O61" s="483"/>
      <c r="P61" s="483"/>
      <c r="Q61" s="483"/>
      <c r="R61" s="411"/>
    </row>
    <row r="62" spans="2:18" ht="15" customHeight="1">
      <c r="B62" s="604">
        <v>4</v>
      </c>
      <c r="C62" s="429" t="s">
        <v>1402</v>
      </c>
      <c r="D62" s="482"/>
      <c r="E62" s="482"/>
      <c r="F62" s="482"/>
      <c r="G62" s="482"/>
      <c r="H62" s="482"/>
      <c r="I62" s="482"/>
      <c r="J62" s="483"/>
      <c r="K62" s="482"/>
      <c r="L62" s="482"/>
      <c r="M62" s="483"/>
      <c r="N62" s="483"/>
      <c r="O62" s="483"/>
      <c r="P62" s="483"/>
      <c r="Q62" s="483"/>
      <c r="R62" s="411"/>
    </row>
    <row r="63" spans="2:18" ht="15" customHeight="1">
      <c r="B63" s="602">
        <f>B62+0.1</f>
        <v>4.0999999999999996</v>
      </c>
      <c r="C63" s="428" t="s">
        <v>29</v>
      </c>
      <c r="D63" s="482"/>
      <c r="E63" s="482">
        <v>0</v>
      </c>
      <c r="F63" s="482">
        <f t="shared" ref="F63:F70" si="24">E63-D63</f>
        <v>0</v>
      </c>
      <c r="G63" s="482"/>
      <c r="H63" s="482">
        <v>0</v>
      </c>
      <c r="I63" s="482">
        <f t="shared" ref="I63:I70" si="25">H63-G63</f>
        <v>0</v>
      </c>
      <c r="J63" s="483"/>
      <c r="K63" s="482"/>
      <c r="L63" s="482">
        <f t="shared" ref="L63:L70" si="26">K63-J63</f>
        <v>0</v>
      </c>
      <c r="M63" s="483"/>
      <c r="N63" s="483"/>
      <c r="O63" s="483"/>
      <c r="P63" s="483"/>
      <c r="Q63" s="483"/>
      <c r="R63" s="411"/>
    </row>
    <row r="64" spans="2:18" ht="15" customHeight="1">
      <c r="B64" s="602">
        <f t="shared" ref="B64:B70" si="27">B63+0.1</f>
        <v>4.1999999999999993</v>
      </c>
      <c r="C64" s="428" t="s">
        <v>401</v>
      </c>
      <c r="D64" s="482"/>
      <c r="E64" s="482">
        <v>0</v>
      </c>
      <c r="F64" s="482">
        <f t="shared" si="24"/>
        <v>0</v>
      </c>
      <c r="G64" s="482"/>
      <c r="H64" s="482">
        <v>0</v>
      </c>
      <c r="I64" s="482">
        <f t="shared" si="25"/>
        <v>0</v>
      </c>
      <c r="J64" s="483"/>
      <c r="K64" s="482"/>
      <c r="L64" s="482">
        <f t="shared" si="26"/>
        <v>0</v>
      </c>
      <c r="M64" s="483"/>
      <c r="N64" s="483"/>
      <c r="O64" s="483"/>
      <c r="P64" s="483"/>
      <c r="Q64" s="483"/>
      <c r="R64" s="411"/>
    </row>
    <row r="65" spans="2:18" ht="15" customHeight="1">
      <c r="B65" s="602">
        <f t="shared" si="27"/>
        <v>4.2999999999999989</v>
      </c>
      <c r="C65" s="428" t="s">
        <v>343</v>
      </c>
      <c r="D65" s="482"/>
      <c r="E65" s="482">
        <v>0</v>
      </c>
      <c r="F65" s="482">
        <f t="shared" si="24"/>
        <v>0</v>
      </c>
      <c r="G65" s="482"/>
      <c r="H65" s="482">
        <v>0</v>
      </c>
      <c r="I65" s="482">
        <f t="shared" si="25"/>
        <v>0</v>
      </c>
      <c r="J65" s="483"/>
      <c r="K65" s="482"/>
      <c r="L65" s="482">
        <f t="shared" si="26"/>
        <v>0</v>
      </c>
      <c r="M65" s="483"/>
      <c r="N65" s="483"/>
      <c r="O65" s="483"/>
      <c r="P65" s="483"/>
      <c r="Q65" s="483"/>
      <c r="R65" s="411"/>
    </row>
    <row r="66" spans="2:18" ht="15" customHeight="1">
      <c r="B66" s="602">
        <f t="shared" si="27"/>
        <v>4.3999999999999986</v>
      </c>
      <c r="C66" s="428" t="s">
        <v>30</v>
      </c>
      <c r="D66" s="482"/>
      <c r="E66" s="482">
        <v>0</v>
      </c>
      <c r="F66" s="482">
        <f t="shared" si="24"/>
        <v>0</v>
      </c>
      <c r="G66" s="482"/>
      <c r="H66" s="482">
        <v>0</v>
      </c>
      <c r="I66" s="482">
        <f t="shared" si="25"/>
        <v>0</v>
      </c>
      <c r="J66" s="483"/>
      <c r="K66" s="482"/>
      <c r="L66" s="482">
        <f t="shared" si="26"/>
        <v>0</v>
      </c>
      <c r="M66" s="483"/>
      <c r="N66" s="483"/>
      <c r="O66" s="483"/>
      <c r="P66" s="483"/>
      <c r="Q66" s="483"/>
      <c r="R66" s="411"/>
    </row>
    <row r="67" spans="2:18" ht="15" customHeight="1">
      <c r="B67" s="602">
        <f t="shared" si="27"/>
        <v>4.4999999999999982</v>
      </c>
      <c r="C67" s="428" t="s">
        <v>31</v>
      </c>
      <c r="D67" s="482"/>
      <c r="E67" s="482">
        <f>+E63-E64+E65-E66</f>
        <v>0</v>
      </c>
      <c r="F67" s="482">
        <f t="shared" si="24"/>
        <v>0</v>
      </c>
      <c r="G67" s="482"/>
      <c r="H67" s="482">
        <f>+H63-H64+H65-H66</f>
        <v>0</v>
      </c>
      <c r="I67" s="482">
        <f t="shared" si="25"/>
        <v>0</v>
      </c>
      <c r="J67" s="483"/>
      <c r="K67" s="483">
        <f>+J63-J64+J65-J66</f>
        <v>0</v>
      </c>
      <c r="L67" s="482">
        <f t="shared" si="26"/>
        <v>0</v>
      </c>
      <c r="M67" s="483"/>
      <c r="N67" s="483">
        <f>+M63-M64+M65-M66</f>
        <v>0</v>
      </c>
      <c r="O67" s="483"/>
      <c r="P67" s="483"/>
      <c r="Q67" s="483">
        <f>+O63-O64+O65-O66</f>
        <v>0</v>
      </c>
      <c r="R67" s="411"/>
    </row>
    <row r="68" spans="2:18" ht="15" customHeight="1">
      <c r="B68" s="602">
        <f t="shared" si="27"/>
        <v>4.5999999999999979</v>
      </c>
      <c r="C68" s="428" t="s">
        <v>473</v>
      </c>
      <c r="D68" s="482"/>
      <c r="E68" s="442">
        <f>AVERAGE(E63,E67)</f>
        <v>0</v>
      </c>
      <c r="F68" s="482">
        <f t="shared" si="24"/>
        <v>0</v>
      </c>
      <c r="G68" s="482"/>
      <c r="H68" s="442">
        <f>AVERAGE(H63,H67)</f>
        <v>0</v>
      </c>
      <c r="I68" s="482">
        <f t="shared" si="25"/>
        <v>0</v>
      </c>
      <c r="J68" s="483"/>
      <c r="K68" s="482"/>
      <c r="L68" s="482">
        <f t="shared" si="26"/>
        <v>0</v>
      </c>
      <c r="M68" s="483"/>
      <c r="N68" s="483"/>
      <c r="O68" s="483"/>
      <c r="P68" s="483"/>
      <c r="Q68" s="483"/>
      <c r="R68" s="411"/>
    </row>
    <row r="69" spans="2:18" s="598" customFormat="1" ht="15" customHeight="1">
      <c r="B69" s="606">
        <f t="shared" si="27"/>
        <v>4.6999999999999975</v>
      </c>
      <c r="C69" s="594" t="s">
        <v>32</v>
      </c>
      <c r="D69" s="595"/>
      <c r="E69" s="595">
        <f>IFERROR(E70/E68,0)</f>
        <v>0</v>
      </c>
      <c r="F69" s="595" t="e">
        <f>F70/F68</f>
        <v>#DIV/0!</v>
      </c>
      <c r="G69" s="595"/>
      <c r="H69" s="595">
        <f>IFERROR(H70/H68,0)</f>
        <v>0</v>
      </c>
      <c r="I69" s="595" t="e">
        <f>I70/I68</f>
        <v>#DIV/0!</v>
      </c>
      <c r="J69" s="596"/>
      <c r="K69" s="596" t="e">
        <f>J70/K68</f>
        <v>#DIV/0!</v>
      </c>
      <c r="L69" s="595" t="e">
        <f>L70/L68</f>
        <v>#DIV/0!</v>
      </c>
      <c r="M69" s="596"/>
      <c r="N69" s="596" t="e">
        <f>M70/N68</f>
        <v>#DIV/0!</v>
      </c>
      <c r="O69" s="596"/>
      <c r="P69" s="596"/>
      <c r="Q69" s="596" t="e">
        <f>O70/Q68</f>
        <v>#DIV/0!</v>
      </c>
      <c r="R69" s="597"/>
    </row>
    <row r="70" spans="2:18" ht="15" customHeight="1">
      <c r="B70" s="602">
        <f t="shared" si="27"/>
        <v>4.7999999999999972</v>
      </c>
      <c r="C70" s="428" t="s">
        <v>33</v>
      </c>
      <c r="D70" s="482"/>
      <c r="E70" s="482">
        <v>0</v>
      </c>
      <c r="F70" s="482">
        <f t="shared" si="24"/>
        <v>0</v>
      </c>
      <c r="G70" s="482"/>
      <c r="H70" s="482">
        <v>0</v>
      </c>
      <c r="I70" s="482">
        <f t="shared" si="25"/>
        <v>0</v>
      </c>
      <c r="J70" s="483"/>
      <c r="K70" s="482"/>
      <c r="L70" s="482">
        <f t="shared" si="26"/>
        <v>0</v>
      </c>
      <c r="M70" s="483"/>
      <c r="N70" s="483"/>
      <c r="O70" s="483"/>
      <c r="P70" s="483"/>
      <c r="Q70" s="483"/>
      <c r="R70" s="411"/>
    </row>
    <row r="71" spans="2:18" ht="15" customHeight="1">
      <c r="B71" s="604"/>
      <c r="C71" s="429"/>
      <c r="D71" s="482"/>
      <c r="E71" s="482"/>
      <c r="F71" s="482"/>
      <c r="G71" s="482"/>
      <c r="H71" s="482"/>
      <c r="I71" s="482"/>
      <c r="J71" s="483"/>
      <c r="K71" s="482"/>
      <c r="L71" s="482"/>
      <c r="M71" s="483"/>
      <c r="N71" s="483"/>
      <c r="O71" s="483"/>
      <c r="P71" s="483"/>
      <c r="Q71" s="483"/>
      <c r="R71" s="411"/>
    </row>
    <row r="72" spans="2:18" ht="15" customHeight="1">
      <c r="B72" s="604">
        <v>5</v>
      </c>
      <c r="C72" s="429" t="s">
        <v>1403</v>
      </c>
      <c r="D72" s="482"/>
      <c r="E72" s="482"/>
      <c r="F72" s="482"/>
      <c r="G72" s="482"/>
      <c r="H72" s="482"/>
      <c r="I72" s="482"/>
      <c r="J72" s="483"/>
      <c r="K72" s="482"/>
      <c r="L72" s="482"/>
      <c r="M72" s="483"/>
      <c r="N72" s="483"/>
      <c r="O72" s="483"/>
      <c r="P72" s="483"/>
      <c r="Q72" s="483"/>
      <c r="R72" s="411"/>
    </row>
    <row r="73" spans="2:18" ht="15" customHeight="1">
      <c r="B73" s="602">
        <f>B72+0.1</f>
        <v>5.0999999999999996</v>
      </c>
      <c r="C73" s="428" t="s">
        <v>29</v>
      </c>
      <c r="D73" s="482"/>
      <c r="E73" s="482">
        <v>0</v>
      </c>
      <c r="F73" s="482">
        <f t="shared" ref="F73:F80" si="28">E73-D73</f>
        <v>0</v>
      </c>
      <c r="G73" s="482"/>
      <c r="H73" s="482">
        <v>0</v>
      </c>
      <c r="I73" s="482">
        <f t="shared" ref="I73:I80" si="29">H73-G73</f>
        <v>0</v>
      </c>
      <c r="J73" s="483"/>
      <c r="K73" s="482"/>
      <c r="L73" s="482">
        <f t="shared" ref="L73:L80" si="30">K73-J73</f>
        <v>0</v>
      </c>
      <c r="M73" s="483"/>
      <c r="N73" s="483"/>
      <c r="O73" s="483"/>
      <c r="P73" s="483"/>
      <c r="Q73" s="483"/>
      <c r="R73" s="411"/>
    </row>
    <row r="74" spans="2:18" ht="15" customHeight="1">
      <c r="B74" s="602">
        <f t="shared" ref="B74:B80" si="31">B73+0.1</f>
        <v>5.1999999999999993</v>
      </c>
      <c r="C74" s="428" t="s">
        <v>401</v>
      </c>
      <c r="D74" s="482"/>
      <c r="E74" s="482">
        <v>0</v>
      </c>
      <c r="F74" s="482">
        <f t="shared" si="28"/>
        <v>0</v>
      </c>
      <c r="G74" s="482"/>
      <c r="H74" s="482">
        <v>0</v>
      </c>
      <c r="I74" s="482">
        <f t="shared" si="29"/>
        <v>0</v>
      </c>
      <c r="J74" s="483"/>
      <c r="K74" s="482"/>
      <c r="L74" s="482">
        <f t="shared" si="30"/>
        <v>0</v>
      </c>
      <c r="M74" s="483"/>
      <c r="N74" s="483"/>
      <c r="O74" s="483"/>
      <c r="P74" s="483"/>
      <c r="Q74" s="483"/>
      <c r="R74" s="411"/>
    </row>
    <row r="75" spans="2:18" ht="15" customHeight="1">
      <c r="B75" s="602">
        <f t="shared" si="31"/>
        <v>5.2999999999999989</v>
      </c>
      <c r="C75" s="428" t="s">
        <v>343</v>
      </c>
      <c r="D75" s="482"/>
      <c r="E75" s="482">
        <v>0</v>
      </c>
      <c r="F75" s="482">
        <f t="shared" si="28"/>
        <v>0</v>
      </c>
      <c r="G75" s="482"/>
      <c r="H75" s="482">
        <v>0</v>
      </c>
      <c r="I75" s="482">
        <f t="shared" si="29"/>
        <v>0</v>
      </c>
      <c r="J75" s="483"/>
      <c r="K75" s="482"/>
      <c r="L75" s="482">
        <f t="shared" si="30"/>
        <v>0</v>
      </c>
      <c r="M75" s="483"/>
      <c r="N75" s="483"/>
      <c r="O75" s="483"/>
      <c r="P75" s="483"/>
      <c r="Q75" s="483"/>
      <c r="R75" s="411"/>
    </row>
    <row r="76" spans="2:18" ht="15" customHeight="1">
      <c r="B76" s="602">
        <f t="shared" si="31"/>
        <v>5.3999999999999986</v>
      </c>
      <c r="C76" s="428" t="s">
        <v>30</v>
      </c>
      <c r="D76" s="482"/>
      <c r="E76" s="482">
        <v>0</v>
      </c>
      <c r="F76" s="482">
        <f t="shared" si="28"/>
        <v>0</v>
      </c>
      <c r="G76" s="482"/>
      <c r="H76" s="482">
        <v>0</v>
      </c>
      <c r="I76" s="482">
        <f t="shared" si="29"/>
        <v>0</v>
      </c>
      <c r="J76" s="483"/>
      <c r="K76" s="482"/>
      <c r="L76" s="482">
        <f t="shared" si="30"/>
        <v>0</v>
      </c>
      <c r="M76" s="483"/>
      <c r="N76" s="483"/>
      <c r="O76" s="483"/>
      <c r="P76" s="483"/>
      <c r="Q76" s="483"/>
      <c r="R76" s="411"/>
    </row>
    <row r="77" spans="2:18" ht="15" customHeight="1">
      <c r="B77" s="602">
        <f t="shared" si="31"/>
        <v>5.4999999999999982</v>
      </c>
      <c r="C77" s="428" t="s">
        <v>31</v>
      </c>
      <c r="D77" s="482"/>
      <c r="E77" s="482">
        <f>+E73-E74+E75-E76</f>
        <v>0</v>
      </c>
      <c r="F77" s="482">
        <f t="shared" si="28"/>
        <v>0</v>
      </c>
      <c r="G77" s="482"/>
      <c r="H77" s="482">
        <f>+H73-H74+H75-H76</f>
        <v>0</v>
      </c>
      <c r="I77" s="482">
        <f t="shared" si="29"/>
        <v>0</v>
      </c>
      <c r="J77" s="483"/>
      <c r="K77" s="483">
        <f>+J73-J74+J75-J76</f>
        <v>0</v>
      </c>
      <c r="L77" s="482">
        <f t="shared" si="30"/>
        <v>0</v>
      </c>
      <c r="M77" s="483"/>
      <c r="N77" s="483">
        <f>+M73-M74+M75-M76</f>
        <v>0</v>
      </c>
      <c r="O77" s="483"/>
      <c r="P77" s="483"/>
      <c r="Q77" s="483">
        <f>+O73-O74+O75-O76</f>
        <v>0</v>
      </c>
      <c r="R77" s="411"/>
    </row>
    <row r="78" spans="2:18" ht="15" customHeight="1">
      <c r="B78" s="602">
        <f t="shared" si="31"/>
        <v>5.5999999999999979</v>
      </c>
      <c r="C78" s="428" t="s">
        <v>473</v>
      </c>
      <c r="D78" s="482"/>
      <c r="E78" s="442">
        <f>AVERAGE(E73,E77)</f>
        <v>0</v>
      </c>
      <c r="F78" s="482">
        <f t="shared" si="28"/>
        <v>0</v>
      </c>
      <c r="G78" s="482"/>
      <c r="H78" s="442">
        <f>AVERAGE(H73,H77)</f>
        <v>0</v>
      </c>
      <c r="I78" s="482">
        <f t="shared" si="29"/>
        <v>0</v>
      </c>
      <c r="J78" s="483"/>
      <c r="K78" s="482"/>
      <c r="L78" s="482">
        <f t="shared" si="30"/>
        <v>0</v>
      </c>
      <c r="M78" s="483"/>
      <c r="N78" s="483"/>
      <c r="O78" s="483"/>
      <c r="P78" s="483"/>
      <c r="Q78" s="483"/>
      <c r="R78" s="411"/>
    </row>
    <row r="79" spans="2:18" s="598" customFormat="1" ht="15" customHeight="1">
      <c r="B79" s="606">
        <f t="shared" si="31"/>
        <v>5.6999999999999975</v>
      </c>
      <c r="C79" s="594" t="s">
        <v>32</v>
      </c>
      <c r="D79" s="595"/>
      <c r="E79" s="595">
        <f>IFERROR(E80/E78,0)</f>
        <v>0</v>
      </c>
      <c r="F79" s="595" t="e">
        <f>F80/F78</f>
        <v>#DIV/0!</v>
      </c>
      <c r="G79" s="595"/>
      <c r="H79" s="595">
        <f>IFERROR(H80/H78,0)</f>
        <v>0</v>
      </c>
      <c r="I79" s="595" t="e">
        <f>I80/I78</f>
        <v>#DIV/0!</v>
      </c>
      <c r="J79" s="596"/>
      <c r="K79" s="596" t="e">
        <f>J80/K78</f>
        <v>#DIV/0!</v>
      </c>
      <c r="L79" s="595" t="e">
        <f>L80/L78</f>
        <v>#DIV/0!</v>
      </c>
      <c r="M79" s="596"/>
      <c r="N79" s="596" t="e">
        <f>M80/N78</f>
        <v>#DIV/0!</v>
      </c>
      <c r="O79" s="596"/>
      <c r="P79" s="596"/>
      <c r="Q79" s="596" t="e">
        <f>O80/Q78</f>
        <v>#DIV/0!</v>
      </c>
      <c r="R79" s="597"/>
    </row>
    <row r="80" spans="2:18" ht="15" customHeight="1">
      <c r="B80" s="602">
        <f t="shared" si="31"/>
        <v>5.7999999999999972</v>
      </c>
      <c r="C80" s="428" t="s">
        <v>33</v>
      </c>
      <c r="D80" s="482"/>
      <c r="E80" s="482">
        <v>0</v>
      </c>
      <c r="F80" s="482">
        <f t="shared" si="28"/>
        <v>0</v>
      </c>
      <c r="G80" s="482"/>
      <c r="H80" s="482">
        <v>0</v>
      </c>
      <c r="I80" s="482">
        <f t="shared" si="29"/>
        <v>0</v>
      </c>
      <c r="J80" s="483"/>
      <c r="K80" s="482"/>
      <c r="L80" s="482">
        <f t="shared" si="30"/>
        <v>0</v>
      </c>
      <c r="M80" s="483"/>
      <c r="N80" s="483"/>
      <c r="O80" s="483"/>
      <c r="P80" s="483"/>
      <c r="Q80" s="483"/>
      <c r="R80" s="411"/>
    </row>
    <row r="81" spans="2:18" ht="15" customHeight="1">
      <c r="B81" s="604"/>
      <c r="C81" s="429"/>
      <c r="D81" s="482"/>
      <c r="E81" s="482"/>
      <c r="F81" s="482"/>
      <c r="G81" s="482"/>
      <c r="H81" s="482"/>
      <c r="I81" s="482"/>
      <c r="J81" s="483"/>
      <c r="K81" s="482"/>
      <c r="L81" s="482"/>
      <c r="M81" s="483"/>
      <c r="N81" s="483"/>
      <c r="O81" s="483"/>
      <c r="P81" s="483"/>
      <c r="Q81" s="483"/>
      <c r="R81" s="411"/>
    </row>
    <row r="82" spans="2:18" ht="15" customHeight="1">
      <c r="B82" s="604">
        <v>6</v>
      </c>
      <c r="C82" s="429" t="s">
        <v>1404</v>
      </c>
      <c r="D82" s="482"/>
      <c r="E82" s="482"/>
      <c r="F82" s="482"/>
      <c r="G82" s="482"/>
      <c r="H82" s="482"/>
      <c r="I82" s="482"/>
      <c r="J82" s="483"/>
      <c r="K82" s="482"/>
      <c r="L82" s="482"/>
      <c r="M82" s="483"/>
      <c r="N82" s="483"/>
      <c r="O82" s="483"/>
      <c r="P82" s="483"/>
      <c r="Q82" s="483"/>
      <c r="R82" s="411"/>
    </row>
    <row r="83" spans="2:18" ht="15" customHeight="1">
      <c r="B83" s="602">
        <f>B82+0.1</f>
        <v>6.1</v>
      </c>
      <c r="C83" s="428" t="s">
        <v>29</v>
      </c>
      <c r="D83" s="482"/>
      <c r="E83" s="482">
        <v>0</v>
      </c>
      <c r="F83" s="482">
        <f t="shared" ref="F83:F90" si="32">E83-D83</f>
        <v>0</v>
      </c>
      <c r="G83" s="482"/>
      <c r="H83" s="482">
        <v>0</v>
      </c>
      <c r="I83" s="482">
        <f t="shared" ref="I83:I90" si="33">H83-G83</f>
        <v>0</v>
      </c>
      <c r="J83" s="483"/>
      <c r="K83" s="482"/>
      <c r="L83" s="482">
        <f t="shared" ref="L83:L90" si="34">K83-J83</f>
        <v>0</v>
      </c>
      <c r="M83" s="483"/>
      <c r="N83" s="483"/>
      <c r="O83" s="483"/>
      <c r="P83" s="483"/>
      <c r="Q83" s="483"/>
      <c r="R83" s="411"/>
    </row>
    <row r="84" spans="2:18" ht="15" customHeight="1">
      <c r="B84" s="602">
        <f t="shared" ref="B84:B90" si="35">B83+0.1</f>
        <v>6.1999999999999993</v>
      </c>
      <c r="C84" s="428" t="s">
        <v>401</v>
      </c>
      <c r="D84" s="482"/>
      <c r="E84" s="482">
        <v>0</v>
      </c>
      <c r="F84" s="482">
        <f t="shared" si="32"/>
        <v>0</v>
      </c>
      <c r="G84" s="482"/>
      <c r="H84" s="482">
        <v>0</v>
      </c>
      <c r="I84" s="482">
        <f t="shared" si="33"/>
        <v>0</v>
      </c>
      <c r="J84" s="483"/>
      <c r="K84" s="482"/>
      <c r="L84" s="482">
        <f t="shared" si="34"/>
        <v>0</v>
      </c>
      <c r="M84" s="483"/>
      <c r="N84" s="483"/>
      <c r="O84" s="483"/>
      <c r="P84" s="483"/>
      <c r="Q84" s="483"/>
      <c r="R84" s="411"/>
    </row>
    <row r="85" spans="2:18" ht="15" customHeight="1">
      <c r="B85" s="602">
        <f t="shared" si="35"/>
        <v>6.2999999999999989</v>
      </c>
      <c r="C85" s="428" t="s">
        <v>343</v>
      </c>
      <c r="D85" s="482"/>
      <c r="E85" s="482">
        <v>0</v>
      </c>
      <c r="F85" s="482">
        <f t="shared" si="32"/>
        <v>0</v>
      </c>
      <c r="G85" s="482"/>
      <c r="H85" s="482">
        <v>0</v>
      </c>
      <c r="I85" s="482">
        <f t="shared" si="33"/>
        <v>0</v>
      </c>
      <c r="J85" s="483"/>
      <c r="K85" s="482"/>
      <c r="L85" s="482">
        <f t="shared" si="34"/>
        <v>0</v>
      </c>
      <c r="M85" s="483"/>
      <c r="N85" s="483"/>
      <c r="O85" s="483"/>
      <c r="P85" s="483"/>
      <c r="Q85" s="483"/>
      <c r="R85" s="411"/>
    </row>
    <row r="86" spans="2:18" ht="15" customHeight="1">
      <c r="B86" s="602">
        <f t="shared" si="35"/>
        <v>6.3999999999999986</v>
      </c>
      <c r="C86" s="428" t="s">
        <v>30</v>
      </c>
      <c r="D86" s="482"/>
      <c r="E86" s="482">
        <v>0</v>
      </c>
      <c r="F86" s="482">
        <f t="shared" si="32"/>
        <v>0</v>
      </c>
      <c r="G86" s="482"/>
      <c r="H86" s="482">
        <v>0</v>
      </c>
      <c r="I86" s="482">
        <f t="shared" si="33"/>
        <v>0</v>
      </c>
      <c r="J86" s="483"/>
      <c r="K86" s="482"/>
      <c r="L86" s="482">
        <f t="shared" si="34"/>
        <v>0</v>
      </c>
      <c r="M86" s="483"/>
      <c r="N86" s="483"/>
      <c r="O86" s="483"/>
      <c r="P86" s="483"/>
      <c r="Q86" s="483"/>
      <c r="R86" s="411"/>
    </row>
    <row r="87" spans="2:18" ht="15" customHeight="1">
      <c r="B87" s="602">
        <f t="shared" si="35"/>
        <v>6.4999999999999982</v>
      </c>
      <c r="C87" s="428" t="s">
        <v>31</v>
      </c>
      <c r="D87" s="482"/>
      <c r="E87" s="482">
        <f>+E83-E84+E85-E86</f>
        <v>0</v>
      </c>
      <c r="F87" s="482">
        <f t="shared" si="32"/>
        <v>0</v>
      </c>
      <c r="G87" s="482"/>
      <c r="H87" s="482">
        <f>+H83-H84+H85-H86</f>
        <v>0</v>
      </c>
      <c r="I87" s="482">
        <f t="shared" si="33"/>
        <v>0</v>
      </c>
      <c r="J87" s="483"/>
      <c r="K87" s="483">
        <f>+J83-J84+J85-J86</f>
        <v>0</v>
      </c>
      <c r="L87" s="482">
        <f t="shared" si="34"/>
        <v>0</v>
      </c>
      <c r="M87" s="483"/>
      <c r="N87" s="483">
        <f>+M83-M84+M85-M86</f>
        <v>0</v>
      </c>
      <c r="O87" s="483"/>
      <c r="P87" s="483"/>
      <c r="Q87" s="483">
        <f>+O83-O84+O85-O86</f>
        <v>0</v>
      </c>
      <c r="R87" s="411"/>
    </row>
    <row r="88" spans="2:18" ht="15" customHeight="1">
      <c r="B88" s="602">
        <f t="shared" si="35"/>
        <v>6.5999999999999979</v>
      </c>
      <c r="C88" s="428" t="s">
        <v>473</v>
      </c>
      <c r="D88" s="482"/>
      <c r="E88" s="442">
        <f>AVERAGE(E83,E87)</f>
        <v>0</v>
      </c>
      <c r="F88" s="482">
        <f t="shared" si="32"/>
        <v>0</v>
      </c>
      <c r="G88" s="482"/>
      <c r="H88" s="442">
        <f>AVERAGE(H83,H87)</f>
        <v>0</v>
      </c>
      <c r="I88" s="482">
        <f t="shared" si="33"/>
        <v>0</v>
      </c>
      <c r="J88" s="483"/>
      <c r="K88" s="482"/>
      <c r="L88" s="482">
        <f t="shared" si="34"/>
        <v>0</v>
      </c>
      <c r="M88" s="483"/>
      <c r="N88" s="483"/>
      <c r="O88" s="483"/>
      <c r="P88" s="483"/>
      <c r="Q88" s="483"/>
      <c r="R88" s="411"/>
    </row>
    <row r="89" spans="2:18" s="598" customFormat="1" ht="15" customHeight="1">
      <c r="B89" s="606">
        <f t="shared" si="35"/>
        <v>6.6999999999999975</v>
      </c>
      <c r="C89" s="594" t="s">
        <v>32</v>
      </c>
      <c r="D89" s="595"/>
      <c r="E89" s="595">
        <f>IFERROR(E90/E88,0)</f>
        <v>0</v>
      </c>
      <c r="F89" s="595" t="e">
        <f>F90/F88</f>
        <v>#DIV/0!</v>
      </c>
      <c r="G89" s="595"/>
      <c r="H89" s="595">
        <f>IFERROR(H90/H88,0)</f>
        <v>0</v>
      </c>
      <c r="I89" s="595" t="e">
        <f>I90/I88</f>
        <v>#DIV/0!</v>
      </c>
      <c r="J89" s="596"/>
      <c r="K89" s="596" t="e">
        <f>J90/K88</f>
        <v>#DIV/0!</v>
      </c>
      <c r="L89" s="595" t="e">
        <f>L90/L88</f>
        <v>#DIV/0!</v>
      </c>
      <c r="M89" s="596"/>
      <c r="N89" s="596" t="e">
        <f>M90/N88</f>
        <v>#DIV/0!</v>
      </c>
      <c r="O89" s="596"/>
      <c r="P89" s="596"/>
      <c r="Q89" s="596" t="e">
        <f>O90/Q88</f>
        <v>#DIV/0!</v>
      </c>
      <c r="R89" s="597"/>
    </row>
    <row r="90" spans="2:18" ht="15" customHeight="1">
      <c r="B90" s="602">
        <f t="shared" si="35"/>
        <v>6.7999999999999972</v>
      </c>
      <c r="C90" s="428" t="s">
        <v>33</v>
      </c>
      <c r="D90" s="482"/>
      <c r="E90" s="482">
        <v>0</v>
      </c>
      <c r="F90" s="482">
        <f t="shared" si="32"/>
        <v>0</v>
      </c>
      <c r="G90" s="482"/>
      <c r="H90" s="482">
        <v>0</v>
      </c>
      <c r="I90" s="482">
        <f t="shared" si="33"/>
        <v>0</v>
      </c>
      <c r="J90" s="483"/>
      <c r="K90" s="482"/>
      <c r="L90" s="482">
        <f t="shared" si="34"/>
        <v>0</v>
      </c>
      <c r="M90" s="483"/>
      <c r="N90" s="483"/>
      <c r="O90" s="483"/>
      <c r="P90" s="483"/>
      <c r="Q90" s="483"/>
      <c r="R90" s="411"/>
    </row>
    <row r="91" spans="2:18" ht="15" customHeight="1">
      <c r="B91" s="604"/>
      <c r="C91" s="429"/>
      <c r="D91" s="482"/>
      <c r="E91" s="482"/>
      <c r="F91" s="482"/>
      <c r="G91" s="482"/>
      <c r="H91" s="482"/>
      <c r="I91" s="482"/>
      <c r="J91" s="483"/>
      <c r="K91" s="482"/>
      <c r="L91" s="482"/>
      <c r="M91" s="483"/>
      <c r="N91" s="483"/>
      <c r="O91" s="483"/>
      <c r="P91" s="483"/>
      <c r="Q91" s="483"/>
      <c r="R91" s="411"/>
    </row>
    <row r="92" spans="2:18" ht="15" customHeight="1">
      <c r="B92" s="604">
        <v>7</v>
      </c>
      <c r="C92" s="429" t="s">
        <v>1405</v>
      </c>
      <c r="D92" s="482"/>
      <c r="E92" s="482"/>
      <c r="F92" s="482"/>
      <c r="G92" s="482"/>
      <c r="H92" s="482"/>
      <c r="I92" s="482"/>
      <c r="J92" s="483"/>
      <c r="K92" s="482"/>
      <c r="L92" s="482"/>
      <c r="M92" s="483"/>
      <c r="N92" s="483"/>
      <c r="O92" s="483"/>
      <c r="P92" s="483"/>
      <c r="Q92" s="483"/>
      <c r="R92" s="411"/>
    </row>
    <row r="93" spans="2:18" ht="15" customHeight="1">
      <c r="B93" s="602">
        <f>B92+0.1</f>
        <v>7.1</v>
      </c>
      <c r="C93" s="428" t="s">
        <v>29</v>
      </c>
      <c r="D93" s="482"/>
      <c r="E93" s="482">
        <v>0</v>
      </c>
      <c r="F93" s="482">
        <f t="shared" ref="F93:F100" si="36">E93-D93</f>
        <v>0</v>
      </c>
      <c r="G93" s="482"/>
      <c r="H93" s="482">
        <v>0</v>
      </c>
      <c r="I93" s="482">
        <f t="shared" ref="I93:I100" si="37">H93-G93</f>
        <v>0</v>
      </c>
      <c r="J93" s="483"/>
      <c r="K93" s="482"/>
      <c r="L93" s="482">
        <f t="shared" ref="L93:L100" si="38">K93-J93</f>
        <v>0</v>
      </c>
      <c r="M93" s="483"/>
      <c r="N93" s="483"/>
      <c r="O93" s="483"/>
      <c r="P93" s="483"/>
      <c r="Q93" s="483"/>
      <c r="R93" s="411"/>
    </row>
    <row r="94" spans="2:18" ht="15" customHeight="1">
      <c r="B94" s="602">
        <f t="shared" ref="B94:B100" si="39">B93+0.1</f>
        <v>7.1999999999999993</v>
      </c>
      <c r="C94" s="428" t="s">
        <v>401</v>
      </c>
      <c r="D94" s="482"/>
      <c r="E94" s="482">
        <v>0</v>
      </c>
      <c r="F94" s="482">
        <f t="shared" si="36"/>
        <v>0</v>
      </c>
      <c r="G94" s="482"/>
      <c r="H94" s="482">
        <v>0</v>
      </c>
      <c r="I94" s="482">
        <f t="shared" si="37"/>
        <v>0</v>
      </c>
      <c r="J94" s="483"/>
      <c r="K94" s="482"/>
      <c r="L94" s="482">
        <f t="shared" si="38"/>
        <v>0</v>
      </c>
      <c r="M94" s="483"/>
      <c r="N94" s="483"/>
      <c r="O94" s="483"/>
      <c r="P94" s="483"/>
      <c r="Q94" s="483"/>
      <c r="R94" s="411"/>
    </row>
    <row r="95" spans="2:18" ht="15" customHeight="1">
      <c r="B95" s="602">
        <f t="shared" si="39"/>
        <v>7.2999999999999989</v>
      </c>
      <c r="C95" s="428" t="s">
        <v>343</v>
      </c>
      <c r="D95" s="482"/>
      <c r="E95" s="482">
        <v>0</v>
      </c>
      <c r="F95" s="482">
        <f t="shared" si="36"/>
        <v>0</v>
      </c>
      <c r="G95" s="482"/>
      <c r="H95" s="482">
        <v>0</v>
      </c>
      <c r="I95" s="482">
        <f t="shared" si="37"/>
        <v>0</v>
      </c>
      <c r="J95" s="483"/>
      <c r="K95" s="482"/>
      <c r="L95" s="482">
        <f t="shared" si="38"/>
        <v>0</v>
      </c>
      <c r="M95" s="483"/>
      <c r="N95" s="483"/>
      <c r="O95" s="483"/>
      <c r="P95" s="483"/>
      <c r="Q95" s="483"/>
      <c r="R95" s="411"/>
    </row>
    <row r="96" spans="2:18" ht="15" customHeight="1">
      <c r="B96" s="602">
        <f t="shared" si="39"/>
        <v>7.3999999999999986</v>
      </c>
      <c r="C96" s="428" t="s">
        <v>30</v>
      </c>
      <c r="D96" s="482"/>
      <c r="E96" s="482">
        <v>0</v>
      </c>
      <c r="F96" s="482">
        <f t="shared" si="36"/>
        <v>0</v>
      </c>
      <c r="G96" s="482"/>
      <c r="H96" s="482">
        <v>0</v>
      </c>
      <c r="I96" s="482">
        <f t="shared" si="37"/>
        <v>0</v>
      </c>
      <c r="J96" s="483"/>
      <c r="K96" s="482"/>
      <c r="L96" s="482">
        <f t="shared" si="38"/>
        <v>0</v>
      </c>
      <c r="M96" s="483"/>
      <c r="N96" s="483"/>
      <c r="O96" s="483"/>
      <c r="P96" s="483"/>
      <c r="Q96" s="483"/>
      <c r="R96" s="411"/>
    </row>
    <row r="97" spans="2:18" ht="15" customHeight="1">
      <c r="B97" s="602">
        <f t="shared" si="39"/>
        <v>7.4999999999999982</v>
      </c>
      <c r="C97" s="428" t="s">
        <v>31</v>
      </c>
      <c r="D97" s="482"/>
      <c r="E97" s="482">
        <f>+E93-E94+E95-E96</f>
        <v>0</v>
      </c>
      <c r="F97" s="482">
        <f t="shared" si="36"/>
        <v>0</v>
      </c>
      <c r="G97" s="482"/>
      <c r="H97" s="482">
        <f>+H93-H94+H95-H96</f>
        <v>0</v>
      </c>
      <c r="I97" s="482">
        <f t="shared" si="37"/>
        <v>0</v>
      </c>
      <c r="J97" s="483"/>
      <c r="K97" s="482">
        <f>+K93-K94+K95-K96</f>
        <v>0</v>
      </c>
      <c r="L97" s="482">
        <f t="shared" si="38"/>
        <v>0</v>
      </c>
      <c r="M97" s="483"/>
      <c r="N97" s="483">
        <f>+M93-M94+M95-M96</f>
        <v>0</v>
      </c>
      <c r="O97" s="483"/>
      <c r="P97" s="483"/>
      <c r="Q97" s="483">
        <f>+O93-O94+O95-O96</f>
        <v>0</v>
      </c>
      <c r="R97" s="411"/>
    </row>
    <row r="98" spans="2:18" ht="15" customHeight="1">
      <c r="B98" s="602">
        <f t="shared" si="39"/>
        <v>7.5999999999999979</v>
      </c>
      <c r="C98" s="428" t="s">
        <v>473</v>
      </c>
      <c r="D98" s="482"/>
      <c r="E98" s="442">
        <f>AVERAGE(E93,E97)</f>
        <v>0</v>
      </c>
      <c r="F98" s="482">
        <f t="shared" si="36"/>
        <v>0</v>
      </c>
      <c r="G98" s="482"/>
      <c r="H98" s="442">
        <f>AVERAGE(H93,H97)</f>
        <v>0</v>
      </c>
      <c r="I98" s="482">
        <f t="shared" si="37"/>
        <v>0</v>
      </c>
      <c r="J98" s="483"/>
      <c r="K98" s="482"/>
      <c r="L98" s="482">
        <f t="shared" si="38"/>
        <v>0</v>
      </c>
      <c r="M98" s="483"/>
      <c r="N98" s="483"/>
      <c r="O98" s="483"/>
      <c r="P98" s="483"/>
      <c r="Q98" s="483"/>
      <c r="R98" s="411"/>
    </row>
    <row r="99" spans="2:18" s="598" customFormat="1" ht="15" customHeight="1">
      <c r="B99" s="606">
        <f t="shared" si="39"/>
        <v>7.6999999999999975</v>
      </c>
      <c r="C99" s="594" t="s">
        <v>32</v>
      </c>
      <c r="D99" s="595"/>
      <c r="E99" s="595">
        <f>IFERROR(E100/E98,0)</f>
        <v>0</v>
      </c>
      <c r="F99" s="595" t="e">
        <f>F100/F98</f>
        <v>#DIV/0!</v>
      </c>
      <c r="G99" s="595"/>
      <c r="H99" s="595">
        <f>IFERROR(H100/H98,0)</f>
        <v>0</v>
      </c>
      <c r="I99" s="595" t="e">
        <f>I100/I98</f>
        <v>#DIV/0!</v>
      </c>
      <c r="J99" s="596"/>
      <c r="K99" s="596" t="e">
        <f>J100/K98</f>
        <v>#DIV/0!</v>
      </c>
      <c r="L99" s="595" t="e">
        <f>L100/L98</f>
        <v>#DIV/0!</v>
      </c>
      <c r="M99" s="596"/>
      <c r="N99" s="596" t="e">
        <f>M100/N98</f>
        <v>#DIV/0!</v>
      </c>
      <c r="O99" s="596"/>
      <c r="P99" s="596"/>
      <c r="Q99" s="596" t="e">
        <f>O100/Q98</f>
        <v>#DIV/0!</v>
      </c>
      <c r="R99" s="597"/>
    </row>
    <row r="100" spans="2:18" ht="15" customHeight="1">
      <c r="B100" s="602">
        <f t="shared" si="39"/>
        <v>7.7999999999999972</v>
      </c>
      <c r="C100" s="428" t="s">
        <v>33</v>
      </c>
      <c r="D100" s="482"/>
      <c r="E100" s="482">
        <v>0</v>
      </c>
      <c r="F100" s="482">
        <f t="shared" si="36"/>
        <v>0</v>
      </c>
      <c r="G100" s="482"/>
      <c r="H100" s="482">
        <v>0</v>
      </c>
      <c r="I100" s="482">
        <f t="shared" si="37"/>
        <v>0</v>
      </c>
      <c r="J100" s="483"/>
      <c r="K100" s="482"/>
      <c r="L100" s="482">
        <f t="shared" si="38"/>
        <v>0</v>
      </c>
      <c r="M100" s="483"/>
      <c r="N100" s="483"/>
      <c r="O100" s="483"/>
      <c r="P100" s="483"/>
      <c r="Q100" s="483"/>
      <c r="R100" s="411"/>
    </row>
    <row r="101" spans="2:18" ht="15" customHeight="1">
      <c r="B101" s="604"/>
      <c r="C101" s="429"/>
      <c r="D101" s="482"/>
      <c r="E101" s="482"/>
      <c r="F101" s="482"/>
      <c r="G101" s="482"/>
      <c r="H101" s="482"/>
      <c r="I101" s="482"/>
      <c r="J101" s="483"/>
      <c r="K101" s="482"/>
      <c r="L101" s="482"/>
      <c r="M101" s="483"/>
      <c r="N101" s="483"/>
      <c r="O101" s="483"/>
      <c r="P101" s="483"/>
      <c r="Q101" s="483"/>
      <c r="R101" s="411"/>
    </row>
    <row r="102" spans="2:18" ht="15" customHeight="1">
      <c r="B102" s="604">
        <v>8</v>
      </c>
      <c r="C102" s="429" t="s">
        <v>1406</v>
      </c>
      <c r="D102" s="482"/>
      <c r="E102" s="482"/>
      <c r="F102" s="482"/>
      <c r="G102" s="482"/>
      <c r="H102" s="482"/>
      <c r="I102" s="482"/>
      <c r="J102" s="483"/>
      <c r="K102" s="482"/>
      <c r="L102" s="482"/>
      <c r="M102" s="483"/>
      <c r="N102" s="483"/>
      <c r="O102" s="483"/>
      <c r="P102" s="483"/>
      <c r="Q102" s="483"/>
      <c r="R102" s="411"/>
    </row>
    <row r="103" spans="2:18" ht="15" customHeight="1">
      <c r="B103" s="602">
        <f>B102+0.1</f>
        <v>8.1</v>
      </c>
      <c r="C103" s="428" t="s">
        <v>29</v>
      </c>
      <c r="D103" s="482"/>
      <c r="E103" s="482">
        <v>0</v>
      </c>
      <c r="F103" s="482">
        <f t="shared" ref="F103:F110" si="40">E103-D103</f>
        <v>0</v>
      </c>
      <c r="G103" s="482"/>
      <c r="H103" s="482">
        <v>0</v>
      </c>
      <c r="I103" s="482">
        <f t="shared" ref="I103:I110" si="41">H103-G103</f>
        <v>0</v>
      </c>
      <c r="J103" s="483"/>
      <c r="K103" s="482"/>
      <c r="L103" s="482">
        <f t="shared" ref="L103:L110" si="42">K103-J103</f>
        <v>0</v>
      </c>
      <c r="M103" s="483"/>
      <c r="N103" s="483"/>
      <c r="O103" s="483"/>
      <c r="P103" s="483"/>
      <c r="Q103" s="483"/>
      <c r="R103" s="411"/>
    </row>
    <row r="104" spans="2:18" ht="15" customHeight="1">
      <c r="B104" s="602">
        <f t="shared" ref="B104:B110" si="43">B103+0.1</f>
        <v>8.1999999999999993</v>
      </c>
      <c r="C104" s="428" t="s">
        <v>401</v>
      </c>
      <c r="D104" s="482"/>
      <c r="E104" s="482">
        <v>0</v>
      </c>
      <c r="F104" s="482">
        <f t="shared" si="40"/>
        <v>0</v>
      </c>
      <c r="G104" s="482"/>
      <c r="H104" s="482">
        <v>0</v>
      </c>
      <c r="I104" s="482">
        <f t="shared" si="41"/>
        <v>0</v>
      </c>
      <c r="J104" s="483"/>
      <c r="K104" s="482"/>
      <c r="L104" s="482">
        <f t="shared" si="42"/>
        <v>0</v>
      </c>
      <c r="M104" s="483"/>
      <c r="N104" s="483"/>
      <c r="O104" s="483"/>
      <c r="P104" s="483"/>
      <c r="Q104" s="483"/>
      <c r="R104" s="411"/>
    </row>
    <row r="105" spans="2:18" ht="15" customHeight="1">
      <c r="B105" s="602">
        <f t="shared" si="43"/>
        <v>8.2999999999999989</v>
      </c>
      <c r="C105" s="428" t="s">
        <v>343</v>
      </c>
      <c r="D105" s="482"/>
      <c r="E105" s="482">
        <v>0</v>
      </c>
      <c r="F105" s="482">
        <f t="shared" si="40"/>
        <v>0</v>
      </c>
      <c r="G105" s="482"/>
      <c r="H105" s="482">
        <v>0</v>
      </c>
      <c r="I105" s="482">
        <f t="shared" si="41"/>
        <v>0</v>
      </c>
      <c r="J105" s="483"/>
      <c r="K105" s="482"/>
      <c r="L105" s="482">
        <f t="shared" si="42"/>
        <v>0</v>
      </c>
      <c r="M105" s="483"/>
      <c r="N105" s="483"/>
      <c r="O105" s="483"/>
      <c r="P105" s="483"/>
      <c r="Q105" s="483"/>
      <c r="R105" s="411"/>
    </row>
    <row r="106" spans="2:18" ht="15" customHeight="1">
      <c r="B106" s="602">
        <f t="shared" si="43"/>
        <v>8.3999999999999986</v>
      </c>
      <c r="C106" s="428" t="s">
        <v>30</v>
      </c>
      <c r="D106" s="482"/>
      <c r="E106" s="482">
        <v>0</v>
      </c>
      <c r="F106" s="482">
        <f t="shared" si="40"/>
        <v>0</v>
      </c>
      <c r="G106" s="482"/>
      <c r="H106" s="482">
        <v>0</v>
      </c>
      <c r="I106" s="482">
        <f t="shared" si="41"/>
        <v>0</v>
      </c>
      <c r="J106" s="483"/>
      <c r="K106" s="482"/>
      <c r="L106" s="482">
        <f t="shared" si="42"/>
        <v>0</v>
      </c>
      <c r="M106" s="483"/>
      <c r="N106" s="483"/>
      <c r="O106" s="483"/>
      <c r="P106" s="483"/>
      <c r="Q106" s="483"/>
      <c r="R106" s="411"/>
    </row>
    <row r="107" spans="2:18" ht="15" customHeight="1">
      <c r="B107" s="602">
        <f t="shared" si="43"/>
        <v>8.4999999999999982</v>
      </c>
      <c r="C107" s="428" t="s">
        <v>31</v>
      </c>
      <c r="D107" s="482"/>
      <c r="E107" s="482">
        <f>+E103-E104+E105-E106</f>
        <v>0</v>
      </c>
      <c r="F107" s="482">
        <f t="shared" si="40"/>
        <v>0</v>
      </c>
      <c r="G107" s="482"/>
      <c r="H107" s="482">
        <f>+H103-H104+H105-H106</f>
        <v>0</v>
      </c>
      <c r="I107" s="482">
        <f t="shared" si="41"/>
        <v>0</v>
      </c>
      <c r="J107" s="483"/>
      <c r="K107" s="483">
        <f>+J103-J104+J105-J106</f>
        <v>0</v>
      </c>
      <c r="L107" s="482">
        <f t="shared" si="42"/>
        <v>0</v>
      </c>
      <c r="M107" s="483"/>
      <c r="N107" s="483">
        <f>+M103-M104+M105-M106</f>
        <v>0</v>
      </c>
      <c r="O107" s="483"/>
      <c r="P107" s="483"/>
      <c r="Q107" s="483">
        <f>+O103-O104+O105-O106</f>
        <v>0</v>
      </c>
      <c r="R107" s="411"/>
    </row>
    <row r="108" spans="2:18" ht="15" customHeight="1">
      <c r="B108" s="602">
        <f t="shared" si="43"/>
        <v>8.5999999999999979</v>
      </c>
      <c r="C108" s="428" t="s">
        <v>473</v>
      </c>
      <c r="D108" s="482"/>
      <c r="E108" s="442">
        <f>AVERAGE(E103,E107)</f>
        <v>0</v>
      </c>
      <c r="F108" s="482">
        <f t="shared" si="40"/>
        <v>0</v>
      </c>
      <c r="G108" s="482"/>
      <c r="H108" s="442">
        <f>AVERAGE(H103,H107)</f>
        <v>0</v>
      </c>
      <c r="I108" s="482">
        <f t="shared" si="41"/>
        <v>0</v>
      </c>
      <c r="J108" s="483"/>
      <c r="K108" s="482"/>
      <c r="L108" s="482">
        <f t="shared" si="42"/>
        <v>0</v>
      </c>
      <c r="M108" s="483"/>
      <c r="N108" s="483"/>
      <c r="O108" s="483"/>
      <c r="P108" s="483"/>
      <c r="Q108" s="483"/>
      <c r="R108" s="411"/>
    </row>
    <row r="109" spans="2:18" s="598" customFormat="1" ht="15" customHeight="1">
      <c r="B109" s="606">
        <f t="shared" si="43"/>
        <v>8.6999999999999975</v>
      </c>
      <c r="C109" s="594" t="s">
        <v>32</v>
      </c>
      <c r="D109" s="595"/>
      <c r="E109" s="595">
        <f>IFERROR(E110/E108,0)</f>
        <v>0</v>
      </c>
      <c r="F109" s="595" t="e">
        <f>F110/F108</f>
        <v>#DIV/0!</v>
      </c>
      <c r="G109" s="595"/>
      <c r="H109" s="595">
        <f>IFERROR(H110/H108,0)</f>
        <v>0</v>
      </c>
      <c r="I109" s="595" t="e">
        <f>I110/I108</f>
        <v>#DIV/0!</v>
      </c>
      <c r="J109" s="596"/>
      <c r="K109" s="596" t="e">
        <f>J110/K108</f>
        <v>#DIV/0!</v>
      </c>
      <c r="L109" s="595" t="e">
        <f>L110/L108</f>
        <v>#DIV/0!</v>
      </c>
      <c r="M109" s="596"/>
      <c r="N109" s="596" t="e">
        <f>M110/N108</f>
        <v>#DIV/0!</v>
      </c>
      <c r="O109" s="596"/>
      <c r="P109" s="596"/>
      <c r="Q109" s="596" t="e">
        <f>O110/Q108</f>
        <v>#DIV/0!</v>
      </c>
      <c r="R109" s="597"/>
    </row>
    <row r="110" spans="2:18" ht="15" customHeight="1">
      <c r="B110" s="602">
        <f t="shared" si="43"/>
        <v>8.7999999999999972</v>
      </c>
      <c r="C110" s="428" t="s">
        <v>33</v>
      </c>
      <c r="D110" s="482"/>
      <c r="E110" s="482">
        <v>0</v>
      </c>
      <c r="F110" s="482">
        <f t="shared" si="40"/>
        <v>0</v>
      </c>
      <c r="G110" s="482"/>
      <c r="H110" s="482">
        <v>0</v>
      </c>
      <c r="I110" s="482">
        <f t="shared" si="41"/>
        <v>0</v>
      </c>
      <c r="J110" s="483"/>
      <c r="K110" s="482"/>
      <c r="L110" s="482">
        <f t="shared" si="42"/>
        <v>0</v>
      </c>
      <c r="M110" s="483"/>
      <c r="N110" s="483"/>
      <c r="O110" s="483"/>
      <c r="P110" s="483"/>
      <c r="Q110" s="483"/>
      <c r="R110" s="411"/>
    </row>
    <row r="111" spans="2:18" ht="15" customHeight="1">
      <c r="B111" s="602"/>
      <c r="C111" s="428" t="s">
        <v>24</v>
      </c>
      <c r="D111" s="484"/>
      <c r="E111" s="484"/>
      <c r="F111" s="484"/>
      <c r="G111" s="484"/>
      <c r="H111" s="484"/>
      <c r="I111" s="484"/>
      <c r="J111" s="484"/>
      <c r="K111" s="484"/>
      <c r="L111" s="484"/>
      <c r="M111" s="484"/>
      <c r="N111" s="484"/>
      <c r="O111" s="484"/>
      <c r="P111" s="484"/>
      <c r="Q111" s="484"/>
      <c r="R111" s="411"/>
    </row>
    <row r="112" spans="2:18" ht="15" customHeight="1">
      <c r="B112" s="602"/>
      <c r="C112" s="428" t="s">
        <v>24</v>
      </c>
      <c r="D112" s="484"/>
      <c r="E112" s="484"/>
      <c r="F112" s="484"/>
      <c r="G112" s="484"/>
      <c r="H112" s="484"/>
      <c r="I112" s="484"/>
      <c r="J112" s="484"/>
      <c r="K112" s="484"/>
      <c r="L112" s="484"/>
      <c r="M112" s="484"/>
      <c r="N112" s="484"/>
      <c r="O112" s="484"/>
      <c r="P112" s="484"/>
      <c r="Q112" s="484"/>
      <c r="R112" s="411"/>
    </row>
    <row r="113" spans="2:18" ht="15" customHeight="1">
      <c r="B113" s="602"/>
      <c r="C113" s="428" t="s">
        <v>24</v>
      </c>
      <c r="D113" s="484"/>
      <c r="E113" s="484"/>
      <c r="F113" s="484"/>
      <c r="G113" s="484"/>
      <c r="H113" s="484"/>
      <c r="I113" s="484"/>
      <c r="J113" s="484"/>
      <c r="K113" s="484"/>
      <c r="L113" s="484"/>
      <c r="M113" s="484"/>
      <c r="N113" s="484"/>
      <c r="O113" s="484"/>
      <c r="P113" s="484"/>
      <c r="Q113" s="484"/>
      <c r="R113" s="411"/>
    </row>
    <row r="114" spans="2:18" ht="15" customHeight="1">
      <c r="B114" s="602"/>
      <c r="C114" s="428"/>
      <c r="D114" s="484"/>
      <c r="E114" s="484"/>
      <c r="F114" s="484"/>
      <c r="G114" s="484"/>
      <c r="H114" s="484"/>
      <c r="I114" s="484"/>
      <c r="J114" s="484"/>
      <c r="K114" s="484"/>
      <c r="L114" s="484"/>
      <c r="M114" s="484"/>
      <c r="N114" s="484"/>
      <c r="O114" s="484"/>
      <c r="P114" s="484"/>
      <c r="Q114" s="484"/>
      <c r="R114" s="411"/>
    </row>
    <row r="115" spans="2:18" ht="15" customHeight="1">
      <c r="B115" s="604">
        <v>9</v>
      </c>
      <c r="C115" s="429" t="s">
        <v>272</v>
      </c>
      <c r="D115" s="484"/>
      <c r="E115" s="484"/>
      <c r="F115" s="484"/>
      <c r="G115" s="484"/>
      <c r="H115" s="484"/>
      <c r="I115" s="484"/>
      <c r="J115" s="484"/>
      <c r="K115" s="484"/>
      <c r="L115" s="484"/>
      <c r="M115" s="484"/>
      <c r="N115" s="484"/>
      <c r="O115" s="484"/>
      <c r="P115" s="484"/>
      <c r="Q115" s="484"/>
      <c r="R115" s="411"/>
    </row>
    <row r="116" spans="2:18" ht="15" customHeight="1">
      <c r="B116" s="602">
        <f t="shared" ref="B116:B123" si="44">B115+0.1</f>
        <v>9.1</v>
      </c>
      <c r="C116" s="428" t="s">
        <v>29</v>
      </c>
      <c r="D116" s="484"/>
      <c r="E116" s="484">
        <f t="shared" ref="E116:E123" si="45">E33+E43+E53+E63+E73+E83+E93+E103</f>
        <v>0</v>
      </c>
      <c r="F116" s="484"/>
      <c r="G116" s="484"/>
      <c r="H116" s="484">
        <f t="shared" ref="H116:H123" si="46">H33+H43+H53+H63+H73+H83+H93+H103</f>
        <v>0</v>
      </c>
      <c r="I116" s="484"/>
      <c r="J116" s="484"/>
      <c r="K116" s="484">
        <f t="shared" ref="K116:K123" si="47">K33+K43+K53+K63+K73+K83+K93+K103</f>
        <v>0</v>
      </c>
      <c r="L116" s="484"/>
      <c r="M116" s="484"/>
      <c r="N116" s="484">
        <f t="shared" ref="N116:N123" si="48">N33+N43+N53+N63+N73+N83+N93+N103</f>
        <v>0</v>
      </c>
      <c r="O116" s="484"/>
      <c r="P116" s="484"/>
      <c r="Q116" s="484">
        <f t="shared" ref="Q116:Q123" si="49">Q33+Q43+Q53+Q63+Q73+Q83+Q93+Q103</f>
        <v>0</v>
      </c>
      <c r="R116" s="411"/>
    </row>
    <row r="117" spans="2:18" ht="15" customHeight="1">
      <c r="B117" s="602">
        <f t="shared" si="44"/>
        <v>9.1999999999999993</v>
      </c>
      <c r="C117" s="428" t="s">
        <v>401</v>
      </c>
      <c r="D117" s="484"/>
      <c r="E117" s="484">
        <f t="shared" si="45"/>
        <v>0</v>
      </c>
      <c r="F117" s="484"/>
      <c r="G117" s="484"/>
      <c r="H117" s="484">
        <f t="shared" si="46"/>
        <v>0</v>
      </c>
      <c r="I117" s="484"/>
      <c r="J117" s="484"/>
      <c r="K117" s="484">
        <f t="shared" si="47"/>
        <v>0</v>
      </c>
      <c r="L117" s="484"/>
      <c r="M117" s="484"/>
      <c r="N117" s="484">
        <f t="shared" si="48"/>
        <v>0</v>
      </c>
      <c r="O117" s="484"/>
      <c r="P117" s="484"/>
      <c r="Q117" s="484">
        <f t="shared" si="49"/>
        <v>0</v>
      </c>
      <c r="R117" s="411"/>
    </row>
    <row r="118" spans="2:18" ht="15" customHeight="1">
      <c r="B118" s="602">
        <f t="shared" si="44"/>
        <v>9.2999999999999989</v>
      </c>
      <c r="C118" s="428" t="s">
        <v>343</v>
      </c>
      <c r="D118" s="484"/>
      <c r="E118" s="484">
        <f t="shared" si="45"/>
        <v>0</v>
      </c>
      <c r="F118" s="484"/>
      <c r="G118" s="484"/>
      <c r="H118" s="484">
        <f t="shared" si="46"/>
        <v>0</v>
      </c>
      <c r="I118" s="484"/>
      <c r="J118" s="484"/>
      <c r="K118" s="484">
        <f t="shared" si="47"/>
        <v>0</v>
      </c>
      <c r="L118" s="484"/>
      <c r="M118" s="484"/>
      <c r="N118" s="484">
        <f t="shared" si="48"/>
        <v>0</v>
      </c>
      <c r="O118" s="484"/>
      <c r="P118" s="484"/>
      <c r="Q118" s="484">
        <f t="shared" si="49"/>
        <v>0</v>
      </c>
      <c r="R118" s="411"/>
    </row>
    <row r="119" spans="2:18" ht="15" customHeight="1">
      <c r="B119" s="602">
        <f t="shared" si="44"/>
        <v>9.3999999999999986</v>
      </c>
      <c r="C119" s="428" t="s">
        <v>30</v>
      </c>
      <c r="D119" s="484"/>
      <c r="E119" s="484">
        <f t="shared" si="45"/>
        <v>0</v>
      </c>
      <c r="F119" s="484"/>
      <c r="G119" s="484"/>
      <c r="H119" s="484">
        <f t="shared" si="46"/>
        <v>0</v>
      </c>
      <c r="I119" s="484"/>
      <c r="J119" s="484"/>
      <c r="K119" s="484">
        <f t="shared" si="47"/>
        <v>0</v>
      </c>
      <c r="L119" s="484"/>
      <c r="M119" s="484"/>
      <c r="N119" s="484">
        <f t="shared" si="48"/>
        <v>0</v>
      </c>
      <c r="O119" s="484"/>
      <c r="P119" s="484"/>
      <c r="Q119" s="484">
        <f t="shared" si="49"/>
        <v>0</v>
      </c>
      <c r="R119" s="411"/>
    </row>
    <row r="120" spans="2:18" ht="15" customHeight="1">
      <c r="B120" s="602">
        <f t="shared" si="44"/>
        <v>9.4999999999999982</v>
      </c>
      <c r="C120" s="428" t="s">
        <v>31</v>
      </c>
      <c r="D120" s="484"/>
      <c r="E120" s="484">
        <f t="shared" si="45"/>
        <v>0</v>
      </c>
      <c r="F120" s="484"/>
      <c r="G120" s="484"/>
      <c r="H120" s="484">
        <f t="shared" si="46"/>
        <v>0</v>
      </c>
      <c r="I120" s="484"/>
      <c r="J120" s="484"/>
      <c r="K120" s="484">
        <f t="shared" si="47"/>
        <v>0</v>
      </c>
      <c r="L120" s="484"/>
      <c r="M120" s="484"/>
      <c r="N120" s="484">
        <f t="shared" si="48"/>
        <v>0</v>
      </c>
      <c r="O120" s="484"/>
      <c r="P120" s="484"/>
      <c r="Q120" s="484">
        <f t="shared" si="49"/>
        <v>0</v>
      </c>
      <c r="R120" s="411"/>
    </row>
    <row r="121" spans="2:18" ht="15" customHeight="1">
      <c r="B121" s="602">
        <f t="shared" si="44"/>
        <v>9.5999999999999979</v>
      </c>
      <c r="C121" s="428" t="s">
        <v>473</v>
      </c>
      <c r="D121" s="484"/>
      <c r="E121" s="484">
        <f t="shared" si="45"/>
        <v>0</v>
      </c>
      <c r="F121" s="484"/>
      <c r="G121" s="484"/>
      <c r="H121" s="484">
        <f t="shared" si="46"/>
        <v>0</v>
      </c>
      <c r="I121" s="484"/>
      <c r="J121" s="484"/>
      <c r="K121" s="484">
        <f t="shared" si="47"/>
        <v>0</v>
      </c>
      <c r="L121" s="484"/>
      <c r="M121" s="484"/>
      <c r="N121" s="484">
        <f t="shared" si="48"/>
        <v>0</v>
      </c>
      <c r="O121" s="484"/>
      <c r="P121" s="484"/>
      <c r="Q121" s="484">
        <f t="shared" si="49"/>
        <v>0</v>
      </c>
      <c r="R121" s="411"/>
    </row>
    <row r="122" spans="2:18" s="598" customFormat="1" ht="15" customHeight="1">
      <c r="B122" s="606">
        <f t="shared" si="44"/>
        <v>9.6999999999999975</v>
      </c>
      <c r="C122" s="866" t="s">
        <v>32</v>
      </c>
      <c r="D122" s="597"/>
      <c r="E122" s="595">
        <f>IFERROR(E123/E121,0)</f>
        <v>0</v>
      </c>
      <c r="F122" s="597"/>
      <c r="G122" s="597"/>
      <c r="H122" s="595">
        <f>IFERROR(H123/H121,0)</f>
        <v>0</v>
      </c>
      <c r="I122" s="597"/>
      <c r="J122" s="597"/>
      <c r="K122" s="597" t="e">
        <f t="shared" si="47"/>
        <v>#DIV/0!</v>
      </c>
      <c r="L122" s="597"/>
      <c r="M122" s="597"/>
      <c r="N122" s="597" t="e">
        <f t="shared" si="48"/>
        <v>#DIV/0!</v>
      </c>
      <c r="O122" s="597"/>
      <c r="P122" s="597"/>
      <c r="Q122" s="597" t="e">
        <f t="shared" si="49"/>
        <v>#DIV/0!</v>
      </c>
      <c r="R122" s="597"/>
    </row>
    <row r="123" spans="2:18" ht="15" customHeight="1">
      <c r="B123" s="602">
        <f t="shared" si="44"/>
        <v>9.7999999999999972</v>
      </c>
      <c r="C123" s="428" t="s">
        <v>33</v>
      </c>
      <c r="D123" s="484"/>
      <c r="E123" s="484">
        <f t="shared" si="45"/>
        <v>0</v>
      </c>
      <c r="F123" s="484"/>
      <c r="G123" s="484"/>
      <c r="H123" s="484">
        <f t="shared" si="46"/>
        <v>0</v>
      </c>
      <c r="I123" s="484"/>
      <c r="J123" s="484"/>
      <c r="K123" s="484">
        <f t="shared" si="47"/>
        <v>0</v>
      </c>
      <c r="L123" s="484"/>
      <c r="M123" s="484"/>
      <c r="N123" s="484">
        <f t="shared" si="48"/>
        <v>0</v>
      </c>
      <c r="O123" s="484"/>
      <c r="P123" s="484"/>
      <c r="Q123" s="484">
        <f t="shared" si="49"/>
        <v>0</v>
      </c>
      <c r="R123" s="411"/>
    </row>
    <row r="124" spans="2:18" ht="15" customHeight="1">
      <c r="B124" s="602"/>
      <c r="C124" s="428"/>
      <c r="D124" s="484"/>
      <c r="E124" s="615"/>
      <c r="F124" s="484"/>
      <c r="G124" s="484"/>
      <c r="H124" s="615"/>
      <c r="I124" s="484"/>
      <c r="J124" s="484"/>
      <c r="K124" s="484"/>
      <c r="L124" s="484"/>
      <c r="M124" s="484"/>
      <c r="N124" s="484"/>
      <c r="O124" s="484"/>
      <c r="P124" s="484"/>
      <c r="Q124" s="484"/>
      <c r="R124" s="411"/>
    </row>
    <row r="125" spans="2:18" ht="15" customHeight="1">
      <c r="B125" s="602"/>
      <c r="C125" s="428"/>
      <c r="D125" s="484"/>
      <c r="E125" s="484"/>
      <c r="F125" s="484"/>
      <c r="G125" s="484"/>
      <c r="H125" s="484"/>
      <c r="I125" s="484"/>
      <c r="J125" s="484"/>
      <c r="K125" s="484"/>
      <c r="L125" s="484"/>
      <c r="M125" s="484"/>
      <c r="N125" s="484"/>
      <c r="O125" s="484"/>
      <c r="P125" s="484"/>
      <c r="Q125" s="484"/>
      <c r="R125" s="411"/>
    </row>
    <row r="126" spans="2:18" s="22" customFormat="1" ht="15" customHeight="1">
      <c r="B126" s="604">
        <v>10</v>
      </c>
      <c r="C126" s="429" t="s">
        <v>34</v>
      </c>
      <c r="D126" s="485"/>
      <c r="E126" s="485">
        <f>E123</f>
        <v>0</v>
      </c>
      <c r="F126" s="485"/>
      <c r="G126" s="485"/>
      <c r="H126" s="485">
        <f>H123</f>
        <v>0</v>
      </c>
      <c r="I126" s="485"/>
      <c r="J126" s="485"/>
      <c r="K126" s="485">
        <f>K123</f>
        <v>0</v>
      </c>
      <c r="L126" s="485"/>
      <c r="M126" s="485"/>
      <c r="N126" s="485">
        <f>N123</f>
        <v>0</v>
      </c>
      <c r="O126" s="485"/>
      <c r="P126" s="485"/>
      <c r="Q126" s="485">
        <f>Q123</f>
        <v>0</v>
      </c>
      <c r="R126" s="424"/>
    </row>
    <row r="127" spans="2:18" ht="15" customHeight="1">
      <c r="B127" s="602">
        <v>11</v>
      </c>
      <c r="C127" s="430" t="s">
        <v>35</v>
      </c>
      <c r="D127" s="484"/>
      <c r="E127" s="484"/>
      <c r="F127" s="484"/>
      <c r="G127" s="484"/>
      <c r="H127" s="484"/>
      <c r="I127" s="484"/>
      <c r="J127" s="484"/>
      <c r="K127" s="484"/>
      <c r="L127" s="484"/>
      <c r="M127" s="484"/>
      <c r="N127" s="484"/>
      <c r="O127" s="484"/>
      <c r="P127" s="484"/>
      <c r="Q127" s="484"/>
      <c r="R127" s="411"/>
    </row>
    <row r="128" spans="2:18" s="314" customFormat="1" ht="15" customHeight="1">
      <c r="B128" s="607">
        <v>12</v>
      </c>
      <c r="C128" s="431" t="s">
        <v>36</v>
      </c>
      <c r="D128" s="484"/>
      <c r="E128" s="484">
        <f>E126-E127</f>
        <v>0</v>
      </c>
      <c r="F128" s="484"/>
      <c r="G128" s="484"/>
      <c r="H128" s="484">
        <f>H126-H127</f>
        <v>0</v>
      </c>
      <c r="I128" s="484"/>
      <c r="J128" s="484"/>
      <c r="K128" s="484">
        <f>K126-K127</f>
        <v>0</v>
      </c>
      <c r="L128" s="484"/>
      <c r="M128" s="484"/>
      <c r="N128" s="484">
        <f>N126-N127</f>
        <v>0</v>
      </c>
      <c r="O128" s="484"/>
      <c r="P128" s="484"/>
      <c r="Q128" s="484">
        <f>Q126-Q127</f>
        <v>0</v>
      </c>
      <c r="R128" s="411"/>
    </row>
    <row r="129" spans="2:18" ht="15" customHeight="1">
      <c r="B129" s="602"/>
      <c r="C129" s="432"/>
      <c r="D129" s="484"/>
      <c r="E129" s="484"/>
      <c r="F129" s="484"/>
      <c r="G129" s="484"/>
      <c r="H129" s="484"/>
      <c r="I129" s="484"/>
      <c r="J129" s="484"/>
      <c r="K129" s="484"/>
      <c r="L129" s="484"/>
      <c r="M129" s="484"/>
      <c r="N129" s="484"/>
      <c r="O129" s="484"/>
      <c r="P129" s="484"/>
      <c r="Q129" s="484"/>
      <c r="R129" s="411"/>
    </row>
    <row r="130" spans="2:18">
      <c r="B130" s="608"/>
      <c r="C130" s="433"/>
      <c r="D130" s="433"/>
      <c r="E130" s="433"/>
      <c r="F130" s="433"/>
      <c r="G130" s="433"/>
      <c r="H130" s="434"/>
      <c r="I130" s="434"/>
      <c r="J130" s="219"/>
      <c r="L130" s="219"/>
      <c r="M130" s="219"/>
      <c r="N130" s="23"/>
      <c r="O130" s="23"/>
      <c r="P130" s="23"/>
      <c r="Q130" s="23"/>
    </row>
    <row r="131" spans="2:18">
      <c r="B131" s="608"/>
      <c r="C131" s="1850" t="s">
        <v>144</v>
      </c>
      <c r="D131" s="1850"/>
      <c r="E131" s="1850"/>
      <c r="F131" s="1850"/>
      <c r="G131" s="1850"/>
      <c r="H131" s="434"/>
      <c r="I131" s="434"/>
      <c r="J131" s="219"/>
      <c r="L131" s="219"/>
      <c r="M131" s="219"/>
      <c r="N131" s="23"/>
      <c r="O131" s="23"/>
      <c r="P131" s="23"/>
      <c r="Q131" s="23"/>
    </row>
    <row r="132" spans="2:18">
      <c r="C132" s="426" t="s">
        <v>490</v>
      </c>
    </row>
    <row r="134" spans="2:18" ht="17.5">
      <c r="C134" s="709" t="s">
        <v>784</v>
      </c>
      <c r="D134" s="435"/>
      <c r="E134" s="435"/>
      <c r="F134" s="435"/>
      <c r="G134" s="435"/>
    </row>
    <row r="135" spans="2:18">
      <c r="O135" s="21"/>
      <c r="P135" s="21"/>
      <c r="Q135" s="21" t="s">
        <v>10</v>
      </c>
    </row>
    <row r="136" spans="2:18" ht="15" customHeight="1">
      <c r="B136" s="1854" t="s">
        <v>344</v>
      </c>
      <c r="C136" s="1861" t="s">
        <v>26</v>
      </c>
      <c r="D136" s="1795" t="s">
        <v>509</v>
      </c>
      <c r="E136" s="1796"/>
      <c r="F136" s="1797"/>
      <c r="G136" s="1795" t="s">
        <v>510</v>
      </c>
      <c r="H136" s="1796"/>
      <c r="I136" s="1797"/>
      <c r="J136" s="1795" t="s">
        <v>511</v>
      </c>
      <c r="K136" s="1796"/>
      <c r="L136" s="1797"/>
      <c r="M136" s="1681" t="s">
        <v>946</v>
      </c>
      <c r="N136" s="1681"/>
      <c r="O136" s="1681"/>
      <c r="P136" s="1681"/>
      <c r="Q136" s="1681"/>
      <c r="R136" s="1691" t="s">
        <v>27</v>
      </c>
    </row>
    <row r="137" spans="2:18" ht="28">
      <c r="B137" s="1854"/>
      <c r="C137" s="1861"/>
      <c r="D137" s="436" t="s">
        <v>451</v>
      </c>
      <c r="E137" s="437" t="s">
        <v>79</v>
      </c>
      <c r="F137" s="437" t="s">
        <v>452</v>
      </c>
      <c r="G137" s="436" t="s">
        <v>451</v>
      </c>
      <c r="H137" s="437" t="s">
        <v>79</v>
      </c>
      <c r="I137" s="437" t="s">
        <v>452</v>
      </c>
      <c r="J137" s="407" t="s">
        <v>451</v>
      </c>
      <c r="K137" s="407" t="s">
        <v>80</v>
      </c>
      <c r="L137" s="407" t="s">
        <v>453</v>
      </c>
      <c r="M137" s="802" t="s">
        <v>947</v>
      </c>
      <c r="N137" s="802" t="s">
        <v>948</v>
      </c>
      <c r="O137" s="802" t="s">
        <v>949</v>
      </c>
      <c r="P137" s="802" t="s">
        <v>950</v>
      </c>
      <c r="Q137" s="802" t="s">
        <v>951</v>
      </c>
      <c r="R137" s="1691"/>
    </row>
    <row r="138" spans="2:18">
      <c r="B138" s="605"/>
      <c r="C138" s="438"/>
      <c r="D138" s="437" t="s">
        <v>81</v>
      </c>
      <c r="E138" s="437" t="s">
        <v>82</v>
      </c>
      <c r="F138" s="437" t="s">
        <v>644</v>
      </c>
      <c r="G138" s="437" t="s">
        <v>392</v>
      </c>
      <c r="H138" s="437" t="s">
        <v>410</v>
      </c>
      <c r="I138" s="437" t="s">
        <v>457</v>
      </c>
      <c r="J138" s="803" t="s">
        <v>411</v>
      </c>
      <c r="K138" s="803" t="s">
        <v>412</v>
      </c>
      <c r="L138" s="803" t="s">
        <v>513</v>
      </c>
      <c r="M138" s="801" t="s">
        <v>21</v>
      </c>
      <c r="N138" s="801" t="s">
        <v>21</v>
      </c>
      <c r="O138" s="801" t="s">
        <v>21</v>
      </c>
      <c r="P138" s="801" t="s">
        <v>21</v>
      </c>
      <c r="Q138" s="801" t="s">
        <v>21</v>
      </c>
      <c r="R138" s="1692"/>
    </row>
    <row r="139" spans="2:18">
      <c r="B139" s="604">
        <v>1</v>
      </c>
      <c r="C139" s="429" t="s">
        <v>1407</v>
      </c>
      <c r="D139" s="429"/>
      <c r="E139" s="429"/>
      <c r="F139" s="429"/>
      <c r="G139" s="429"/>
      <c r="H139" s="439"/>
      <c r="I139" s="439"/>
      <c r="J139" s="408"/>
      <c r="K139" s="409"/>
      <c r="L139" s="408"/>
      <c r="M139" s="408"/>
      <c r="N139" s="410"/>
      <c r="O139" s="410"/>
      <c r="P139" s="410"/>
      <c r="Q139" s="410"/>
      <c r="R139" s="408"/>
    </row>
    <row r="140" spans="2:18">
      <c r="B140" s="602">
        <v>1.1000000000000001</v>
      </c>
      <c r="C140" s="428" t="s">
        <v>29</v>
      </c>
      <c r="D140" s="482"/>
      <c r="E140" s="482">
        <v>1.2243516999999999</v>
      </c>
      <c r="F140" s="482">
        <f>E140-D140</f>
        <v>1.2243516999999999</v>
      </c>
      <c r="G140" s="482"/>
      <c r="H140" s="482">
        <v>2.3513517000000004</v>
      </c>
      <c r="I140" s="482">
        <f>H140-G140</f>
        <v>2.3513517000000004</v>
      </c>
      <c r="J140" s="483"/>
      <c r="K140" s="482"/>
      <c r="L140" s="482">
        <f>K140-J140</f>
        <v>0</v>
      </c>
      <c r="M140" s="483"/>
      <c r="N140" s="483"/>
      <c r="O140" s="483"/>
      <c r="P140" s="483"/>
      <c r="Q140" s="483"/>
      <c r="R140" s="411"/>
    </row>
    <row r="141" spans="2:18">
      <c r="B141" s="602">
        <f t="shared" ref="B141:B147" si="50">B140+0.1</f>
        <v>1.2000000000000002</v>
      </c>
      <c r="C141" s="428" t="s">
        <v>401</v>
      </c>
      <c r="D141" s="482"/>
      <c r="E141" s="482">
        <v>0</v>
      </c>
      <c r="F141" s="482">
        <f t="shared" ref="F141:F147" si="51">E141-D141</f>
        <v>0</v>
      </c>
      <c r="G141" s="482"/>
      <c r="H141" s="482">
        <v>0</v>
      </c>
      <c r="I141" s="482">
        <f t="shared" ref="I141:I147" si="52">H141-G141</f>
        <v>0</v>
      </c>
      <c r="J141" s="483"/>
      <c r="K141" s="482"/>
      <c r="L141" s="482">
        <f t="shared" ref="L141:L147" si="53">K141-J141</f>
        <v>0</v>
      </c>
      <c r="M141" s="483"/>
      <c r="N141" s="483"/>
      <c r="O141" s="483"/>
      <c r="P141" s="483"/>
      <c r="Q141" s="483"/>
      <c r="R141" s="411"/>
    </row>
    <row r="142" spans="2:18">
      <c r="B142" s="602">
        <f t="shared" si="50"/>
        <v>1.3000000000000003</v>
      </c>
      <c r="C142" s="428" t="s">
        <v>343</v>
      </c>
      <c r="D142" s="482"/>
      <c r="E142" s="482">
        <v>1.127</v>
      </c>
      <c r="F142" s="482">
        <f t="shared" si="51"/>
        <v>1.127</v>
      </c>
      <c r="G142" s="482"/>
      <c r="H142" s="482">
        <v>1.2727534</v>
      </c>
      <c r="I142" s="482">
        <f t="shared" si="52"/>
        <v>1.2727534</v>
      </c>
      <c r="J142" s="483"/>
      <c r="K142" s="482"/>
      <c r="L142" s="482">
        <f t="shared" si="53"/>
        <v>0</v>
      </c>
      <c r="M142" s="483"/>
      <c r="N142" s="483"/>
      <c r="O142" s="483"/>
      <c r="P142" s="483"/>
      <c r="Q142" s="483"/>
      <c r="R142" s="411"/>
    </row>
    <row r="143" spans="2:18">
      <c r="B143" s="602">
        <f t="shared" si="50"/>
        <v>1.4000000000000004</v>
      </c>
      <c r="C143" s="428" t="s">
        <v>30</v>
      </c>
      <c r="D143" s="482"/>
      <c r="E143" s="482">
        <v>0</v>
      </c>
      <c r="F143" s="482">
        <f t="shared" si="51"/>
        <v>0</v>
      </c>
      <c r="G143" s="482"/>
      <c r="H143" s="482">
        <v>0</v>
      </c>
      <c r="I143" s="482">
        <f t="shared" si="52"/>
        <v>0</v>
      </c>
      <c r="J143" s="483"/>
      <c r="K143" s="482"/>
      <c r="L143" s="482">
        <f t="shared" si="53"/>
        <v>0</v>
      </c>
      <c r="M143" s="483"/>
      <c r="N143" s="483"/>
      <c r="O143" s="483"/>
      <c r="P143" s="483"/>
      <c r="Q143" s="483"/>
      <c r="R143" s="411"/>
    </row>
    <row r="144" spans="2:18">
      <c r="B144" s="602">
        <f t="shared" si="50"/>
        <v>1.5000000000000004</v>
      </c>
      <c r="C144" s="428" t="s">
        <v>31</v>
      </c>
      <c r="D144" s="482"/>
      <c r="E144" s="482">
        <f>+E140-E141+E142-E143</f>
        <v>2.3513516999999999</v>
      </c>
      <c r="F144" s="482">
        <f t="shared" si="51"/>
        <v>2.3513516999999999</v>
      </c>
      <c r="G144" s="482"/>
      <c r="H144" s="482">
        <f>+H140-H141+H142-H143</f>
        <v>3.6241051000000004</v>
      </c>
      <c r="I144" s="482">
        <f t="shared" si="52"/>
        <v>3.6241051000000004</v>
      </c>
      <c r="J144" s="483"/>
      <c r="K144" s="483">
        <f>+J140-J141+J142-J143</f>
        <v>0</v>
      </c>
      <c r="L144" s="482">
        <f t="shared" si="53"/>
        <v>0</v>
      </c>
      <c r="M144" s="483"/>
      <c r="N144" s="483">
        <f>+M140-M141+M142-M143</f>
        <v>0</v>
      </c>
      <c r="O144" s="483"/>
      <c r="P144" s="483"/>
      <c r="Q144" s="483">
        <f>+O140-O141+O142-O143</f>
        <v>0</v>
      </c>
      <c r="R144" s="411"/>
    </row>
    <row r="145" spans="2:18">
      <c r="B145" s="602">
        <f t="shared" si="50"/>
        <v>1.6000000000000005</v>
      </c>
      <c r="C145" s="428" t="s">
        <v>473</v>
      </c>
      <c r="D145" s="482"/>
      <c r="E145" s="442">
        <f>AVERAGE(E140,E144)</f>
        <v>1.7878517</v>
      </c>
      <c r="F145" s="482">
        <f t="shared" si="51"/>
        <v>1.7878517</v>
      </c>
      <c r="G145" s="482"/>
      <c r="H145" s="442">
        <f>AVERAGE(H140,H144)</f>
        <v>2.9877284000000004</v>
      </c>
      <c r="I145" s="482">
        <f t="shared" si="52"/>
        <v>2.9877284000000004</v>
      </c>
      <c r="J145" s="483"/>
      <c r="K145" s="482"/>
      <c r="L145" s="482">
        <f t="shared" si="53"/>
        <v>0</v>
      </c>
      <c r="M145" s="483"/>
      <c r="N145" s="483"/>
      <c r="O145" s="483"/>
      <c r="P145" s="483"/>
      <c r="Q145" s="483"/>
      <c r="R145" s="411"/>
    </row>
    <row r="146" spans="2:18" s="598" customFormat="1">
      <c r="B146" s="606">
        <f t="shared" si="50"/>
        <v>1.7000000000000006</v>
      </c>
      <c r="C146" s="594" t="s">
        <v>32</v>
      </c>
      <c r="D146" s="595"/>
      <c r="E146" s="595">
        <f>IFERROR(E147/E145,0)</f>
        <v>9.764394888010007E-2</v>
      </c>
      <c r="F146" s="595">
        <f>F147/F145</f>
        <v>9.764394888010007E-2</v>
      </c>
      <c r="G146" s="595"/>
      <c r="H146" s="595">
        <f>IFERROR(H147/H145,0)</f>
        <v>0.11197535281594509</v>
      </c>
      <c r="I146" s="595">
        <f>I147/I145</f>
        <v>0.11197535281594509</v>
      </c>
      <c r="J146" s="596"/>
      <c r="K146" s="596" t="e">
        <f>J147/K145</f>
        <v>#DIV/0!</v>
      </c>
      <c r="L146" s="595" t="e">
        <f>L147/L145</f>
        <v>#DIV/0!</v>
      </c>
      <c r="M146" s="596"/>
      <c r="N146" s="596" t="e">
        <f>M147/N145</f>
        <v>#DIV/0!</v>
      </c>
      <c r="O146" s="596"/>
      <c r="P146" s="596"/>
      <c r="Q146" s="596" t="e">
        <f>O147/Q145</f>
        <v>#DIV/0!</v>
      </c>
      <c r="R146" s="597"/>
    </row>
    <row r="147" spans="2:18">
      <c r="B147" s="602">
        <f t="shared" si="50"/>
        <v>1.8000000000000007</v>
      </c>
      <c r="C147" s="428" t="s">
        <v>33</v>
      </c>
      <c r="D147" s="482"/>
      <c r="E147" s="482">
        <v>0.1745729</v>
      </c>
      <c r="F147" s="482">
        <f t="shared" si="51"/>
        <v>0.1745729</v>
      </c>
      <c r="G147" s="482"/>
      <c r="H147" s="482">
        <v>0.33455194170821917</v>
      </c>
      <c r="I147" s="482">
        <f t="shared" si="52"/>
        <v>0.33455194170821917</v>
      </c>
      <c r="J147" s="483"/>
      <c r="K147" s="482"/>
      <c r="L147" s="482">
        <f t="shared" si="53"/>
        <v>0</v>
      </c>
      <c r="M147" s="483"/>
      <c r="N147" s="483"/>
      <c r="O147" s="483"/>
      <c r="P147" s="483"/>
      <c r="Q147" s="483"/>
      <c r="R147" s="411"/>
    </row>
    <row r="148" spans="2:18">
      <c r="B148" s="602"/>
      <c r="C148" s="428"/>
      <c r="D148" s="482"/>
      <c r="E148" s="482"/>
      <c r="F148" s="482"/>
      <c r="G148" s="482"/>
      <c r="H148" s="482"/>
      <c r="I148" s="482"/>
      <c r="J148" s="483"/>
      <c r="K148" s="482"/>
      <c r="L148" s="482"/>
      <c r="M148" s="483"/>
      <c r="N148" s="483"/>
      <c r="O148" s="483"/>
      <c r="P148" s="483"/>
      <c r="Q148" s="483"/>
      <c r="R148" s="411"/>
    </row>
    <row r="149" spans="2:18">
      <c r="B149" s="604">
        <v>2</v>
      </c>
      <c r="C149" s="429" t="s">
        <v>1408</v>
      </c>
      <c r="D149" s="482"/>
      <c r="E149" s="482"/>
      <c r="F149" s="482"/>
      <c r="G149" s="482"/>
      <c r="H149" s="482"/>
      <c r="I149" s="482"/>
      <c r="J149" s="483"/>
      <c r="K149" s="482"/>
      <c r="L149" s="482"/>
      <c r="M149" s="483"/>
      <c r="N149" s="483"/>
      <c r="O149" s="483"/>
      <c r="P149" s="483"/>
      <c r="Q149" s="483"/>
      <c r="R149" s="411"/>
    </row>
    <row r="150" spans="2:18">
      <c r="B150" s="602">
        <f t="shared" ref="B150:B157" si="54">B149+0.1</f>
        <v>2.1</v>
      </c>
      <c r="C150" s="428" t="s">
        <v>29</v>
      </c>
      <c r="D150" s="482"/>
      <c r="E150" s="482">
        <v>0</v>
      </c>
      <c r="F150" s="482">
        <f t="shared" ref="F150:F157" si="55">E150-D150</f>
        <v>0</v>
      </c>
      <c r="G150" s="482"/>
      <c r="H150" s="482">
        <v>0</v>
      </c>
      <c r="I150" s="482">
        <f t="shared" ref="I150:I157" si="56">H150-G150</f>
        <v>0</v>
      </c>
      <c r="J150" s="483"/>
      <c r="K150" s="482"/>
      <c r="L150" s="482">
        <f t="shared" ref="L150:L157" si="57">K150-J150</f>
        <v>0</v>
      </c>
      <c r="M150" s="483"/>
      <c r="N150" s="483"/>
      <c r="O150" s="483"/>
      <c r="P150" s="483"/>
      <c r="Q150" s="483"/>
      <c r="R150" s="411"/>
    </row>
    <row r="151" spans="2:18">
      <c r="B151" s="602">
        <f t="shared" si="54"/>
        <v>2.2000000000000002</v>
      </c>
      <c r="C151" s="428" t="s">
        <v>401</v>
      </c>
      <c r="D151" s="482"/>
      <c r="E151" s="482">
        <v>0</v>
      </c>
      <c r="F151" s="482">
        <f t="shared" si="55"/>
        <v>0</v>
      </c>
      <c r="G151" s="482"/>
      <c r="H151" s="482">
        <v>0</v>
      </c>
      <c r="I151" s="482">
        <f t="shared" si="56"/>
        <v>0</v>
      </c>
      <c r="J151" s="483"/>
      <c r="K151" s="482"/>
      <c r="L151" s="482">
        <f t="shared" si="57"/>
        <v>0</v>
      </c>
      <c r="M151" s="483"/>
      <c r="N151" s="483"/>
      <c r="O151" s="483"/>
      <c r="P151" s="483"/>
      <c r="Q151" s="483"/>
      <c r="R151" s="411"/>
    </row>
    <row r="152" spans="2:18">
      <c r="B152" s="602">
        <f t="shared" si="54"/>
        <v>2.3000000000000003</v>
      </c>
      <c r="C152" s="428" t="s">
        <v>343</v>
      </c>
      <c r="D152" s="482"/>
      <c r="E152" s="482">
        <v>0</v>
      </c>
      <c r="F152" s="482">
        <f t="shared" si="55"/>
        <v>0</v>
      </c>
      <c r="G152" s="482"/>
      <c r="H152" s="482">
        <v>0</v>
      </c>
      <c r="I152" s="482">
        <f t="shared" si="56"/>
        <v>0</v>
      </c>
      <c r="J152" s="483"/>
      <c r="K152" s="482"/>
      <c r="L152" s="482">
        <f t="shared" si="57"/>
        <v>0</v>
      </c>
      <c r="M152" s="483"/>
      <c r="N152" s="483"/>
      <c r="O152" s="483"/>
      <c r="P152" s="483"/>
      <c r="Q152" s="483"/>
      <c r="R152" s="411"/>
    </row>
    <row r="153" spans="2:18">
      <c r="B153" s="602">
        <f t="shared" si="54"/>
        <v>2.4000000000000004</v>
      </c>
      <c r="C153" s="428" t="s">
        <v>30</v>
      </c>
      <c r="D153" s="482"/>
      <c r="E153" s="482">
        <v>0</v>
      </c>
      <c r="F153" s="482">
        <f t="shared" si="55"/>
        <v>0</v>
      </c>
      <c r="G153" s="482"/>
      <c r="H153" s="482">
        <v>0</v>
      </c>
      <c r="I153" s="482">
        <f t="shared" si="56"/>
        <v>0</v>
      </c>
      <c r="J153" s="483"/>
      <c r="K153" s="482"/>
      <c r="L153" s="482">
        <f t="shared" si="57"/>
        <v>0</v>
      </c>
      <c r="M153" s="483"/>
      <c r="N153" s="483"/>
      <c r="O153" s="483"/>
      <c r="P153" s="483"/>
      <c r="Q153" s="483"/>
      <c r="R153" s="411"/>
    </row>
    <row r="154" spans="2:18">
      <c r="B154" s="602">
        <f t="shared" si="54"/>
        <v>2.5000000000000004</v>
      </c>
      <c r="C154" s="428" t="s">
        <v>31</v>
      </c>
      <c r="D154" s="482"/>
      <c r="E154" s="482">
        <f>+E150-E151+E152-E153</f>
        <v>0</v>
      </c>
      <c r="F154" s="482">
        <f t="shared" si="55"/>
        <v>0</v>
      </c>
      <c r="G154" s="482"/>
      <c r="H154" s="482">
        <f>+H150-H151+H152-H153</f>
        <v>0</v>
      </c>
      <c r="I154" s="482">
        <f t="shared" si="56"/>
        <v>0</v>
      </c>
      <c r="J154" s="483"/>
      <c r="K154" s="483">
        <f>+J150-J151+J152-J153</f>
        <v>0</v>
      </c>
      <c r="L154" s="482">
        <f t="shared" si="57"/>
        <v>0</v>
      </c>
      <c r="M154" s="483"/>
      <c r="N154" s="483">
        <f>+M150-M151+M152-M153</f>
        <v>0</v>
      </c>
      <c r="O154" s="483"/>
      <c r="P154" s="483"/>
      <c r="Q154" s="483">
        <f>+O150-O151+O152-O153</f>
        <v>0</v>
      </c>
      <c r="R154" s="411"/>
    </row>
    <row r="155" spans="2:18">
      <c r="B155" s="602">
        <f t="shared" si="54"/>
        <v>2.6000000000000005</v>
      </c>
      <c r="C155" s="428" t="s">
        <v>473</v>
      </c>
      <c r="D155" s="482"/>
      <c r="E155" s="442">
        <f>AVERAGE(E150,E154)</f>
        <v>0</v>
      </c>
      <c r="F155" s="482">
        <f t="shared" si="55"/>
        <v>0</v>
      </c>
      <c r="G155" s="482"/>
      <c r="H155" s="442">
        <f>AVERAGE(H150,H154)</f>
        <v>0</v>
      </c>
      <c r="I155" s="482">
        <f t="shared" si="56"/>
        <v>0</v>
      </c>
      <c r="J155" s="483"/>
      <c r="K155" s="482"/>
      <c r="L155" s="482">
        <f t="shared" si="57"/>
        <v>0</v>
      </c>
      <c r="M155" s="483"/>
      <c r="N155" s="483"/>
      <c r="O155" s="483"/>
      <c r="P155" s="483"/>
      <c r="Q155" s="483"/>
      <c r="R155" s="411"/>
    </row>
    <row r="156" spans="2:18" s="598" customFormat="1">
      <c r="B156" s="606">
        <f t="shared" si="54"/>
        <v>2.7000000000000006</v>
      </c>
      <c r="C156" s="594" t="s">
        <v>32</v>
      </c>
      <c r="D156" s="595"/>
      <c r="E156" s="595">
        <f>IFERROR(E157/E155,0)</f>
        <v>0</v>
      </c>
      <c r="F156" s="595" t="e">
        <f>F157/F155</f>
        <v>#DIV/0!</v>
      </c>
      <c r="G156" s="595"/>
      <c r="H156" s="595">
        <f>IFERROR(H157/H155,0)</f>
        <v>0</v>
      </c>
      <c r="I156" s="595" t="e">
        <f>I157/I155</f>
        <v>#DIV/0!</v>
      </c>
      <c r="J156" s="596"/>
      <c r="K156" s="596" t="e">
        <f>J157/K155</f>
        <v>#DIV/0!</v>
      </c>
      <c r="L156" s="595" t="e">
        <f>L157/L155</f>
        <v>#DIV/0!</v>
      </c>
      <c r="M156" s="596"/>
      <c r="N156" s="596" t="e">
        <f>M157/N155</f>
        <v>#DIV/0!</v>
      </c>
      <c r="O156" s="596"/>
      <c r="P156" s="596"/>
      <c r="Q156" s="596" t="e">
        <f>O157/Q155</f>
        <v>#DIV/0!</v>
      </c>
      <c r="R156" s="597"/>
    </row>
    <row r="157" spans="2:18">
      <c r="B157" s="602">
        <f t="shared" si="54"/>
        <v>2.8000000000000007</v>
      </c>
      <c r="C157" s="428" t="s">
        <v>33</v>
      </c>
      <c r="D157" s="482"/>
      <c r="E157" s="482">
        <v>0</v>
      </c>
      <c r="F157" s="482">
        <f t="shared" si="55"/>
        <v>0</v>
      </c>
      <c r="G157" s="482"/>
      <c r="H157" s="482">
        <v>0</v>
      </c>
      <c r="I157" s="482">
        <f t="shared" si="56"/>
        <v>0</v>
      </c>
      <c r="J157" s="483"/>
      <c r="K157" s="482"/>
      <c r="L157" s="482">
        <f t="shared" si="57"/>
        <v>0</v>
      </c>
      <c r="M157" s="483"/>
      <c r="N157" s="483"/>
      <c r="O157" s="483"/>
      <c r="P157" s="483"/>
      <c r="Q157" s="483"/>
      <c r="R157" s="411"/>
    </row>
    <row r="158" spans="2:18">
      <c r="B158" s="602"/>
      <c r="C158" s="428"/>
      <c r="D158" s="482"/>
      <c r="E158" s="482"/>
      <c r="F158" s="482"/>
      <c r="G158" s="482"/>
      <c r="H158" s="482"/>
      <c r="I158" s="482"/>
      <c r="J158" s="483"/>
      <c r="K158" s="482"/>
      <c r="L158" s="482"/>
      <c r="M158" s="483"/>
      <c r="N158" s="483"/>
      <c r="O158" s="483"/>
      <c r="P158" s="483"/>
      <c r="Q158" s="483"/>
      <c r="R158" s="411"/>
    </row>
    <row r="159" spans="2:18">
      <c r="B159" s="604">
        <v>3</v>
      </c>
      <c r="C159" s="429" t="s">
        <v>1401</v>
      </c>
      <c r="D159" s="482"/>
      <c r="E159" s="482"/>
      <c r="F159" s="482"/>
      <c r="G159" s="482"/>
      <c r="H159" s="482"/>
      <c r="I159" s="482"/>
      <c r="J159" s="483"/>
      <c r="K159" s="482"/>
      <c r="L159" s="482"/>
      <c r="M159" s="483"/>
      <c r="N159" s="483"/>
      <c r="O159" s="483"/>
      <c r="P159" s="483"/>
      <c r="Q159" s="483"/>
      <c r="R159" s="411"/>
    </row>
    <row r="160" spans="2:18">
      <c r="B160" s="602">
        <f>B159+0.1</f>
        <v>3.1</v>
      </c>
      <c r="C160" s="428" t="s">
        <v>29</v>
      </c>
      <c r="D160" s="482"/>
      <c r="E160" s="482">
        <v>2254.6529354530003</v>
      </c>
      <c r="F160" s="482">
        <f t="shared" ref="F160:F167" si="58">E160-D160</f>
        <v>2254.6529354530003</v>
      </c>
      <c r="G160" s="482"/>
      <c r="H160" s="482">
        <v>1814.3102024090006</v>
      </c>
      <c r="I160" s="482">
        <f t="shared" ref="I160:I167" si="59">H160-G160</f>
        <v>1814.3102024090006</v>
      </c>
      <c r="J160" s="483"/>
      <c r="K160" s="482"/>
      <c r="L160" s="482">
        <f t="shared" ref="L160:L167" si="60">K160-J160</f>
        <v>0</v>
      </c>
      <c r="M160" s="483"/>
      <c r="N160" s="483"/>
      <c r="O160" s="483"/>
      <c r="P160" s="483"/>
      <c r="Q160" s="483"/>
      <c r="R160" s="411"/>
    </row>
    <row r="161" spans="2:18">
      <c r="B161" s="602">
        <f t="shared" ref="B161:B167" si="61">B160+0.1</f>
        <v>3.2</v>
      </c>
      <c r="C161" s="428" t="s">
        <v>401</v>
      </c>
      <c r="D161" s="482"/>
      <c r="E161" s="482">
        <v>0</v>
      </c>
      <c r="F161" s="482">
        <f t="shared" si="58"/>
        <v>0</v>
      </c>
      <c r="G161" s="482"/>
      <c r="H161" s="482">
        <v>0</v>
      </c>
      <c r="I161" s="482">
        <f t="shared" si="59"/>
        <v>0</v>
      </c>
      <c r="J161" s="483"/>
      <c r="K161" s="482"/>
      <c r="L161" s="482">
        <f t="shared" si="60"/>
        <v>0</v>
      </c>
      <c r="M161" s="483"/>
      <c r="N161" s="483"/>
      <c r="O161" s="483"/>
      <c r="P161" s="483"/>
      <c r="Q161" s="483"/>
      <c r="R161" s="411"/>
    </row>
    <row r="162" spans="2:18">
      <c r="B162" s="602">
        <f t="shared" si="61"/>
        <v>3.3000000000000003</v>
      </c>
      <c r="C162" s="428" t="s">
        <v>343</v>
      </c>
      <c r="D162" s="482"/>
      <c r="E162" s="482">
        <v>1.6228990999999999</v>
      </c>
      <c r="F162" s="482">
        <f t="shared" si="58"/>
        <v>1.6228990999999999</v>
      </c>
      <c r="G162" s="482"/>
      <c r="H162" s="482">
        <v>3.0969990000000003</v>
      </c>
      <c r="I162" s="482">
        <f t="shared" si="59"/>
        <v>3.0969990000000003</v>
      </c>
      <c r="J162" s="483"/>
      <c r="K162" s="482"/>
      <c r="L162" s="482">
        <f t="shared" si="60"/>
        <v>0</v>
      </c>
      <c r="M162" s="483"/>
      <c r="N162" s="483"/>
      <c r="O162" s="483"/>
      <c r="P162" s="483"/>
      <c r="Q162" s="483"/>
      <c r="R162" s="411"/>
    </row>
    <row r="163" spans="2:18">
      <c r="B163" s="602">
        <f t="shared" si="61"/>
        <v>3.4000000000000004</v>
      </c>
      <c r="C163" s="428" t="s">
        <v>30</v>
      </c>
      <c r="D163" s="482"/>
      <c r="E163" s="482">
        <v>441.96563214400021</v>
      </c>
      <c r="F163" s="482">
        <f t="shared" si="58"/>
        <v>441.96563214400021</v>
      </c>
      <c r="G163" s="482"/>
      <c r="H163" s="482">
        <v>441.96565299200012</v>
      </c>
      <c r="I163" s="482">
        <f t="shared" si="59"/>
        <v>441.96565299200012</v>
      </c>
      <c r="J163" s="483"/>
      <c r="K163" s="482"/>
      <c r="L163" s="482">
        <f t="shared" si="60"/>
        <v>0</v>
      </c>
      <c r="M163" s="483"/>
      <c r="N163" s="483"/>
      <c r="O163" s="483"/>
      <c r="P163" s="483"/>
      <c r="Q163" s="483"/>
      <c r="R163" s="411"/>
    </row>
    <row r="164" spans="2:18">
      <c r="B164" s="602">
        <f t="shared" si="61"/>
        <v>3.5000000000000004</v>
      </c>
      <c r="C164" s="428" t="s">
        <v>31</v>
      </c>
      <c r="D164" s="482"/>
      <c r="E164" s="482">
        <f>+E160-E161+E162-E163</f>
        <v>1814.3102024089999</v>
      </c>
      <c r="F164" s="482">
        <f t="shared" si="58"/>
        <v>1814.3102024089999</v>
      </c>
      <c r="G164" s="482"/>
      <c r="H164" s="482">
        <f>+H160-H161+H162-H163</f>
        <v>1375.4415484170006</v>
      </c>
      <c r="I164" s="482">
        <f t="shared" si="59"/>
        <v>1375.4415484170006</v>
      </c>
      <c r="J164" s="483"/>
      <c r="K164" s="483">
        <f>+J160-J161+J162-J163</f>
        <v>0</v>
      </c>
      <c r="L164" s="482">
        <f t="shared" si="60"/>
        <v>0</v>
      </c>
      <c r="M164" s="483"/>
      <c r="N164" s="483">
        <f>+M160-M161+M162-M163</f>
        <v>0</v>
      </c>
      <c r="O164" s="483"/>
      <c r="P164" s="483"/>
      <c r="Q164" s="483">
        <f>+O160-O161+O162-O163</f>
        <v>0</v>
      </c>
      <c r="R164" s="411"/>
    </row>
    <row r="165" spans="2:18">
      <c r="B165" s="602">
        <f t="shared" si="61"/>
        <v>3.6000000000000005</v>
      </c>
      <c r="C165" s="428" t="s">
        <v>473</v>
      </c>
      <c r="D165" s="482"/>
      <c r="E165" s="442">
        <f>AVERAGE(E160,E164)</f>
        <v>2034.4815689310001</v>
      </c>
      <c r="F165" s="482">
        <f t="shared" si="58"/>
        <v>2034.4815689310001</v>
      </c>
      <c r="G165" s="482"/>
      <c r="H165" s="442">
        <f>AVERAGE(H160,H164)</f>
        <v>1594.8758754130006</v>
      </c>
      <c r="I165" s="482">
        <f t="shared" si="59"/>
        <v>1594.8758754130006</v>
      </c>
      <c r="J165" s="483"/>
      <c r="K165" s="482"/>
      <c r="L165" s="482">
        <f t="shared" si="60"/>
        <v>0</v>
      </c>
      <c r="M165" s="483"/>
      <c r="N165" s="483"/>
      <c r="O165" s="483"/>
      <c r="P165" s="483"/>
      <c r="Q165" s="483"/>
      <c r="R165" s="411"/>
    </row>
    <row r="166" spans="2:18" s="598" customFormat="1">
      <c r="B166" s="606">
        <f t="shared" si="61"/>
        <v>3.7000000000000006</v>
      </c>
      <c r="C166" s="594" t="s">
        <v>32</v>
      </c>
      <c r="D166" s="595"/>
      <c r="E166" s="595">
        <f>IFERROR(E167/E165,0)</f>
        <v>0.10292964818214415</v>
      </c>
      <c r="F166" s="595">
        <f>F167/F165</f>
        <v>0.10292964818214415</v>
      </c>
      <c r="G166" s="595"/>
      <c r="H166" s="595">
        <f>IFERROR(H167/H165,0)</f>
        <v>0.10260008894767905</v>
      </c>
      <c r="I166" s="595">
        <f>I167/I165</f>
        <v>0.10260008894767905</v>
      </c>
      <c r="J166" s="596"/>
      <c r="K166" s="596" t="e">
        <f>J167/K165</f>
        <v>#DIV/0!</v>
      </c>
      <c r="L166" s="595" t="e">
        <f>L167/L165</f>
        <v>#DIV/0!</v>
      </c>
      <c r="M166" s="596"/>
      <c r="N166" s="596" t="e">
        <f>M167/N165</f>
        <v>#DIV/0!</v>
      </c>
      <c r="O166" s="596"/>
      <c r="P166" s="596"/>
      <c r="Q166" s="596" t="e">
        <f>O167/Q165</f>
        <v>#DIV/0!</v>
      </c>
      <c r="R166" s="597"/>
    </row>
    <row r="167" spans="2:18">
      <c r="B167" s="602">
        <f t="shared" si="61"/>
        <v>3.8000000000000007</v>
      </c>
      <c r="C167" s="428" t="s">
        <v>33</v>
      </c>
      <c r="D167" s="482"/>
      <c r="E167" s="482">
        <v>209.40847212312448</v>
      </c>
      <c r="F167" s="482">
        <f t="shared" si="58"/>
        <v>209.40847212312448</v>
      </c>
      <c r="G167" s="482"/>
      <c r="H167" s="482">
        <v>163.63440667788134</v>
      </c>
      <c r="I167" s="482">
        <f t="shared" si="59"/>
        <v>163.63440667788134</v>
      </c>
      <c r="J167" s="483"/>
      <c r="K167" s="482"/>
      <c r="L167" s="482">
        <f t="shared" si="60"/>
        <v>0</v>
      </c>
      <c r="M167" s="483"/>
      <c r="N167" s="483"/>
      <c r="O167" s="483"/>
      <c r="P167" s="483"/>
      <c r="Q167" s="483"/>
      <c r="R167" s="411"/>
    </row>
    <row r="168" spans="2:18">
      <c r="B168" s="604"/>
      <c r="C168" s="429"/>
      <c r="D168" s="482"/>
      <c r="E168" s="482"/>
      <c r="F168" s="482"/>
      <c r="G168" s="482"/>
      <c r="H168" s="482"/>
      <c r="I168" s="482"/>
      <c r="J168" s="483"/>
      <c r="K168" s="482"/>
      <c r="L168" s="482"/>
      <c r="M168" s="483"/>
      <c r="N168" s="483"/>
      <c r="O168" s="483"/>
      <c r="P168" s="483"/>
      <c r="Q168" s="483"/>
      <c r="R168" s="411"/>
    </row>
    <row r="169" spans="2:18">
      <c r="B169" s="604">
        <v>4</v>
      </c>
      <c r="C169" s="429" t="s">
        <v>1402</v>
      </c>
      <c r="D169" s="482"/>
      <c r="E169" s="482"/>
      <c r="F169" s="482"/>
      <c r="G169" s="482"/>
      <c r="H169" s="482"/>
      <c r="I169" s="482"/>
      <c r="J169" s="483"/>
      <c r="K169" s="482"/>
      <c r="L169" s="482"/>
      <c r="M169" s="483"/>
      <c r="N169" s="483"/>
      <c r="O169" s="483"/>
      <c r="P169" s="483"/>
      <c r="Q169" s="483"/>
      <c r="R169" s="411"/>
    </row>
    <row r="170" spans="2:18">
      <c r="B170" s="602">
        <f>B169+0.1</f>
        <v>4.0999999999999996</v>
      </c>
      <c r="C170" s="428" t="s">
        <v>29</v>
      </c>
      <c r="D170" s="482"/>
      <c r="E170" s="482">
        <v>0</v>
      </c>
      <c r="F170" s="482">
        <f t="shared" ref="F170:F177" si="62">E170-D170</f>
        <v>0</v>
      </c>
      <c r="G170" s="482"/>
      <c r="H170" s="482">
        <v>0</v>
      </c>
      <c r="I170" s="482">
        <f t="shared" ref="I170:I177" si="63">H170-G170</f>
        <v>0</v>
      </c>
      <c r="J170" s="483"/>
      <c r="K170" s="482"/>
      <c r="L170" s="482">
        <f t="shared" ref="L170:L177" si="64">K170-J170</f>
        <v>0</v>
      </c>
      <c r="M170" s="483"/>
      <c r="N170" s="483"/>
      <c r="O170" s="483"/>
      <c r="P170" s="483"/>
      <c r="Q170" s="483"/>
      <c r="R170" s="411"/>
    </row>
    <row r="171" spans="2:18">
      <c r="B171" s="602">
        <f t="shared" ref="B171:B177" si="65">B170+0.1</f>
        <v>4.1999999999999993</v>
      </c>
      <c r="C171" s="428" t="s">
        <v>401</v>
      </c>
      <c r="D171" s="482"/>
      <c r="E171" s="482">
        <v>0</v>
      </c>
      <c r="F171" s="482">
        <f t="shared" si="62"/>
        <v>0</v>
      </c>
      <c r="G171" s="482"/>
      <c r="H171" s="482">
        <v>0</v>
      </c>
      <c r="I171" s="482">
        <f t="shared" si="63"/>
        <v>0</v>
      </c>
      <c r="J171" s="483"/>
      <c r="K171" s="482"/>
      <c r="L171" s="482">
        <f t="shared" si="64"/>
        <v>0</v>
      </c>
      <c r="M171" s="483"/>
      <c r="N171" s="483"/>
      <c r="O171" s="483"/>
      <c r="P171" s="483"/>
      <c r="Q171" s="483"/>
      <c r="R171" s="411"/>
    </row>
    <row r="172" spans="2:18">
      <c r="B172" s="602">
        <f t="shared" si="65"/>
        <v>4.2999999999999989</v>
      </c>
      <c r="C172" s="428" t="s">
        <v>343</v>
      </c>
      <c r="D172" s="482"/>
      <c r="E172" s="482">
        <v>0</v>
      </c>
      <c r="F172" s="482">
        <f t="shared" si="62"/>
        <v>0</v>
      </c>
      <c r="G172" s="482"/>
      <c r="H172" s="482">
        <v>0</v>
      </c>
      <c r="I172" s="482">
        <f t="shared" si="63"/>
        <v>0</v>
      </c>
      <c r="J172" s="483"/>
      <c r="K172" s="482"/>
      <c r="L172" s="482">
        <f t="shared" si="64"/>
        <v>0</v>
      </c>
      <c r="M172" s="483"/>
      <c r="N172" s="483"/>
      <c r="O172" s="483"/>
      <c r="P172" s="483"/>
      <c r="Q172" s="483"/>
      <c r="R172" s="411"/>
    </row>
    <row r="173" spans="2:18">
      <c r="B173" s="602">
        <f t="shared" si="65"/>
        <v>4.3999999999999986</v>
      </c>
      <c r="C173" s="428" t="s">
        <v>30</v>
      </c>
      <c r="D173" s="482"/>
      <c r="E173" s="482">
        <v>0</v>
      </c>
      <c r="F173" s="482">
        <f t="shared" si="62"/>
        <v>0</v>
      </c>
      <c r="G173" s="482"/>
      <c r="H173" s="482">
        <v>0</v>
      </c>
      <c r="I173" s="482">
        <f t="shared" si="63"/>
        <v>0</v>
      </c>
      <c r="J173" s="483"/>
      <c r="K173" s="482"/>
      <c r="L173" s="482">
        <f t="shared" si="64"/>
        <v>0</v>
      </c>
      <c r="M173" s="483"/>
      <c r="N173" s="483"/>
      <c r="O173" s="483"/>
      <c r="P173" s="483"/>
      <c r="Q173" s="483"/>
      <c r="R173" s="411"/>
    </row>
    <row r="174" spans="2:18">
      <c r="B174" s="602">
        <f t="shared" si="65"/>
        <v>4.4999999999999982</v>
      </c>
      <c r="C174" s="428" t="s">
        <v>31</v>
      </c>
      <c r="D174" s="482"/>
      <c r="E174" s="482">
        <f>+E170-E171+E172-E173</f>
        <v>0</v>
      </c>
      <c r="F174" s="482">
        <f t="shared" si="62"/>
        <v>0</v>
      </c>
      <c r="G174" s="482"/>
      <c r="H174" s="482">
        <f>+H170-H171+H172-H173</f>
        <v>0</v>
      </c>
      <c r="I174" s="482">
        <f t="shared" si="63"/>
        <v>0</v>
      </c>
      <c r="J174" s="483"/>
      <c r="K174" s="483">
        <f>+J170-J171+J172-J173</f>
        <v>0</v>
      </c>
      <c r="L174" s="482">
        <f t="shared" si="64"/>
        <v>0</v>
      </c>
      <c r="M174" s="483"/>
      <c r="N174" s="483">
        <f>+M170-M171+M172-M173</f>
        <v>0</v>
      </c>
      <c r="O174" s="483"/>
      <c r="P174" s="483"/>
      <c r="Q174" s="483">
        <f>+O170-O171+O172-O173</f>
        <v>0</v>
      </c>
      <c r="R174" s="411"/>
    </row>
    <row r="175" spans="2:18">
      <c r="B175" s="602">
        <f t="shared" si="65"/>
        <v>4.5999999999999979</v>
      </c>
      <c r="C175" s="428" t="s">
        <v>473</v>
      </c>
      <c r="D175" s="482"/>
      <c r="E175" s="442">
        <f>AVERAGE(E170,E174)</f>
        <v>0</v>
      </c>
      <c r="F175" s="482">
        <f t="shared" si="62"/>
        <v>0</v>
      </c>
      <c r="G175" s="482"/>
      <c r="H175" s="442">
        <f>AVERAGE(H170,H174)</f>
        <v>0</v>
      </c>
      <c r="I175" s="482">
        <f t="shared" si="63"/>
        <v>0</v>
      </c>
      <c r="J175" s="483"/>
      <c r="K175" s="482"/>
      <c r="L175" s="482">
        <f t="shared" si="64"/>
        <v>0</v>
      </c>
      <c r="M175" s="483"/>
      <c r="N175" s="483"/>
      <c r="O175" s="483"/>
      <c r="P175" s="483"/>
      <c r="Q175" s="483"/>
      <c r="R175" s="411"/>
    </row>
    <row r="176" spans="2:18" s="598" customFormat="1">
      <c r="B176" s="606">
        <f t="shared" si="65"/>
        <v>4.6999999999999975</v>
      </c>
      <c r="C176" s="594" t="s">
        <v>32</v>
      </c>
      <c r="D176" s="595"/>
      <c r="E176" s="595">
        <f>IFERROR(E177/E175,0)</f>
        <v>0</v>
      </c>
      <c r="F176" s="595">
        <f t="shared" si="62"/>
        <v>0</v>
      </c>
      <c r="G176" s="595"/>
      <c r="H176" s="595">
        <f>IFERROR(H177/H175,0)</f>
        <v>0</v>
      </c>
      <c r="I176" s="595" t="e">
        <f>I177/I175</f>
        <v>#DIV/0!</v>
      </c>
      <c r="J176" s="596"/>
      <c r="K176" s="596" t="e">
        <f>J177/K175</f>
        <v>#DIV/0!</v>
      </c>
      <c r="L176" s="595" t="e">
        <f>L177/L175</f>
        <v>#DIV/0!</v>
      </c>
      <c r="M176" s="596"/>
      <c r="N176" s="596" t="e">
        <f>M177/N175</f>
        <v>#DIV/0!</v>
      </c>
      <c r="O176" s="596"/>
      <c r="P176" s="596"/>
      <c r="Q176" s="596" t="e">
        <f>O177/Q175</f>
        <v>#DIV/0!</v>
      </c>
      <c r="R176" s="597"/>
    </row>
    <row r="177" spans="2:18">
      <c r="B177" s="602">
        <f t="shared" si="65"/>
        <v>4.7999999999999972</v>
      </c>
      <c r="C177" s="428" t="s">
        <v>33</v>
      </c>
      <c r="D177" s="482"/>
      <c r="E177" s="482">
        <v>0</v>
      </c>
      <c r="F177" s="482">
        <f t="shared" si="62"/>
        <v>0</v>
      </c>
      <c r="G177" s="482"/>
      <c r="H177" s="482">
        <v>0</v>
      </c>
      <c r="I177" s="482">
        <f t="shared" si="63"/>
        <v>0</v>
      </c>
      <c r="J177" s="483"/>
      <c r="K177" s="482"/>
      <c r="L177" s="482">
        <f t="shared" si="64"/>
        <v>0</v>
      </c>
      <c r="M177" s="483"/>
      <c r="N177" s="483"/>
      <c r="O177" s="483"/>
      <c r="P177" s="483"/>
      <c r="Q177" s="483"/>
      <c r="R177" s="411"/>
    </row>
    <row r="178" spans="2:18">
      <c r="B178" s="604"/>
      <c r="C178" s="429"/>
      <c r="D178" s="482"/>
      <c r="E178" s="482"/>
      <c r="F178" s="482"/>
      <c r="G178" s="482"/>
      <c r="H178" s="482"/>
      <c r="I178" s="482"/>
      <c r="J178" s="483"/>
      <c r="K178" s="482"/>
      <c r="L178" s="482"/>
      <c r="M178" s="483"/>
      <c r="N178" s="483"/>
      <c r="O178" s="483"/>
      <c r="P178" s="483"/>
      <c r="Q178" s="483"/>
      <c r="R178" s="411"/>
    </row>
    <row r="179" spans="2:18">
      <c r="B179" s="604">
        <v>5</v>
      </c>
      <c r="C179" s="429" t="s">
        <v>1409</v>
      </c>
      <c r="D179" s="482"/>
      <c r="E179" s="482"/>
      <c r="F179" s="482"/>
      <c r="G179" s="482"/>
      <c r="H179" s="482"/>
      <c r="I179" s="482"/>
      <c r="J179" s="483"/>
      <c r="K179" s="482"/>
      <c r="L179" s="482"/>
      <c r="M179" s="483"/>
      <c r="N179" s="483"/>
      <c r="O179" s="483"/>
      <c r="P179" s="483"/>
      <c r="Q179" s="483"/>
      <c r="R179" s="411"/>
    </row>
    <row r="180" spans="2:18">
      <c r="B180" s="602">
        <f>B179+0.1</f>
        <v>5.0999999999999996</v>
      </c>
      <c r="C180" s="428" t="s">
        <v>29</v>
      </c>
      <c r="D180" s="482"/>
      <c r="E180" s="482">
        <v>0</v>
      </c>
      <c r="F180" s="482">
        <f t="shared" ref="F180:F187" si="66">E180-D180</f>
        <v>0</v>
      </c>
      <c r="G180" s="482"/>
      <c r="H180" s="482">
        <v>0</v>
      </c>
      <c r="I180" s="482">
        <f t="shared" ref="I180:I187" si="67">H180-G180</f>
        <v>0</v>
      </c>
      <c r="J180" s="483"/>
      <c r="K180" s="482"/>
      <c r="L180" s="482">
        <f t="shared" ref="L180:L187" si="68">K180-J180</f>
        <v>0</v>
      </c>
      <c r="M180" s="483"/>
      <c r="N180" s="483"/>
      <c r="O180" s="483"/>
      <c r="P180" s="483"/>
      <c r="Q180" s="483"/>
      <c r="R180" s="411"/>
    </row>
    <row r="181" spans="2:18">
      <c r="B181" s="602">
        <f t="shared" ref="B181:B187" si="69">B180+0.1</f>
        <v>5.1999999999999993</v>
      </c>
      <c r="C181" s="428" t="s">
        <v>401</v>
      </c>
      <c r="D181" s="482"/>
      <c r="E181" s="482">
        <v>0</v>
      </c>
      <c r="F181" s="482">
        <f t="shared" si="66"/>
        <v>0</v>
      </c>
      <c r="G181" s="482"/>
      <c r="H181" s="482">
        <v>0</v>
      </c>
      <c r="I181" s="482">
        <f t="shared" si="67"/>
        <v>0</v>
      </c>
      <c r="J181" s="483"/>
      <c r="K181" s="482"/>
      <c r="L181" s="482">
        <f t="shared" si="68"/>
        <v>0</v>
      </c>
      <c r="M181" s="483"/>
      <c r="N181" s="483"/>
      <c r="O181" s="483"/>
      <c r="P181" s="483"/>
      <c r="Q181" s="483"/>
      <c r="R181" s="411"/>
    </row>
    <row r="182" spans="2:18">
      <c r="B182" s="602">
        <f t="shared" si="69"/>
        <v>5.2999999999999989</v>
      </c>
      <c r="C182" s="428" t="s">
        <v>343</v>
      </c>
      <c r="D182" s="482"/>
      <c r="E182" s="482">
        <v>0</v>
      </c>
      <c r="F182" s="482">
        <f t="shared" si="66"/>
        <v>0</v>
      </c>
      <c r="G182" s="482"/>
      <c r="H182" s="482">
        <v>0</v>
      </c>
      <c r="I182" s="482">
        <f t="shared" si="67"/>
        <v>0</v>
      </c>
      <c r="J182" s="483"/>
      <c r="K182" s="482"/>
      <c r="L182" s="482">
        <f t="shared" si="68"/>
        <v>0</v>
      </c>
      <c r="M182" s="483"/>
      <c r="N182" s="483"/>
      <c r="O182" s="483"/>
      <c r="P182" s="483"/>
      <c r="Q182" s="483"/>
      <c r="R182" s="411"/>
    </row>
    <row r="183" spans="2:18">
      <c r="B183" s="602">
        <f t="shared" si="69"/>
        <v>5.3999999999999986</v>
      </c>
      <c r="C183" s="428" t="s">
        <v>30</v>
      </c>
      <c r="D183" s="482"/>
      <c r="E183" s="482">
        <v>0</v>
      </c>
      <c r="F183" s="482">
        <f t="shared" si="66"/>
        <v>0</v>
      </c>
      <c r="G183" s="482"/>
      <c r="H183" s="482">
        <v>0</v>
      </c>
      <c r="I183" s="482">
        <f t="shared" si="67"/>
        <v>0</v>
      </c>
      <c r="J183" s="483"/>
      <c r="K183" s="482"/>
      <c r="L183" s="482">
        <f t="shared" si="68"/>
        <v>0</v>
      </c>
      <c r="M183" s="483"/>
      <c r="N183" s="483"/>
      <c r="O183" s="483"/>
      <c r="P183" s="483"/>
      <c r="Q183" s="483"/>
      <c r="R183" s="411"/>
    </row>
    <row r="184" spans="2:18">
      <c r="B184" s="602">
        <f t="shared" si="69"/>
        <v>5.4999999999999982</v>
      </c>
      <c r="C184" s="428" t="s">
        <v>31</v>
      </c>
      <c r="D184" s="482"/>
      <c r="E184" s="482">
        <f>+E180-E181+E182-E183</f>
        <v>0</v>
      </c>
      <c r="F184" s="482">
        <f t="shared" si="66"/>
        <v>0</v>
      </c>
      <c r="G184" s="482"/>
      <c r="H184" s="482">
        <f>+H180-H181+H182-H183</f>
        <v>0</v>
      </c>
      <c r="I184" s="482">
        <f t="shared" si="67"/>
        <v>0</v>
      </c>
      <c r="J184" s="483"/>
      <c r="K184" s="483">
        <f>+J180-J181+J182-J183</f>
        <v>0</v>
      </c>
      <c r="L184" s="482">
        <f t="shared" si="68"/>
        <v>0</v>
      </c>
      <c r="M184" s="483"/>
      <c r="N184" s="483">
        <f>+M180-M181+M182-M183</f>
        <v>0</v>
      </c>
      <c r="O184" s="483"/>
      <c r="P184" s="483"/>
      <c r="Q184" s="483">
        <f>+O180-O181+O182-O183</f>
        <v>0</v>
      </c>
      <c r="R184" s="411"/>
    </row>
    <row r="185" spans="2:18">
      <c r="B185" s="602">
        <f t="shared" si="69"/>
        <v>5.5999999999999979</v>
      </c>
      <c r="C185" s="428" t="s">
        <v>473</v>
      </c>
      <c r="D185" s="482"/>
      <c r="E185" s="442">
        <f>AVERAGE(E180,E184)</f>
        <v>0</v>
      </c>
      <c r="F185" s="482">
        <f t="shared" si="66"/>
        <v>0</v>
      </c>
      <c r="G185" s="482"/>
      <c r="H185" s="442">
        <f>AVERAGE(H180,H184)</f>
        <v>0</v>
      </c>
      <c r="I185" s="482">
        <f t="shared" si="67"/>
        <v>0</v>
      </c>
      <c r="J185" s="483"/>
      <c r="K185" s="482"/>
      <c r="L185" s="482">
        <f t="shared" si="68"/>
        <v>0</v>
      </c>
      <c r="M185" s="483"/>
      <c r="N185" s="483"/>
      <c r="O185" s="483"/>
      <c r="P185" s="483"/>
      <c r="Q185" s="483"/>
      <c r="R185" s="411"/>
    </row>
    <row r="186" spans="2:18" s="598" customFormat="1">
      <c r="B186" s="606">
        <f t="shared" si="69"/>
        <v>5.6999999999999975</v>
      </c>
      <c r="C186" s="594" t="s">
        <v>32</v>
      </c>
      <c r="D186" s="595"/>
      <c r="E186" s="595">
        <f>IFERROR(E187/E185,0)</f>
        <v>0</v>
      </c>
      <c r="F186" s="595" t="e">
        <f>F187/F185</f>
        <v>#DIV/0!</v>
      </c>
      <c r="G186" s="595"/>
      <c r="H186" s="595">
        <f>IFERROR(H187/H185,0)</f>
        <v>0</v>
      </c>
      <c r="I186" s="595" t="e">
        <f>I187/I185</f>
        <v>#DIV/0!</v>
      </c>
      <c r="J186" s="596"/>
      <c r="K186" s="596" t="e">
        <f>J187/K185</f>
        <v>#DIV/0!</v>
      </c>
      <c r="L186" s="595" t="e">
        <f>L187/L185</f>
        <v>#DIV/0!</v>
      </c>
      <c r="M186" s="596"/>
      <c r="N186" s="596" t="e">
        <f>M187/N185</f>
        <v>#DIV/0!</v>
      </c>
      <c r="O186" s="596"/>
      <c r="P186" s="596"/>
      <c r="Q186" s="596" t="e">
        <f>O187/Q185</f>
        <v>#DIV/0!</v>
      </c>
      <c r="R186" s="597"/>
    </row>
    <row r="187" spans="2:18">
      <c r="B187" s="602">
        <f t="shared" si="69"/>
        <v>5.7999999999999972</v>
      </c>
      <c r="C187" s="428" t="s">
        <v>33</v>
      </c>
      <c r="D187" s="482"/>
      <c r="E187" s="482">
        <v>0</v>
      </c>
      <c r="F187" s="482">
        <f t="shared" si="66"/>
        <v>0</v>
      </c>
      <c r="G187" s="482"/>
      <c r="H187" s="482">
        <v>0</v>
      </c>
      <c r="I187" s="482">
        <f t="shared" si="67"/>
        <v>0</v>
      </c>
      <c r="J187" s="483"/>
      <c r="K187" s="482"/>
      <c r="L187" s="482">
        <f t="shared" si="68"/>
        <v>0</v>
      </c>
      <c r="M187" s="483"/>
      <c r="N187" s="483"/>
      <c r="O187" s="483"/>
      <c r="P187" s="483"/>
      <c r="Q187" s="483"/>
      <c r="R187" s="411"/>
    </row>
    <row r="188" spans="2:18">
      <c r="B188" s="604"/>
      <c r="C188" s="429"/>
      <c r="D188" s="482"/>
      <c r="E188" s="482"/>
      <c r="F188" s="482"/>
      <c r="G188" s="482"/>
      <c r="H188" s="482"/>
      <c r="I188" s="482"/>
      <c r="J188" s="483"/>
      <c r="K188" s="482"/>
      <c r="L188" s="482"/>
      <c r="M188" s="483"/>
      <c r="N188" s="483"/>
      <c r="O188" s="483"/>
      <c r="P188" s="483"/>
      <c r="Q188" s="483"/>
      <c r="R188" s="411"/>
    </row>
    <row r="189" spans="2:18">
      <c r="B189" s="604">
        <v>6</v>
      </c>
      <c r="C189" s="429" t="s">
        <v>1410</v>
      </c>
      <c r="D189" s="482"/>
      <c r="E189" s="482"/>
      <c r="F189" s="482"/>
      <c r="G189" s="482"/>
      <c r="H189" s="482"/>
      <c r="I189" s="482"/>
      <c r="J189" s="483"/>
      <c r="K189" s="482"/>
      <c r="L189" s="482"/>
      <c r="M189" s="483"/>
      <c r="N189" s="483"/>
      <c r="O189" s="483"/>
      <c r="P189" s="483"/>
      <c r="Q189" s="483"/>
      <c r="R189" s="411"/>
    </row>
    <row r="190" spans="2:18">
      <c r="B190" s="602">
        <f>B189+0.1</f>
        <v>6.1</v>
      </c>
      <c r="C190" s="428" t="s">
        <v>29</v>
      </c>
      <c r="D190" s="482"/>
      <c r="E190" s="482">
        <v>0</v>
      </c>
      <c r="F190" s="482">
        <f t="shared" ref="F190:F197" si="70">E190-D190</f>
        <v>0</v>
      </c>
      <c r="G190" s="482"/>
      <c r="H190" s="482">
        <v>0</v>
      </c>
      <c r="I190" s="482">
        <f t="shared" ref="I190:I197" si="71">H190-G190</f>
        <v>0</v>
      </c>
      <c r="J190" s="483"/>
      <c r="K190" s="482"/>
      <c r="L190" s="482">
        <f t="shared" ref="L190:L197" si="72">K190-J190</f>
        <v>0</v>
      </c>
      <c r="M190" s="483"/>
      <c r="N190" s="483"/>
      <c r="O190" s="483"/>
      <c r="P190" s="483"/>
      <c r="Q190" s="483"/>
      <c r="R190" s="411"/>
    </row>
    <row r="191" spans="2:18">
      <c r="B191" s="602">
        <f t="shared" ref="B191:B197" si="73">B190+0.1</f>
        <v>6.1999999999999993</v>
      </c>
      <c r="C191" s="428" t="s">
        <v>401</v>
      </c>
      <c r="D191" s="482"/>
      <c r="E191" s="482">
        <v>0</v>
      </c>
      <c r="F191" s="482">
        <f t="shared" si="70"/>
        <v>0</v>
      </c>
      <c r="G191" s="482"/>
      <c r="H191" s="482">
        <v>0</v>
      </c>
      <c r="I191" s="482">
        <f t="shared" si="71"/>
        <v>0</v>
      </c>
      <c r="J191" s="483"/>
      <c r="K191" s="482"/>
      <c r="L191" s="482">
        <f t="shared" si="72"/>
        <v>0</v>
      </c>
      <c r="M191" s="483"/>
      <c r="N191" s="483"/>
      <c r="O191" s="483"/>
      <c r="P191" s="483"/>
      <c r="Q191" s="483"/>
      <c r="R191" s="411"/>
    </row>
    <row r="192" spans="2:18">
      <c r="B192" s="602">
        <f t="shared" si="73"/>
        <v>6.2999999999999989</v>
      </c>
      <c r="C192" s="428" t="s">
        <v>343</v>
      </c>
      <c r="D192" s="482"/>
      <c r="E192" s="482">
        <v>0</v>
      </c>
      <c r="F192" s="482">
        <f t="shared" si="70"/>
        <v>0</v>
      </c>
      <c r="G192" s="482"/>
      <c r="H192" s="482">
        <v>0</v>
      </c>
      <c r="I192" s="482">
        <f t="shared" si="71"/>
        <v>0</v>
      </c>
      <c r="J192" s="483"/>
      <c r="K192" s="482"/>
      <c r="L192" s="482">
        <f t="shared" si="72"/>
        <v>0</v>
      </c>
      <c r="M192" s="483"/>
      <c r="N192" s="483"/>
      <c r="O192" s="483"/>
      <c r="P192" s="483"/>
      <c r="Q192" s="483"/>
      <c r="R192" s="411"/>
    </row>
    <row r="193" spans="2:18">
      <c r="B193" s="602">
        <f t="shared" si="73"/>
        <v>6.3999999999999986</v>
      </c>
      <c r="C193" s="428" t="s">
        <v>30</v>
      </c>
      <c r="D193" s="482"/>
      <c r="E193" s="482">
        <v>0</v>
      </c>
      <c r="F193" s="482">
        <f t="shared" si="70"/>
        <v>0</v>
      </c>
      <c r="G193" s="482"/>
      <c r="H193" s="482">
        <v>0</v>
      </c>
      <c r="I193" s="482">
        <f t="shared" si="71"/>
        <v>0</v>
      </c>
      <c r="J193" s="483"/>
      <c r="K193" s="482"/>
      <c r="L193" s="482">
        <f t="shared" si="72"/>
        <v>0</v>
      </c>
      <c r="M193" s="483"/>
      <c r="N193" s="483"/>
      <c r="O193" s="483"/>
      <c r="P193" s="483"/>
      <c r="Q193" s="483"/>
      <c r="R193" s="411"/>
    </row>
    <row r="194" spans="2:18">
      <c r="B194" s="602">
        <f t="shared" si="73"/>
        <v>6.4999999999999982</v>
      </c>
      <c r="C194" s="428" t="s">
        <v>31</v>
      </c>
      <c r="D194" s="482"/>
      <c r="E194" s="482">
        <f>+E190-E191+E192-E193</f>
        <v>0</v>
      </c>
      <c r="F194" s="482">
        <f t="shared" si="70"/>
        <v>0</v>
      </c>
      <c r="G194" s="482"/>
      <c r="H194" s="482">
        <f>+H190-H191+H192-H193</f>
        <v>0</v>
      </c>
      <c r="I194" s="482">
        <f t="shared" si="71"/>
        <v>0</v>
      </c>
      <c r="J194" s="483"/>
      <c r="K194" s="483">
        <f>+J190-J191+J192-J193</f>
        <v>0</v>
      </c>
      <c r="L194" s="482">
        <f t="shared" si="72"/>
        <v>0</v>
      </c>
      <c r="M194" s="483"/>
      <c r="N194" s="483">
        <f>+M190-M191+M192-M193</f>
        <v>0</v>
      </c>
      <c r="O194" s="483"/>
      <c r="P194" s="483"/>
      <c r="Q194" s="483">
        <f>+O190-O191+O192-O193</f>
        <v>0</v>
      </c>
      <c r="R194" s="411"/>
    </row>
    <row r="195" spans="2:18">
      <c r="B195" s="602">
        <f t="shared" si="73"/>
        <v>6.5999999999999979</v>
      </c>
      <c r="C195" s="428" t="s">
        <v>473</v>
      </c>
      <c r="D195" s="482"/>
      <c r="E195" s="442">
        <f>AVERAGE(E190,E194)</f>
        <v>0</v>
      </c>
      <c r="F195" s="482">
        <f t="shared" si="70"/>
        <v>0</v>
      </c>
      <c r="G195" s="482"/>
      <c r="H195" s="442">
        <f>AVERAGE(H190,H194)</f>
        <v>0</v>
      </c>
      <c r="I195" s="482">
        <f t="shared" si="71"/>
        <v>0</v>
      </c>
      <c r="J195" s="483"/>
      <c r="K195" s="482"/>
      <c r="L195" s="482">
        <f t="shared" si="72"/>
        <v>0</v>
      </c>
      <c r="M195" s="483"/>
      <c r="N195" s="483"/>
      <c r="O195" s="483"/>
      <c r="P195" s="483"/>
      <c r="Q195" s="483"/>
      <c r="R195" s="411"/>
    </row>
    <row r="196" spans="2:18" s="598" customFormat="1">
      <c r="B196" s="606">
        <f t="shared" si="73"/>
        <v>6.6999999999999975</v>
      </c>
      <c r="C196" s="594" t="s">
        <v>32</v>
      </c>
      <c r="D196" s="595"/>
      <c r="E196" s="595">
        <f>IFERROR(E197/E195,0)</f>
        <v>0</v>
      </c>
      <c r="F196" s="595" t="e">
        <f>F197/F195</f>
        <v>#DIV/0!</v>
      </c>
      <c r="G196" s="595"/>
      <c r="H196" s="595">
        <f>IFERROR(H197/H195,0)</f>
        <v>0</v>
      </c>
      <c r="I196" s="595" t="e">
        <f>I197/I195</f>
        <v>#DIV/0!</v>
      </c>
      <c r="J196" s="596"/>
      <c r="K196" s="596" t="e">
        <f>J197/K195</f>
        <v>#DIV/0!</v>
      </c>
      <c r="L196" s="595" t="e">
        <f>L197/L195</f>
        <v>#DIV/0!</v>
      </c>
      <c r="M196" s="596"/>
      <c r="N196" s="596" t="e">
        <f>M197/N195</f>
        <v>#DIV/0!</v>
      </c>
      <c r="O196" s="596"/>
      <c r="P196" s="596"/>
      <c r="Q196" s="596" t="e">
        <f>O197/Q195</f>
        <v>#DIV/0!</v>
      </c>
      <c r="R196" s="597"/>
    </row>
    <row r="197" spans="2:18">
      <c r="B197" s="602">
        <f t="shared" si="73"/>
        <v>6.7999999999999972</v>
      </c>
      <c r="C197" s="428" t="s">
        <v>33</v>
      </c>
      <c r="D197" s="482"/>
      <c r="E197" s="482">
        <v>0</v>
      </c>
      <c r="F197" s="482">
        <f t="shared" si="70"/>
        <v>0</v>
      </c>
      <c r="G197" s="482"/>
      <c r="H197" s="482">
        <v>0</v>
      </c>
      <c r="I197" s="482">
        <f t="shared" si="71"/>
        <v>0</v>
      </c>
      <c r="J197" s="483"/>
      <c r="K197" s="482"/>
      <c r="L197" s="482">
        <f t="shared" si="72"/>
        <v>0</v>
      </c>
      <c r="M197" s="483"/>
      <c r="N197" s="483"/>
      <c r="O197" s="483"/>
      <c r="P197" s="483"/>
      <c r="Q197" s="483"/>
      <c r="R197" s="411"/>
    </row>
    <row r="198" spans="2:18">
      <c r="B198" s="604"/>
      <c r="C198" s="429"/>
      <c r="D198" s="482"/>
      <c r="E198" s="482"/>
      <c r="F198" s="482"/>
      <c r="G198" s="482"/>
      <c r="H198" s="482"/>
      <c r="I198" s="482"/>
      <c r="J198" s="483"/>
      <c r="K198" s="482"/>
      <c r="L198" s="482"/>
      <c r="M198" s="483"/>
      <c r="N198" s="483"/>
      <c r="O198" s="483"/>
      <c r="P198" s="483"/>
      <c r="Q198" s="483"/>
      <c r="R198" s="411"/>
    </row>
    <row r="199" spans="2:18">
      <c r="B199" s="604">
        <v>7</v>
      </c>
      <c r="C199" s="429" t="s">
        <v>1404</v>
      </c>
      <c r="D199" s="482"/>
      <c r="E199" s="482"/>
      <c r="F199" s="482"/>
      <c r="G199" s="482"/>
      <c r="H199" s="482"/>
      <c r="I199" s="482"/>
      <c r="J199" s="483"/>
      <c r="K199" s="482"/>
      <c r="L199" s="482"/>
      <c r="M199" s="483"/>
      <c r="N199" s="483"/>
      <c r="O199" s="483"/>
      <c r="P199" s="483"/>
      <c r="Q199" s="483"/>
      <c r="R199" s="411"/>
    </row>
    <row r="200" spans="2:18">
      <c r="B200" s="602">
        <f>B199+0.1</f>
        <v>7.1</v>
      </c>
      <c r="C200" s="428" t="s">
        <v>29</v>
      </c>
      <c r="D200" s="482"/>
      <c r="E200" s="482">
        <v>0</v>
      </c>
      <c r="F200" s="482">
        <f t="shared" ref="F200:F207" si="74">E200-D200</f>
        <v>0</v>
      </c>
      <c r="G200" s="482"/>
      <c r="H200" s="482">
        <v>0</v>
      </c>
      <c r="I200" s="482">
        <f t="shared" ref="I200:I207" si="75">H200-G200</f>
        <v>0</v>
      </c>
      <c r="J200" s="483"/>
      <c r="K200" s="482"/>
      <c r="L200" s="482">
        <f t="shared" ref="L200:L207" si="76">K200-J200</f>
        <v>0</v>
      </c>
      <c r="M200" s="483"/>
      <c r="N200" s="483"/>
      <c r="O200" s="483"/>
      <c r="P200" s="483"/>
      <c r="Q200" s="483"/>
      <c r="R200" s="411"/>
    </row>
    <row r="201" spans="2:18">
      <c r="B201" s="602">
        <f t="shared" ref="B201:B207" si="77">B200+0.1</f>
        <v>7.1999999999999993</v>
      </c>
      <c r="C201" s="428" t="s">
        <v>401</v>
      </c>
      <c r="D201" s="482"/>
      <c r="E201" s="482">
        <v>0</v>
      </c>
      <c r="F201" s="482">
        <f t="shared" si="74"/>
        <v>0</v>
      </c>
      <c r="G201" s="482"/>
      <c r="H201" s="482">
        <v>0</v>
      </c>
      <c r="I201" s="482">
        <f t="shared" si="75"/>
        <v>0</v>
      </c>
      <c r="J201" s="483"/>
      <c r="K201" s="482"/>
      <c r="L201" s="482">
        <f t="shared" si="76"/>
        <v>0</v>
      </c>
      <c r="M201" s="483"/>
      <c r="N201" s="483"/>
      <c r="O201" s="483"/>
      <c r="P201" s="483"/>
      <c r="Q201" s="483"/>
      <c r="R201" s="411"/>
    </row>
    <row r="202" spans="2:18">
      <c r="B202" s="602">
        <f t="shared" si="77"/>
        <v>7.2999999999999989</v>
      </c>
      <c r="C202" s="428" t="s">
        <v>343</v>
      </c>
      <c r="D202" s="482"/>
      <c r="E202" s="482">
        <v>0</v>
      </c>
      <c r="F202" s="482">
        <f t="shared" si="74"/>
        <v>0</v>
      </c>
      <c r="G202" s="482"/>
      <c r="H202" s="482">
        <v>0</v>
      </c>
      <c r="I202" s="482">
        <f t="shared" si="75"/>
        <v>0</v>
      </c>
      <c r="J202" s="483"/>
      <c r="K202" s="482"/>
      <c r="L202" s="482">
        <f t="shared" si="76"/>
        <v>0</v>
      </c>
      <c r="M202" s="483"/>
      <c r="N202" s="483"/>
      <c r="O202" s="483"/>
      <c r="P202" s="483"/>
      <c r="Q202" s="483"/>
      <c r="R202" s="411"/>
    </row>
    <row r="203" spans="2:18">
      <c r="B203" s="602">
        <f t="shared" si="77"/>
        <v>7.3999999999999986</v>
      </c>
      <c r="C203" s="428" t="s">
        <v>30</v>
      </c>
      <c r="D203" s="482"/>
      <c r="E203" s="482">
        <v>0</v>
      </c>
      <c r="F203" s="482">
        <f t="shared" si="74"/>
        <v>0</v>
      </c>
      <c r="G203" s="482"/>
      <c r="H203" s="482">
        <v>0</v>
      </c>
      <c r="I203" s="482">
        <f t="shared" si="75"/>
        <v>0</v>
      </c>
      <c r="J203" s="483"/>
      <c r="K203" s="482"/>
      <c r="L203" s="482">
        <f t="shared" si="76"/>
        <v>0</v>
      </c>
      <c r="M203" s="483"/>
      <c r="N203" s="483"/>
      <c r="O203" s="483"/>
      <c r="P203" s="483"/>
      <c r="Q203" s="483"/>
      <c r="R203" s="411"/>
    </row>
    <row r="204" spans="2:18">
      <c r="B204" s="602">
        <f t="shared" si="77"/>
        <v>7.4999999999999982</v>
      </c>
      <c r="C204" s="428" t="s">
        <v>31</v>
      </c>
      <c r="D204" s="482"/>
      <c r="E204" s="482">
        <f>+E200-E201+E202-E203</f>
        <v>0</v>
      </c>
      <c r="F204" s="482">
        <f t="shared" si="74"/>
        <v>0</v>
      </c>
      <c r="G204" s="482"/>
      <c r="H204" s="482">
        <f>+H200-H201+H202-H203</f>
        <v>0</v>
      </c>
      <c r="I204" s="482">
        <f t="shared" si="75"/>
        <v>0</v>
      </c>
      <c r="J204" s="483"/>
      <c r="K204" s="483">
        <f>+J200-J201+J202-J203</f>
        <v>0</v>
      </c>
      <c r="L204" s="482">
        <f t="shared" si="76"/>
        <v>0</v>
      </c>
      <c r="M204" s="483"/>
      <c r="N204" s="483">
        <f>+M200-M201+M202-M203</f>
        <v>0</v>
      </c>
      <c r="O204" s="483"/>
      <c r="P204" s="483"/>
      <c r="Q204" s="483">
        <f>+O200-O201+O202-O203</f>
        <v>0</v>
      </c>
      <c r="R204" s="411"/>
    </row>
    <row r="205" spans="2:18">
      <c r="B205" s="602">
        <f t="shared" si="77"/>
        <v>7.5999999999999979</v>
      </c>
      <c r="C205" s="428" t="s">
        <v>473</v>
      </c>
      <c r="D205" s="482"/>
      <c r="E205" s="442">
        <f>AVERAGE(E200,E204)</f>
        <v>0</v>
      </c>
      <c r="F205" s="482">
        <f t="shared" si="74"/>
        <v>0</v>
      </c>
      <c r="G205" s="482"/>
      <c r="H205" s="442">
        <f>AVERAGE(H200,H204)</f>
        <v>0</v>
      </c>
      <c r="I205" s="482">
        <f t="shared" si="75"/>
        <v>0</v>
      </c>
      <c r="J205" s="483"/>
      <c r="K205" s="482"/>
      <c r="L205" s="482">
        <f t="shared" si="76"/>
        <v>0</v>
      </c>
      <c r="M205" s="483"/>
      <c r="N205" s="483"/>
      <c r="O205" s="483"/>
      <c r="P205" s="483"/>
      <c r="Q205" s="483"/>
      <c r="R205" s="411"/>
    </row>
    <row r="206" spans="2:18" s="598" customFormat="1">
      <c r="B206" s="606">
        <f t="shared" si="77"/>
        <v>7.6999999999999975</v>
      </c>
      <c r="C206" s="594" t="s">
        <v>32</v>
      </c>
      <c r="D206" s="595"/>
      <c r="E206" s="595">
        <f>IFERROR(E207/E205,0)</f>
        <v>0</v>
      </c>
      <c r="F206" s="595" t="e">
        <f>F207/F205</f>
        <v>#DIV/0!</v>
      </c>
      <c r="G206" s="595"/>
      <c r="H206" s="595">
        <f>IFERROR(H207/H205,0)</f>
        <v>0</v>
      </c>
      <c r="I206" s="595" t="e">
        <f>I207/I205</f>
        <v>#DIV/0!</v>
      </c>
      <c r="J206" s="596"/>
      <c r="K206" s="596" t="e">
        <f>J207/K205</f>
        <v>#DIV/0!</v>
      </c>
      <c r="L206" s="595" t="e">
        <f>L207/L205</f>
        <v>#DIV/0!</v>
      </c>
      <c r="M206" s="596"/>
      <c r="N206" s="596" t="e">
        <f>M207/N205</f>
        <v>#DIV/0!</v>
      </c>
      <c r="O206" s="596"/>
      <c r="P206" s="596"/>
      <c r="Q206" s="596" t="e">
        <f>O207/Q205</f>
        <v>#DIV/0!</v>
      </c>
      <c r="R206" s="597"/>
    </row>
    <row r="207" spans="2:18">
      <c r="B207" s="602">
        <f t="shared" si="77"/>
        <v>7.7999999999999972</v>
      </c>
      <c r="C207" s="428" t="s">
        <v>33</v>
      </c>
      <c r="D207" s="482"/>
      <c r="E207" s="482">
        <v>0</v>
      </c>
      <c r="F207" s="482">
        <f t="shared" si="74"/>
        <v>0</v>
      </c>
      <c r="G207" s="482"/>
      <c r="H207" s="482">
        <v>0</v>
      </c>
      <c r="I207" s="482">
        <f t="shared" si="75"/>
        <v>0</v>
      </c>
      <c r="J207" s="483"/>
      <c r="K207" s="482"/>
      <c r="L207" s="482">
        <f t="shared" si="76"/>
        <v>0</v>
      </c>
      <c r="M207" s="483"/>
      <c r="N207" s="483"/>
      <c r="O207" s="483"/>
      <c r="P207" s="483"/>
      <c r="Q207" s="483"/>
      <c r="R207" s="411"/>
    </row>
    <row r="208" spans="2:18">
      <c r="B208" s="604"/>
      <c r="C208" s="429"/>
      <c r="D208" s="482"/>
      <c r="E208" s="482"/>
      <c r="F208" s="482"/>
      <c r="G208" s="482"/>
      <c r="H208" s="482"/>
      <c r="I208" s="482"/>
      <c r="J208" s="483"/>
      <c r="K208" s="482"/>
      <c r="L208" s="482"/>
      <c r="M208" s="483"/>
      <c r="N208" s="483"/>
      <c r="O208" s="483"/>
      <c r="P208" s="483"/>
      <c r="Q208" s="483"/>
      <c r="R208" s="411"/>
    </row>
    <row r="209" spans="2:18">
      <c r="B209" s="604">
        <v>8</v>
      </c>
      <c r="C209" s="429" t="s">
        <v>1405</v>
      </c>
      <c r="D209" s="482"/>
      <c r="E209" s="482"/>
      <c r="F209" s="482"/>
      <c r="G209" s="482"/>
      <c r="H209" s="482"/>
      <c r="I209" s="482"/>
      <c r="J209" s="483"/>
      <c r="K209" s="482"/>
      <c r="L209" s="482"/>
      <c r="M209" s="483"/>
      <c r="N209" s="483"/>
      <c r="O209" s="483"/>
      <c r="P209" s="483"/>
      <c r="Q209" s="483"/>
      <c r="R209" s="411"/>
    </row>
    <row r="210" spans="2:18">
      <c r="B210" s="602">
        <f>B209+0.1</f>
        <v>8.1</v>
      </c>
      <c r="C210" s="428" t="s">
        <v>29</v>
      </c>
      <c r="D210" s="482"/>
      <c r="E210" s="482">
        <v>0</v>
      </c>
      <c r="F210" s="482">
        <f t="shared" ref="F210:F217" si="78">E210-D210</f>
        <v>0</v>
      </c>
      <c r="G210" s="482"/>
      <c r="H210" s="482">
        <v>0</v>
      </c>
      <c r="I210" s="482">
        <f t="shared" ref="I210:I217" si="79">H210-G210</f>
        <v>0</v>
      </c>
      <c r="J210" s="483"/>
      <c r="K210" s="482"/>
      <c r="L210" s="482">
        <f t="shared" ref="L210:L217" si="80">K210-J210</f>
        <v>0</v>
      </c>
      <c r="M210" s="483"/>
      <c r="N210" s="483"/>
      <c r="O210" s="483"/>
      <c r="P210" s="483"/>
      <c r="Q210" s="483"/>
      <c r="R210" s="411"/>
    </row>
    <row r="211" spans="2:18">
      <c r="B211" s="602">
        <f t="shared" ref="B211:B217" si="81">B210+0.1</f>
        <v>8.1999999999999993</v>
      </c>
      <c r="C211" s="428" t="s">
        <v>401</v>
      </c>
      <c r="D211" s="482"/>
      <c r="E211" s="482">
        <v>0</v>
      </c>
      <c r="F211" s="482">
        <f t="shared" si="78"/>
        <v>0</v>
      </c>
      <c r="G211" s="482"/>
      <c r="H211" s="482">
        <v>0</v>
      </c>
      <c r="I211" s="482">
        <f t="shared" si="79"/>
        <v>0</v>
      </c>
      <c r="J211" s="483"/>
      <c r="K211" s="482"/>
      <c r="L211" s="482">
        <f t="shared" si="80"/>
        <v>0</v>
      </c>
      <c r="M211" s="483"/>
      <c r="N211" s="483"/>
      <c r="O211" s="483"/>
      <c r="P211" s="483"/>
      <c r="Q211" s="483"/>
      <c r="R211" s="411"/>
    </row>
    <row r="212" spans="2:18">
      <c r="B212" s="602">
        <f t="shared" si="81"/>
        <v>8.2999999999999989</v>
      </c>
      <c r="C212" s="428" t="s">
        <v>343</v>
      </c>
      <c r="D212" s="482"/>
      <c r="E212" s="482">
        <v>0</v>
      </c>
      <c r="F212" s="482">
        <f t="shared" si="78"/>
        <v>0</v>
      </c>
      <c r="G212" s="482"/>
      <c r="H212" s="482">
        <v>0</v>
      </c>
      <c r="I212" s="482">
        <f t="shared" si="79"/>
        <v>0</v>
      </c>
      <c r="J212" s="483"/>
      <c r="K212" s="482"/>
      <c r="L212" s="482">
        <f t="shared" si="80"/>
        <v>0</v>
      </c>
      <c r="M212" s="483"/>
      <c r="N212" s="483"/>
      <c r="O212" s="483"/>
      <c r="P212" s="483"/>
      <c r="Q212" s="483"/>
      <c r="R212" s="411"/>
    </row>
    <row r="213" spans="2:18">
      <c r="B213" s="602">
        <f t="shared" si="81"/>
        <v>8.3999999999999986</v>
      </c>
      <c r="C213" s="428" t="s">
        <v>30</v>
      </c>
      <c r="D213" s="482"/>
      <c r="E213" s="482">
        <v>0</v>
      </c>
      <c r="F213" s="482">
        <f t="shared" si="78"/>
        <v>0</v>
      </c>
      <c r="G213" s="482"/>
      <c r="H213" s="482">
        <v>0</v>
      </c>
      <c r="I213" s="482">
        <f t="shared" si="79"/>
        <v>0</v>
      </c>
      <c r="J213" s="483"/>
      <c r="K213" s="482"/>
      <c r="L213" s="482">
        <f t="shared" si="80"/>
        <v>0</v>
      </c>
      <c r="M213" s="483"/>
      <c r="N213" s="483"/>
      <c r="O213" s="483"/>
      <c r="P213" s="483"/>
      <c r="Q213" s="483"/>
      <c r="R213" s="411"/>
    </row>
    <row r="214" spans="2:18">
      <c r="B214" s="602">
        <f t="shared" si="81"/>
        <v>8.4999999999999982</v>
      </c>
      <c r="C214" s="428" t="s">
        <v>31</v>
      </c>
      <c r="D214" s="482"/>
      <c r="E214" s="482">
        <f>+E210-E211+E212-E213</f>
        <v>0</v>
      </c>
      <c r="F214" s="482">
        <f t="shared" si="78"/>
        <v>0</v>
      </c>
      <c r="G214" s="482"/>
      <c r="H214" s="482">
        <f>+H210-H211+H212-H213</f>
        <v>0</v>
      </c>
      <c r="I214" s="482">
        <f t="shared" si="79"/>
        <v>0</v>
      </c>
      <c r="J214" s="483"/>
      <c r="K214" s="483">
        <f>+J210-J211+J212-J213</f>
        <v>0</v>
      </c>
      <c r="L214" s="482">
        <f t="shared" si="80"/>
        <v>0</v>
      </c>
      <c r="M214" s="483"/>
      <c r="N214" s="483">
        <f>+M210-M211+M212-M213</f>
        <v>0</v>
      </c>
      <c r="O214" s="483"/>
      <c r="P214" s="483"/>
      <c r="Q214" s="483">
        <f>+O210-O211+O212-O213</f>
        <v>0</v>
      </c>
      <c r="R214" s="411"/>
    </row>
    <row r="215" spans="2:18">
      <c r="B215" s="602">
        <f t="shared" si="81"/>
        <v>8.5999999999999979</v>
      </c>
      <c r="C215" s="428" t="s">
        <v>473</v>
      </c>
      <c r="D215" s="482"/>
      <c r="E215" s="442">
        <f>AVERAGE(E210,E214)</f>
        <v>0</v>
      </c>
      <c r="F215" s="482">
        <f t="shared" si="78"/>
        <v>0</v>
      </c>
      <c r="G215" s="482"/>
      <c r="H215" s="442">
        <f>AVERAGE(H210,H214)</f>
        <v>0</v>
      </c>
      <c r="I215" s="482">
        <f t="shared" si="79"/>
        <v>0</v>
      </c>
      <c r="J215" s="483"/>
      <c r="K215" s="482"/>
      <c r="L215" s="482">
        <f t="shared" si="80"/>
        <v>0</v>
      </c>
      <c r="M215" s="483"/>
      <c r="N215" s="483"/>
      <c r="O215" s="483"/>
      <c r="P215" s="483"/>
      <c r="Q215" s="483"/>
      <c r="R215" s="411"/>
    </row>
    <row r="216" spans="2:18" s="598" customFormat="1">
      <c r="B216" s="606">
        <f t="shared" si="81"/>
        <v>8.6999999999999975</v>
      </c>
      <c r="C216" s="594" t="s">
        <v>32</v>
      </c>
      <c r="D216" s="595"/>
      <c r="E216" s="595">
        <f>IFERROR(E217/E215,0)</f>
        <v>0</v>
      </c>
      <c r="F216" s="595" t="e">
        <f>F217/F215</f>
        <v>#DIV/0!</v>
      </c>
      <c r="G216" s="595"/>
      <c r="H216" s="595">
        <f>IFERROR(H217/H215,0)</f>
        <v>0</v>
      </c>
      <c r="I216" s="595" t="e">
        <f>I217/I215</f>
        <v>#DIV/0!</v>
      </c>
      <c r="J216" s="596"/>
      <c r="K216" s="596" t="e">
        <f>J217/K215</f>
        <v>#DIV/0!</v>
      </c>
      <c r="L216" s="595" t="e">
        <f>L217/L215</f>
        <v>#DIV/0!</v>
      </c>
      <c r="M216" s="596"/>
      <c r="N216" s="596" t="e">
        <f>M217/N215</f>
        <v>#DIV/0!</v>
      </c>
      <c r="O216" s="596"/>
      <c r="P216" s="596"/>
      <c r="Q216" s="596" t="e">
        <f>O217/Q215</f>
        <v>#DIV/0!</v>
      </c>
      <c r="R216" s="597"/>
    </row>
    <row r="217" spans="2:18">
      <c r="B217" s="602">
        <f t="shared" si="81"/>
        <v>8.7999999999999972</v>
      </c>
      <c r="C217" s="428" t="s">
        <v>33</v>
      </c>
      <c r="D217" s="482"/>
      <c r="E217" s="482">
        <v>0</v>
      </c>
      <c r="F217" s="482">
        <f t="shared" si="78"/>
        <v>0</v>
      </c>
      <c r="G217" s="482"/>
      <c r="H217" s="482">
        <v>0</v>
      </c>
      <c r="I217" s="482">
        <f t="shared" si="79"/>
        <v>0</v>
      </c>
      <c r="J217" s="483"/>
      <c r="K217" s="482"/>
      <c r="L217" s="482">
        <f t="shared" si="80"/>
        <v>0</v>
      </c>
      <c r="M217" s="483"/>
      <c r="N217" s="483"/>
      <c r="O217" s="483"/>
      <c r="P217" s="483"/>
      <c r="Q217" s="483"/>
      <c r="R217" s="411"/>
    </row>
    <row r="218" spans="2:18">
      <c r="B218" s="602"/>
      <c r="C218" s="428"/>
      <c r="D218" s="482"/>
      <c r="E218" s="482"/>
      <c r="F218" s="482"/>
      <c r="G218" s="482"/>
      <c r="H218" s="482"/>
      <c r="I218" s="482"/>
      <c r="J218" s="483"/>
      <c r="K218" s="482"/>
      <c r="L218" s="482"/>
      <c r="M218" s="483"/>
      <c r="N218" s="483"/>
      <c r="O218" s="483"/>
      <c r="P218" s="483"/>
      <c r="Q218" s="483"/>
      <c r="R218" s="411"/>
    </row>
    <row r="219" spans="2:18" s="22" customFormat="1">
      <c r="B219" s="604">
        <v>9</v>
      </c>
      <c r="C219" s="429" t="s">
        <v>1406</v>
      </c>
      <c r="D219" s="482"/>
      <c r="E219" s="482"/>
      <c r="F219" s="482"/>
      <c r="G219" s="482"/>
      <c r="H219" s="482"/>
      <c r="I219" s="482"/>
      <c r="J219" s="483"/>
      <c r="K219" s="482"/>
      <c r="L219" s="482"/>
      <c r="M219" s="483"/>
      <c r="N219" s="483"/>
      <c r="O219" s="483"/>
      <c r="P219" s="483"/>
      <c r="Q219" s="483"/>
      <c r="R219" s="424"/>
    </row>
    <row r="220" spans="2:18">
      <c r="B220" s="602">
        <f>B219+0.1</f>
        <v>9.1</v>
      </c>
      <c r="C220" s="428" t="s">
        <v>29</v>
      </c>
      <c r="D220" s="482"/>
      <c r="E220" s="482">
        <v>0</v>
      </c>
      <c r="F220" s="482">
        <f t="shared" ref="F220:F227" si="82">E220-D220</f>
        <v>0</v>
      </c>
      <c r="G220" s="482"/>
      <c r="H220" s="482">
        <v>0</v>
      </c>
      <c r="I220" s="482">
        <f t="shared" ref="I220:I227" si="83">H220-G220</f>
        <v>0</v>
      </c>
      <c r="J220" s="483"/>
      <c r="K220" s="482"/>
      <c r="L220" s="482">
        <f t="shared" ref="L220:L227" si="84">K220-J220</f>
        <v>0</v>
      </c>
      <c r="M220" s="483"/>
      <c r="N220" s="483"/>
      <c r="O220" s="483"/>
      <c r="P220" s="483"/>
      <c r="Q220" s="483"/>
      <c r="R220" s="411"/>
    </row>
    <row r="221" spans="2:18">
      <c r="B221" s="602">
        <f t="shared" ref="B221:B227" si="85">B220+0.1</f>
        <v>9.1999999999999993</v>
      </c>
      <c r="C221" s="428" t="s">
        <v>401</v>
      </c>
      <c r="D221" s="482"/>
      <c r="E221" s="482">
        <v>0</v>
      </c>
      <c r="F221" s="482">
        <f t="shared" si="82"/>
        <v>0</v>
      </c>
      <c r="G221" s="482"/>
      <c r="H221" s="482">
        <v>0</v>
      </c>
      <c r="I221" s="482">
        <f t="shared" si="83"/>
        <v>0</v>
      </c>
      <c r="J221" s="483"/>
      <c r="K221" s="482"/>
      <c r="L221" s="482">
        <f t="shared" si="84"/>
        <v>0</v>
      </c>
      <c r="M221" s="483"/>
      <c r="N221" s="483"/>
      <c r="O221" s="483"/>
      <c r="P221" s="483"/>
      <c r="Q221" s="483"/>
      <c r="R221" s="411"/>
    </row>
    <row r="222" spans="2:18">
      <c r="B222" s="602">
        <f t="shared" si="85"/>
        <v>9.2999999999999989</v>
      </c>
      <c r="C222" s="428" t="s">
        <v>343</v>
      </c>
      <c r="D222" s="482"/>
      <c r="E222" s="482">
        <v>0</v>
      </c>
      <c r="F222" s="482">
        <f t="shared" si="82"/>
        <v>0</v>
      </c>
      <c r="G222" s="482"/>
      <c r="H222" s="482">
        <v>0</v>
      </c>
      <c r="I222" s="482">
        <f t="shared" si="83"/>
        <v>0</v>
      </c>
      <c r="J222" s="483"/>
      <c r="K222" s="482"/>
      <c r="L222" s="482">
        <f t="shared" si="84"/>
        <v>0</v>
      </c>
      <c r="M222" s="483"/>
      <c r="N222" s="483"/>
      <c r="O222" s="483"/>
      <c r="P222" s="483"/>
      <c r="Q222" s="483"/>
      <c r="R222" s="411"/>
    </row>
    <row r="223" spans="2:18">
      <c r="B223" s="602">
        <f t="shared" si="85"/>
        <v>9.3999999999999986</v>
      </c>
      <c r="C223" s="428" t="s">
        <v>30</v>
      </c>
      <c r="D223" s="482"/>
      <c r="E223" s="482">
        <v>0</v>
      </c>
      <c r="F223" s="482">
        <f t="shared" si="82"/>
        <v>0</v>
      </c>
      <c r="G223" s="482"/>
      <c r="H223" s="482">
        <v>0</v>
      </c>
      <c r="I223" s="482">
        <f t="shared" si="83"/>
        <v>0</v>
      </c>
      <c r="J223" s="483"/>
      <c r="K223" s="482"/>
      <c r="L223" s="482">
        <f t="shared" si="84"/>
        <v>0</v>
      </c>
      <c r="M223" s="483"/>
      <c r="N223" s="483"/>
      <c r="O223" s="483"/>
      <c r="P223" s="483"/>
      <c r="Q223" s="483"/>
      <c r="R223" s="411"/>
    </row>
    <row r="224" spans="2:18">
      <c r="B224" s="602">
        <f t="shared" si="85"/>
        <v>9.4999999999999982</v>
      </c>
      <c r="C224" s="428" t="s">
        <v>31</v>
      </c>
      <c r="D224" s="482"/>
      <c r="E224" s="482">
        <f>+E220-E221+E222-E223</f>
        <v>0</v>
      </c>
      <c r="F224" s="482">
        <f t="shared" si="82"/>
        <v>0</v>
      </c>
      <c r="G224" s="482"/>
      <c r="H224" s="482">
        <f>+H220-H221+H222-H223</f>
        <v>0</v>
      </c>
      <c r="I224" s="482">
        <f t="shared" si="83"/>
        <v>0</v>
      </c>
      <c r="J224" s="483"/>
      <c r="K224" s="483">
        <f>+J220-J221+J222-J223</f>
        <v>0</v>
      </c>
      <c r="L224" s="482">
        <f t="shared" si="84"/>
        <v>0</v>
      </c>
      <c r="M224" s="483"/>
      <c r="N224" s="483">
        <f>+M220-M221+M222-M223</f>
        <v>0</v>
      </c>
      <c r="O224" s="483"/>
      <c r="P224" s="483"/>
      <c r="Q224" s="483">
        <f>+O220-O221+O222-O223</f>
        <v>0</v>
      </c>
      <c r="R224" s="411"/>
    </row>
    <row r="225" spans="2:18">
      <c r="B225" s="602">
        <f t="shared" si="85"/>
        <v>9.5999999999999979</v>
      </c>
      <c r="C225" s="428" t="s">
        <v>473</v>
      </c>
      <c r="D225" s="482"/>
      <c r="E225" s="442">
        <f>AVERAGE(E220,E224)</f>
        <v>0</v>
      </c>
      <c r="F225" s="482">
        <f t="shared" si="82"/>
        <v>0</v>
      </c>
      <c r="G225" s="482"/>
      <c r="H225" s="442">
        <f>AVERAGE(H220,H224)</f>
        <v>0</v>
      </c>
      <c r="I225" s="482">
        <f t="shared" si="83"/>
        <v>0</v>
      </c>
      <c r="J225" s="483"/>
      <c r="K225" s="482"/>
      <c r="L225" s="482">
        <f t="shared" si="84"/>
        <v>0</v>
      </c>
      <c r="M225" s="483"/>
      <c r="N225" s="483"/>
      <c r="O225" s="483"/>
      <c r="P225" s="483"/>
      <c r="Q225" s="483"/>
      <c r="R225" s="411"/>
    </row>
    <row r="226" spans="2:18" s="598" customFormat="1">
      <c r="B226" s="606">
        <f t="shared" si="85"/>
        <v>9.6999999999999975</v>
      </c>
      <c r="C226" s="594" t="s">
        <v>32</v>
      </c>
      <c r="D226" s="595"/>
      <c r="E226" s="595">
        <f>IFERROR(E227/E225,0)</f>
        <v>0</v>
      </c>
      <c r="F226" s="595" t="e">
        <f>F227/F225</f>
        <v>#DIV/0!</v>
      </c>
      <c r="G226" s="595"/>
      <c r="H226" s="595">
        <f>IFERROR(H227/H225,0)</f>
        <v>0</v>
      </c>
      <c r="I226" s="595" t="e">
        <f>I227/I225</f>
        <v>#DIV/0!</v>
      </c>
      <c r="J226" s="596"/>
      <c r="K226" s="596" t="e">
        <f>J227/K225</f>
        <v>#DIV/0!</v>
      </c>
      <c r="L226" s="595" t="e">
        <f>L227/L225</f>
        <v>#DIV/0!</v>
      </c>
      <c r="M226" s="596"/>
      <c r="N226" s="596" t="e">
        <f>M227/N225</f>
        <v>#DIV/0!</v>
      </c>
      <c r="O226" s="596"/>
      <c r="P226" s="596"/>
      <c r="Q226" s="596" t="e">
        <f>O227/Q225</f>
        <v>#DIV/0!</v>
      </c>
      <c r="R226" s="597"/>
    </row>
    <row r="227" spans="2:18">
      <c r="B227" s="602">
        <f t="shared" si="85"/>
        <v>9.7999999999999972</v>
      </c>
      <c r="C227" s="428" t="s">
        <v>33</v>
      </c>
      <c r="D227" s="482"/>
      <c r="E227" s="482">
        <v>0</v>
      </c>
      <c r="F227" s="482">
        <f t="shared" si="82"/>
        <v>0</v>
      </c>
      <c r="G227" s="482"/>
      <c r="H227" s="482">
        <v>0</v>
      </c>
      <c r="I227" s="482">
        <f t="shared" si="83"/>
        <v>0</v>
      </c>
      <c r="J227" s="483"/>
      <c r="K227" s="482"/>
      <c r="L227" s="482">
        <f t="shared" si="84"/>
        <v>0</v>
      </c>
      <c r="M227" s="483"/>
      <c r="N227" s="483"/>
      <c r="O227" s="483"/>
      <c r="P227" s="483"/>
      <c r="Q227" s="483"/>
      <c r="R227" s="411"/>
    </row>
    <row r="228" spans="2:18">
      <c r="B228" s="602"/>
      <c r="C228" s="428"/>
      <c r="D228" s="482"/>
      <c r="E228" s="482"/>
      <c r="F228" s="482"/>
      <c r="G228" s="482"/>
      <c r="H228" s="482"/>
      <c r="I228" s="482"/>
      <c r="J228" s="483"/>
      <c r="K228" s="482"/>
      <c r="L228" s="482"/>
      <c r="M228" s="483"/>
      <c r="N228" s="483"/>
      <c r="O228" s="483"/>
      <c r="P228" s="483"/>
      <c r="Q228" s="483"/>
      <c r="R228" s="411"/>
    </row>
    <row r="229" spans="2:18" s="22" customFormat="1">
      <c r="B229" s="604">
        <v>10</v>
      </c>
      <c r="C229" s="429" t="s">
        <v>1411</v>
      </c>
      <c r="D229" s="482"/>
      <c r="E229" s="482"/>
      <c r="F229" s="482"/>
      <c r="G229" s="482"/>
      <c r="H229" s="482"/>
      <c r="I229" s="482"/>
      <c r="J229" s="483"/>
      <c r="K229" s="482"/>
      <c r="L229" s="482"/>
      <c r="M229" s="483"/>
      <c r="N229" s="483"/>
      <c r="O229" s="483"/>
      <c r="P229" s="483"/>
      <c r="Q229" s="483"/>
      <c r="R229" s="424"/>
    </row>
    <row r="230" spans="2:18">
      <c r="B230" s="602">
        <f>B229+0.1</f>
        <v>10.1</v>
      </c>
      <c r="C230" s="428" t="s">
        <v>29</v>
      </c>
      <c r="D230" s="482"/>
      <c r="E230" s="482">
        <v>0</v>
      </c>
      <c r="F230" s="482">
        <f t="shared" ref="F230:F237" si="86">E230-D230</f>
        <v>0</v>
      </c>
      <c r="G230" s="482"/>
      <c r="H230" s="482">
        <v>0</v>
      </c>
      <c r="I230" s="482">
        <f t="shared" ref="I230:I237" si="87">H230-G230</f>
        <v>0</v>
      </c>
      <c r="J230" s="483"/>
      <c r="K230" s="482"/>
      <c r="L230" s="482">
        <f t="shared" ref="L230:L237" si="88">K230-J230</f>
        <v>0</v>
      </c>
      <c r="M230" s="483"/>
      <c r="N230" s="483"/>
      <c r="O230" s="483"/>
      <c r="P230" s="483"/>
      <c r="Q230" s="483"/>
      <c r="R230" s="411"/>
    </row>
    <row r="231" spans="2:18">
      <c r="B231" s="602">
        <f t="shared" ref="B231:B237" si="89">B230+0.1</f>
        <v>10.199999999999999</v>
      </c>
      <c r="C231" s="428" t="s">
        <v>401</v>
      </c>
      <c r="D231" s="482"/>
      <c r="E231" s="482">
        <v>0</v>
      </c>
      <c r="F231" s="482">
        <f t="shared" si="86"/>
        <v>0</v>
      </c>
      <c r="G231" s="482"/>
      <c r="H231" s="482">
        <v>0</v>
      </c>
      <c r="I231" s="482">
        <f t="shared" si="87"/>
        <v>0</v>
      </c>
      <c r="J231" s="483"/>
      <c r="K231" s="482"/>
      <c r="L231" s="482">
        <f t="shared" si="88"/>
        <v>0</v>
      </c>
      <c r="M231" s="483"/>
      <c r="N231" s="483"/>
      <c r="O231" s="483"/>
      <c r="P231" s="483"/>
      <c r="Q231" s="483"/>
      <c r="R231" s="411"/>
    </row>
    <row r="232" spans="2:18">
      <c r="B232" s="602">
        <f t="shared" si="89"/>
        <v>10.299999999999999</v>
      </c>
      <c r="C232" s="428" t="s">
        <v>343</v>
      </c>
      <c r="D232" s="482"/>
      <c r="E232" s="482">
        <v>0</v>
      </c>
      <c r="F232" s="482">
        <f t="shared" si="86"/>
        <v>0</v>
      </c>
      <c r="G232" s="482"/>
      <c r="H232" s="482">
        <v>0</v>
      </c>
      <c r="I232" s="482">
        <f t="shared" si="87"/>
        <v>0</v>
      </c>
      <c r="J232" s="483"/>
      <c r="K232" s="482"/>
      <c r="L232" s="482">
        <f t="shared" si="88"/>
        <v>0</v>
      </c>
      <c r="M232" s="483"/>
      <c r="N232" s="483"/>
      <c r="O232" s="483"/>
      <c r="P232" s="483"/>
      <c r="Q232" s="483"/>
      <c r="R232" s="411"/>
    </row>
    <row r="233" spans="2:18">
      <c r="B233" s="602">
        <f t="shared" si="89"/>
        <v>10.399999999999999</v>
      </c>
      <c r="C233" s="428" t="s">
        <v>30</v>
      </c>
      <c r="D233" s="482"/>
      <c r="E233" s="482">
        <v>0</v>
      </c>
      <c r="F233" s="482">
        <f t="shared" si="86"/>
        <v>0</v>
      </c>
      <c r="G233" s="482"/>
      <c r="H233" s="482">
        <v>0</v>
      </c>
      <c r="I233" s="482">
        <f t="shared" si="87"/>
        <v>0</v>
      </c>
      <c r="J233" s="483"/>
      <c r="K233" s="482"/>
      <c r="L233" s="482">
        <f t="shared" si="88"/>
        <v>0</v>
      </c>
      <c r="M233" s="483"/>
      <c r="N233" s="483"/>
      <c r="O233" s="483"/>
      <c r="P233" s="483"/>
      <c r="Q233" s="483"/>
      <c r="R233" s="411"/>
    </row>
    <row r="234" spans="2:18">
      <c r="B234" s="602">
        <f t="shared" si="89"/>
        <v>10.499999999999998</v>
      </c>
      <c r="C234" s="428" t="s">
        <v>31</v>
      </c>
      <c r="D234" s="482"/>
      <c r="E234" s="482">
        <f>+E230-E231+E232-E233</f>
        <v>0</v>
      </c>
      <c r="F234" s="482">
        <f t="shared" si="86"/>
        <v>0</v>
      </c>
      <c r="G234" s="482"/>
      <c r="H234" s="482">
        <f>+H230-H231+H232-H233</f>
        <v>0</v>
      </c>
      <c r="I234" s="482">
        <f t="shared" si="87"/>
        <v>0</v>
      </c>
      <c r="J234" s="483"/>
      <c r="K234" s="483">
        <f>+J230-J231+J232-J233</f>
        <v>0</v>
      </c>
      <c r="L234" s="482">
        <f t="shared" si="88"/>
        <v>0</v>
      </c>
      <c r="M234" s="483"/>
      <c r="N234" s="483">
        <f>+M230-M231+M232-M233</f>
        <v>0</v>
      </c>
      <c r="O234" s="483"/>
      <c r="P234" s="483"/>
      <c r="Q234" s="483">
        <f>+O230-O231+O232-O233</f>
        <v>0</v>
      </c>
      <c r="R234" s="411"/>
    </row>
    <row r="235" spans="2:18">
      <c r="B235" s="602">
        <f t="shared" si="89"/>
        <v>10.599999999999998</v>
      </c>
      <c r="C235" s="428" t="s">
        <v>473</v>
      </c>
      <c r="D235" s="482"/>
      <c r="E235" s="442">
        <f>AVERAGE(E230,E234)</f>
        <v>0</v>
      </c>
      <c r="F235" s="482">
        <f t="shared" si="86"/>
        <v>0</v>
      </c>
      <c r="G235" s="482"/>
      <c r="H235" s="442">
        <f>AVERAGE(H230,H234)</f>
        <v>0</v>
      </c>
      <c r="I235" s="482">
        <f t="shared" si="87"/>
        <v>0</v>
      </c>
      <c r="J235" s="483"/>
      <c r="K235" s="482"/>
      <c r="L235" s="482">
        <f t="shared" si="88"/>
        <v>0</v>
      </c>
      <c r="M235" s="483"/>
      <c r="N235" s="483"/>
      <c r="O235" s="483"/>
      <c r="P235" s="483"/>
      <c r="Q235" s="483"/>
      <c r="R235" s="411"/>
    </row>
    <row r="236" spans="2:18" s="598" customFormat="1">
      <c r="B236" s="606">
        <f t="shared" si="89"/>
        <v>10.699999999999998</v>
      </c>
      <c r="C236" s="594" t="s">
        <v>32</v>
      </c>
      <c r="D236" s="595"/>
      <c r="E236" s="595">
        <f>IFERROR(E237/E235,0)</f>
        <v>0</v>
      </c>
      <c r="F236" s="595" t="e">
        <f>F237/F235</f>
        <v>#DIV/0!</v>
      </c>
      <c r="G236" s="595"/>
      <c r="H236" s="595">
        <f>IFERROR(H237/H235,0)</f>
        <v>0</v>
      </c>
      <c r="I236" s="595" t="e">
        <f>I237/I235</f>
        <v>#DIV/0!</v>
      </c>
      <c r="J236" s="596"/>
      <c r="K236" s="596" t="e">
        <f>J237/K235</f>
        <v>#DIV/0!</v>
      </c>
      <c r="L236" s="595" t="e">
        <f>L237/L235</f>
        <v>#DIV/0!</v>
      </c>
      <c r="M236" s="596"/>
      <c r="N236" s="596" t="e">
        <f>M237/N235</f>
        <v>#DIV/0!</v>
      </c>
      <c r="O236" s="596"/>
      <c r="P236" s="596"/>
      <c r="Q236" s="596" t="e">
        <f>O237/Q235</f>
        <v>#DIV/0!</v>
      </c>
      <c r="R236" s="597"/>
    </row>
    <row r="237" spans="2:18">
      <c r="B237" s="602">
        <f t="shared" si="89"/>
        <v>10.799999999999997</v>
      </c>
      <c r="C237" s="428" t="s">
        <v>33</v>
      </c>
      <c r="D237" s="482"/>
      <c r="E237" s="482">
        <v>0</v>
      </c>
      <c r="F237" s="482">
        <f t="shared" si="86"/>
        <v>0</v>
      </c>
      <c r="G237" s="482"/>
      <c r="H237" s="482">
        <v>0</v>
      </c>
      <c r="I237" s="482">
        <f t="shared" si="87"/>
        <v>0</v>
      </c>
      <c r="J237" s="483"/>
      <c r="K237" s="482"/>
      <c r="L237" s="482">
        <f t="shared" si="88"/>
        <v>0</v>
      </c>
      <c r="M237" s="483"/>
      <c r="N237" s="483"/>
      <c r="O237" s="483"/>
      <c r="P237" s="483"/>
      <c r="Q237" s="483"/>
      <c r="R237" s="411"/>
    </row>
    <row r="238" spans="2:18">
      <c r="B238" s="602"/>
      <c r="C238" s="428"/>
      <c r="D238" s="482"/>
      <c r="E238" s="482"/>
      <c r="F238" s="482"/>
      <c r="G238" s="482"/>
      <c r="H238" s="482"/>
      <c r="I238" s="482"/>
      <c r="J238" s="483"/>
      <c r="K238" s="482"/>
      <c r="L238" s="482"/>
      <c r="M238" s="483"/>
      <c r="N238" s="483"/>
      <c r="O238" s="483"/>
      <c r="P238" s="483"/>
      <c r="Q238" s="483"/>
      <c r="R238" s="411"/>
    </row>
    <row r="239" spans="2:18" s="22" customFormat="1">
      <c r="B239" s="604">
        <v>11</v>
      </c>
      <c r="C239" s="429" t="s">
        <v>1412</v>
      </c>
      <c r="D239" s="482"/>
      <c r="E239" s="482"/>
      <c r="F239" s="482"/>
      <c r="G239" s="482"/>
      <c r="H239" s="482"/>
      <c r="I239" s="482"/>
      <c r="J239" s="483"/>
      <c r="K239" s="482"/>
      <c r="L239" s="482"/>
      <c r="M239" s="483"/>
      <c r="N239" s="483"/>
      <c r="O239" s="483"/>
      <c r="P239" s="483"/>
      <c r="Q239" s="483"/>
      <c r="R239" s="424"/>
    </row>
    <row r="240" spans="2:18">
      <c r="B240" s="602">
        <f>B239+0.1</f>
        <v>11.1</v>
      </c>
      <c r="C240" s="428" t="s">
        <v>29</v>
      </c>
      <c r="D240" s="482"/>
      <c r="E240" s="482">
        <v>0</v>
      </c>
      <c r="F240" s="482">
        <f t="shared" ref="F240:F247" si="90">E240-D240</f>
        <v>0</v>
      </c>
      <c r="G240" s="482"/>
      <c r="H240" s="482">
        <v>0</v>
      </c>
      <c r="I240" s="482">
        <f t="shared" ref="I240:I247" si="91">H240-G240</f>
        <v>0</v>
      </c>
      <c r="J240" s="483"/>
      <c r="K240" s="482"/>
      <c r="L240" s="482">
        <f t="shared" ref="L240:L247" si="92">K240-J240</f>
        <v>0</v>
      </c>
      <c r="M240" s="483"/>
      <c r="N240" s="483"/>
      <c r="O240" s="483"/>
      <c r="P240" s="483"/>
      <c r="Q240" s="483"/>
      <c r="R240" s="411"/>
    </row>
    <row r="241" spans="2:18">
      <c r="B241" s="602">
        <f t="shared" ref="B241:B247" si="93">B240+0.1</f>
        <v>11.2</v>
      </c>
      <c r="C241" s="428" t="s">
        <v>401</v>
      </c>
      <c r="D241" s="482"/>
      <c r="E241" s="482">
        <v>0</v>
      </c>
      <c r="F241" s="482">
        <f t="shared" si="90"/>
        <v>0</v>
      </c>
      <c r="G241" s="482"/>
      <c r="H241" s="482">
        <v>0</v>
      </c>
      <c r="I241" s="482">
        <f t="shared" si="91"/>
        <v>0</v>
      </c>
      <c r="J241" s="483"/>
      <c r="K241" s="482"/>
      <c r="L241" s="482">
        <f t="shared" si="92"/>
        <v>0</v>
      </c>
      <c r="M241" s="483"/>
      <c r="N241" s="483"/>
      <c r="O241" s="483"/>
      <c r="P241" s="483"/>
      <c r="Q241" s="483"/>
      <c r="R241" s="411"/>
    </row>
    <row r="242" spans="2:18">
      <c r="B242" s="602">
        <f t="shared" si="93"/>
        <v>11.299999999999999</v>
      </c>
      <c r="C242" s="428" t="s">
        <v>343</v>
      </c>
      <c r="D242" s="482"/>
      <c r="E242" s="482">
        <v>0</v>
      </c>
      <c r="F242" s="482">
        <f t="shared" si="90"/>
        <v>0</v>
      </c>
      <c r="G242" s="482"/>
      <c r="H242" s="482">
        <v>0</v>
      </c>
      <c r="I242" s="482">
        <f t="shared" si="91"/>
        <v>0</v>
      </c>
      <c r="J242" s="483"/>
      <c r="K242" s="482"/>
      <c r="L242" s="482">
        <f t="shared" si="92"/>
        <v>0</v>
      </c>
      <c r="M242" s="483"/>
      <c r="N242" s="483"/>
      <c r="O242" s="483"/>
      <c r="P242" s="483"/>
      <c r="Q242" s="483"/>
      <c r="R242" s="411"/>
    </row>
    <row r="243" spans="2:18">
      <c r="B243" s="602">
        <f t="shared" si="93"/>
        <v>11.399999999999999</v>
      </c>
      <c r="C243" s="428" t="s">
        <v>30</v>
      </c>
      <c r="D243" s="482"/>
      <c r="E243" s="482">
        <v>0</v>
      </c>
      <c r="F243" s="482">
        <f t="shared" si="90"/>
        <v>0</v>
      </c>
      <c r="G243" s="482"/>
      <c r="H243" s="482">
        <v>0</v>
      </c>
      <c r="I243" s="482">
        <f t="shared" si="91"/>
        <v>0</v>
      </c>
      <c r="J243" s="483"/>
      <c r="K243" s="482"/>
      <c r="L243" s="482">
        <f t="shared" si="92"/>
        <v>0</v>
      </c>
      <c r="M243" s="483"/>
      <c r="N243" s="483"/>
      <c r="O243" s="483"/>
      <c r="P243" s="483"/>
      <c r="Q243" s="483"/>
      <c r="R243" s="411"/>
    </row>
    <row r="244" spans="2:18">
      <c r="B244" s="602">
        <f t="shared" si="93"/>
        <v>11.499999999999998</v>
      </c>
      <c r="C244" s="428" t="s">
        <v>31</v>
      </c>
      <c r="D244" s="482"/>
      <c r="E244" s="482">
        <f>+E240-E241+E242-E243</f>
        <v>0</v>
      </c>
      <c r="F244" s="482">
        <f t="shared" si="90"/>
        <v>0</v>
      </c>
      <c r="G244" s="482"/>
      <c r="H244" s="482">
        <f>+H240-H241+H242-H243</f>
        <v>0</v>
      </c>
      <c r="I244" s="482">
        <f t="shared" si="91"/>
        <v>0</v>
      </c>
      <c r="J244" s="483"/>
      <c r="K244" s="483">
        <f>+J240-J241+J242-J243</f>
        <v>0</v>
      </c>
      <c r="L244" s="482">
        <f t="shared" si="92"/>
        <v>0</v>
      </c>
      <c r="M244" s="483"/>
      <c r="N244" s="483">
        <f>+M240-M241+M242-M243</f>
        <v>0</v>
      </c>
      <c r="O244" s="483"/>
      <c r="P244" s="483"/>
      <c r="Q244" s="483">
        <f>+O240-O241+O242-O243</f>
        <v>0</v>
      </c>
      <c r="R244" s="411"/>
    </row>
    <row r="245" spans="2:18">
      <c r="B245" s="602">
        <f t="shared" si="93"/>
        <v>11.599999999999998</v>
      </c>
      <c r="C245" s="428" t="s">
        <v>473</v>
      </c>
      <c r="D245" s="482"/>
      <c r="E245" s="442">
        <f>AVERAGE(E240,E244)</f>
        <v>0</v>
      </c>
      <c r="F245" s="482">
        <f t="shared" si="90"/>
        <v>0</v>
      </c>
      <c r="G245" s="482"/>
      <c r="H245" s="442">
        <f>AVERAGE(H240,H244)</f>
        <v>0</v>
      </c>
      <c r="I245" s="482">
        <f t="shared" si="91"/>
        <v>0</v>
      </c>
      <c r="J245" s="483"/>
      <c r="K245" s="482"/>
      <c r="L245" s="482">
        <f t="shared" si="92"/>
        <v>0</v>
      </c>
      <c r="M245" s="483"/>
      <c r="N245" s="483"/>
      <c r="O245" s="483"/>
      <c r="P245" s="483"/>
      <c r="Q245" s="483"/>
      <c r="R245" s="411"/>
    </row>
    <row r="246" spans="2:18" s="598" customFormat="1">
      <c r="B246" s="606">
        <f t="shared" si="93"/>
        <v>11.699999999999998</v>
      </c>
      <c r="C246" s="594" t="s">
        <v>32</v>
      </c>
      <c r="D246" s="595"/>
      <c r="E246" s="595">
        <f>IFERROR(E247/E245,0)</f>
        <v>0</v>
      </c>
      <c r="F246" s="595" t="e">
        <f>F247/F245</f>
        <v>#DIV/0!</v>
      </c>
      <c r="G246" s="595"/>
      <c r="H246" s="595">
        <f>IFERROR(H247/H245,0)</f>
        <v>0</v>
      </c>
      <c r="I246" s="595" t="e">
        <f>I247/I245</f>
        <v>#DIV/0!</v>
      </c>
      <c r="J246" s="596"/>
      <c r="K246" s="596" t="e">
        <f>J247/K245</f>
        <v>#DIV/0!</v>
      </c>
      <c r="L246" s="595" t="e">
        <f>L247/L245</f>
        <v>#DIV/0!</v>
      </c>
      <c r="M246" s="596"/>
      <c r="N246" s="596" t="e">
        <f>M247/N245</f>
        <v>#DIV/0!</v>
      </c>
      <c r="O246" s="596"/>
      <c r="P246" s="596"/>
      <c r="Q246" s="596" t="e">
        <f>O247/Q245</f>
        <v>#DIV/0!</v>
      </c>
      <c r="R246" s="597"/>
    </row>
    <row r="247" spans="2:18">
      <c r="B247" s="602">
        <f t="shared" si="93"/>
        <v>11.799999999999997</v>
      </c>
      <c r="C247" s="428" t="s">
        <v>33</v>
      </c>
      <c r="D247" s="482"/>
      <c r="E247" s="482">
        <v>0</v>
      </c>
      <c r="F247" s="482">
        <f t="shared" si="90"/>
        <v>0</v>
      </c>
      <c r="G247" s="482"/>
      <c r="H247" s="482">
        <v>0</v>
      </c>
      <c r="I247" s="482">
        <f t="shared" si="91"/>
        <v>0</v>
      </c>
      <c r="J247" s="483"/>
      <c r="K247" s="482"/>
      <c r="L247" s="482">
        <f t="shared" si="92"/>
        <v>0</v>
      </c>
      <c r="M247" s="483"/>
      <c r="N247" s="483"/>
      <c r="O247" s="483"/>
      <c r="P247" s="483"/>
      <c r="Q247" s="483"/>
      <c r="R247" s="411"/>
    </row>
    <row r="248" spans="2:18">
      <c r="B248" s="602"/>
      <c r="C248" s="428"/>
      <c r="D248" s="482"/>
      <c r="E248" s="482"/>
      <c r="F248" s="482"/>
      <c r="G248" s="482"/>
      <c r="H248" s="482"/>
      <c r="I248" s="482"/>
      <c r="J248" s="483"/>
      <c r="K248" s="482"/>
      <c r="L248" s="482"/>
      <c r="M248" s="483"/>
      <c r="N248" s="483"/>
      <c r="O248" s="483"/>
      <c r="P248" s="483"/>
      <c r="Q248" s="483"/>
      <c r="R248" s="411"/>
    </row>
    <row r="249" spans="2:18" s="22" customFormat="1">
      <c r="B249" s="604">
        <v>12</v>
      </c>
      <c r="C249" s="429" t="s">
        <v>1413</v>
      </c>
      <c r="D249" s="482"/>
      <c r="E249" s="482"/>
      <c r="F249" s="482"/>
      <c r="G249" s="482"/>
      <c r="H249" s="482"/>
      <c r="I249" s="482"/>
      <c r="J249" s="483"/>
      <c r="K249" s="482"/>
      <c r="L249" s="482"/>
      <c r="M249" s="483"/>
      <c r="N249" s="483"/>
      <c r="O249" s="483"/>
      <c r="P249" s="483"/>
      <c r="Q249" s="483"/>
      <c r="R249" s="424"/>
    </row>
    <row r="250" spans="2:18">
      <c r="B250" s="602">
        <f>B249+0.1</f>
        <v>12.1</v>
      </c>
      <c r="C250" s="428" t="s">
        <v>29</v>
      </c>
      <c r="D250" s="482"/>
      <c r="E250" s="482">
        <v>0</v>
      </c>
      <c r="F250" s="482">
        <f t="shared" ref="F250:F257" si="94">E250-D250</f>
        <v>0</v>
      </c>
      <c r="G250" s="482"/>
      <c r="H250" s="482">
        <v>0</v>
      </c>
      <c r="I250" s="482">
        <f t="shared" ref="I250:I257" si="95">H250-G250</f>
        <v>0</v>
      </c>
      <c r="J250" s="483"/>
      <c r="K250" s="482"/>
      <c r="L250" s="482">
        <f t="shared" ref="L250:L257" si="96">K250-J250</f>
        <v>0</v>
      </c>
      <c r="M250" s="483"/>
      <c r="N250" s="483"/>
      <c r="O250" s="483"/>
      <c r="P250" s="483"/>
      <c r="Q250" s="483"/>
      <c r="R250" s="411"/>
    </row>
    <row r="251" spans="2:18">
      <c r="B251" s="602">
        <f t="shared" ref="B251:B257" si="97">B250+0.1</f>
        <v>12.2</v>
      </c>
      <c r="C251" s="428" t="s">
        <v>401</v>
      </c>
      <c r="D251" s="482"/>
      <c r="E251" s="482">
        <v>0</v>
      </c>
      <c r="F251" s="482">
        <f t="shared" si="94"/>
        <v>0</v>
      </c>
      <c r="G251" s="482"/>
      <c r="H251" s="482">
        <v>0</v>
      </c>
      <c r="I251" s="482">
        <f t="shared" si="95"/>
        <v>0</v>
      </c>
      <c r="J251" s="483"/>
      <c r="K251" s="482"/>
      <c r="L251" s="482">
        <f t="shared" si="96"/>
        <v>0</v>
      </c>
      <c r="M251" s="483"/>
      <c r="N251" s="483"/>
      <c r="O251" s="483"/>
      <c r="P251" s="483"/>
      <c r="Q251" s="483"/>
      <c r="R251" s="411"/>
    </row>
    <row r="252" spans="2:18">
      <c r="B252" s="602">
        <f t="shared" si="97"/>
        <v>12.299999999999999</v>
      </c>
      <c r="C252" s="428" t="s">
        <v>343</v>
      </c>
      <c r="D252" s="482"/>
      <c r="E252" s="482">
        <v>0</v>
      </c>
      <c r="F252" s="482">
        <f t="shared" si="94"/>
        <v>0</v>
      </c>
      <c r="G252" s="482"/>
      <c r="H252" s="482">
        <v>0</v>
      </c>
      <c r="I252" s="482">
        <f t="shared" si="95"/>
        <v>0</v>
      </c>
      <c r="J252" s="483"/>
      <c r="K252" s="482"/>
      <c r="L252" s="482">
        <f t="shared" si="96"/>
        <v>0</v>
      </c>
      <c r="M252" s="483"/>
      <c r="N252" s="483"/>
      <c r="O252" s="483"/>
      <c r="P252" s="483"/>
      <c r="Q252" s="483"/>
      <c r="R252" s="411"/>
    </row>
    <row r="253" spans="2:18">
      <c r="B253" s="602">
        <f t="shared" si="97"/>
        <v>12.399999999999999</v>
      </c>
      <c r="C253" s="428" t="s">
        <v>30</v>
      </c>
      <c r="D253" s="482"/>
      <c r="E253" s="482">
        <v>0</v>
      </c>
      <c r="F253" s="482">
        <f t="shared" si="94"/>
        <v>0</v>
      </c>
      <c r="G253" s="482"/>
      <c r="H253" s="482">
        <v>0</v>
      </c>
      <c r="I253" s="482">
        <f t="shared" si="95"/>
        <v>0</v>
      </c>
      <c r="J253" s="483"/>
      <c r="K253" s="482"/>
      <c r="L253" s="482">
        <f t="shared" si="96"/>
        <v>0</v>
      </c>
      <c r="M253" s="483"/>
      <c r="N253" s="483"/>
      <c r="O253" s="483"/>
      <c r="P253" s="483"/>
      <c r="Q253" s="483"/>
      <c r="R253" s="411"/>
    </row>
    <row r="254" spans="2:18">
      <c r="B254" s="602">
        <f t="shared" si="97"/>
        <v>12.499999999999998</v>
      </c>
      <c r="C254" s="428" t="s">
        <v>31</v>
      </c>
      <c r="D254" s="482"/>
      <c r="E254" s="482">
        <f>+E250-E251+E252-E253</f>
        <v>0</v>
      </c>
      <c r="F254" s="482">
        <f t="shared" si="94"/>
        <v>0</v>
      </c>
      <c r="G254" s="482"/>
      <c r="H254" s="482">
        <f>+H250-H251+H252-H253</f>
        <v>0</v>
      </c>
      <c r="I254" s="482">
        <f t="shared" si="95"/>
        <v>0</v>
      </c>
      <c r="J254" s="483"/>
      <c r="K254" s="483">
        <f>+J250-J251+J252-J253</f>
        <v>0</v>
      </c>
      <c r="L254" s="482">
        <f t="shared" si="96"/>
        <v>0</v>
      </c>
      <c r="M254" s="483"/>
      <c r="N254" s="483">
        <f>+M250-M251+M252-M253</f>
        <v>0</v>
      </c>
      <c r="O254" s="483"/>
      <c r="P254" s="483"/>
      <c r="Q254" s="483">
        <f>+O250-O251+O252-O253</f>
        <v>0</v>
      </c>
      <c r="R254" s="411"/>
    </row>
    <row r="255" spans="2:18">
      <c r="B255" s="602">
        <f t="shared" si="97"/>
        <v>12.599999999999998</v>
      </c>
      <c r="C255" s="428" t="s">
        <v>473</v>
      </c>
      <c r="D255" s="482"/>
      <c r="E255" s="442">
        <f>AVERAGE(E250,E254)</f>
        <v>0</v>
      </c>
      <c r="F255" s="482">
        <f t="shared" si="94"/>
        <v>0</v>
      </c>
      <c r="G255" s="482"/>
      <c r="H255" s="442">
        <f>AVERAGE(H250,H254)</f>
        <v>0</v>
      </c>
      <c r="I255" s="482">
        <f t="shared" si="95"/>
        <v>0</v>
      </c>
      <c r="J255" s="483"/>
      <c r="K255" s="482"/>
      <c r="L255" s="482">
        <f t="shared" si="96"/>
        <v>0</v>
      </c>
      <c r="M255" s="483"/>
      <c r="N255" s="483"/>
      <c r="O255" s="483"/>
      <c r="P255" s="483"/>
      <c r="Q255" s="483"/>
      <c r="R255" s="411"/>
    </row>
    <row r="256" spans="2:18" s="598" customFormat="1">
      <c r="B256" s="606">
        <f t="shared" si="97"/>
        <v>12.699999999999998</v>
      </c>
      <c r="C256" s="594" t="s">
        <v>32</v>
      </c>
      <c r="D256" s="595"/>
      <c r="E256" s="595">
        <f>IFERROR(E257/E255,0)</f>
        <v>0</v>
      </c>
      <c r="F256" s="595" t="e">
        <f>F257/F255</f>
        <v>#DIV/0!</v>
      </c>
      <c r="G256" s="595"/>
      <c r="H256" s="595">
        <f>IFERROR(H257/H255,0)</f>
        <v>0</v>
      </c>
      <c r="I256" s="595" t="e">
        <f>I257/I255</f>
        <v>#DIV/0!</v>
      </c>
      <c r="J256" s="596"/>
      <c r="K256" s="596" t="e">
        <f>J257/K255</f>
        <v>#DIV/0!</v>
      </c>
      <c r="L256" s="595" t="e">
        <f>L257/L255</f>
        <v>#DIV/0!</v>
      </c>
      <c r="M256" s="596"/>
      <c r="N256" s="596" t="e">
        <f>M257/N255</f>
        <v>#DIV/0!</v>
      </c>
      <c r="O256" s="596"/>
      <c r="P256" s="596"/>
      <c r="Q256" s="596" t="e">
        <f>O257/Q255</f>
        <v>#DIV/0!</v>
      </c>
      <c r="R256" s="597"/>
    </row>
    <row r="257" spans="2:18">
      <c r="B257" s="602">
        <f t="shared" si="97"/>
        <v>12.799999999999997</v>
      </c>
      <c r="C257" s="428" t="s">
        <v>33</v>
      </c>
      <c r="D257" s="482"/>
      <c r="E257" s="482">
        <v>0</v>
      </c>
      <c r="F257" s="482">
        <f t="shared" si="94"/>
        <v>0</v>
      </c>
      <c r="G257" s="482"/>
      <c r="H257" s="482">
        <v>0</v>
      </c>
      <c r="I257" s="482">
        <f t="shared" si="95"/>
        <v>0</v>
      </c>
      <c r="J257" s="483"/>
      <c r="K257" s="482"/>
      <c r="L257" s="482">
        <f t="shared" si="96"/>
        <v>0</v>
      </c>
      <c r="M257" s="483"/>
      <c r="N257" s="483"/>
      <c r="O257" s="483"/>
      <c r="P257" s="483"/>
      <c r="Q257" s="483"/>
      <c r="R257" s="411"/>
    </row>
    <row r="258" spans="2:18">
      <c r="B258" s="602"/>
      <c r="C258" s="428" t="s">
        <v>24</v>
      </c>
      <c r="D258" s="484"/>
      <c r="E258" s="484"/>
      <c r="F258" s="484"/>
      <c r="G258" s="484"/>
      <c r="H258" s="484"/>
      <c r="I258" s="484"/>
      <c r="J258" s="484"/>
      <c r="K258" s="484"/>
      <c r="L258" s="484"/>
      <c r="M258" s="484"/>
      <c r="N258" s="484"/>
      <c r="O258" s="484"/>
      <c r="P258" s="484"/>
      <c r="Q258" s="484"/>
      <c r="R258" s="411"/>
    </row>
    <row r="259" spans="2:18">
      <c r="B259" s="602"/>
      <c r="C259" s="428" t="s">
        <v>24</v>
      </c>
      <c r="D259" s="484"/>
      <c r="E259" s="484"/>
      <c r="F259" s="484"/>
      <c r="G259" s="484"/>
      <c r="H259" s="484"/>
      <c r="I259" s="484"/>
      <c r="J259" s="484"/>
      <c r="K259" s="484"/>
      <c r="L259" s="484"/>
      <c r="M259" s="484"/>
      <c r="N259" s="484"/>
      <c r="O259" s="484"/>
      <c r="P259" s="484"/>
      <c r="Q259" s="484"/>
      <c r="R259" s="411"/>
    </row>
    <row r="260" spans="2:18">
      <c r="B260" s="602"/>
      <c r="C260" s="428"/>
      <c r="D260" s="484"/>
      <c r="E260" s="484"/>
      <c r="F260" s="484"/>
      <c r="G260" s="484"/>
      <c r="H260" s="484"/>
      <c r="I260" s="484"/>
      <c r="J260" s="484"/>
      <c r="K260" s="484"/>
      <c r="L260" s="484"/>
      <c r="M260" s="484"/>
      <c r="N260" s="484"/>
      <c r="O260" s="484"/>
      <c r="P260" s="484"/>
      <c r="Q260" s="484"/>
      <c r="R260" s="411"/>
    </row>
    <row r="261" spans="2:18">
      <c r="B261" s="604">
        <v>13</v>
      </c>
      <c r="C261" s="429" t="s">
        <v>272</v>
      </c>
      <c r="D261" s="484"/>
      <c r="E261" s="484"/>
      <c r="F261" s="484"/>
      <c r="G261" s="484"/>
      <c r="H261" s="484"/>
      <c r="I261" s="484"/>
      <c r="J261" s="484"/>
      <c r="K261" s="484"/>
      <c r="L261" s="484"/>
      <c r="M261" s="484"/>
      <c r="N261" s="484"/>
      <c r="O261" s="484"/>
      <c r="P261" s="484"/>
      <c r="Q261" s="484"/>
      <c r="R261" s="411"/>
    </row>
    <row r="262" spans="2:18">
      <c r="B262" s="602">
        <f t="shared" ref="B262:B269" si="98">B261+0.1</f>
        <v>13.1</v>
      </c>
      <c r="C262" s="428" t="s">
        <v>29</v>
      </c>
      <c r="D262" s="484"/>
      <c r="E262" s="484">
        <f t="shared" ref="E262:E269" si="99">E140+E150+E160+E170+E180+E190+E200+E210+E220+E230+E240+E250</f>
        <v>2255.8772871530005</v>
      </c>
      <c r="F262" s="484"/>
      <c r="G262" s="484"/>
      <c r="H262" s="484">
        <f t="shared" ref="H262:H269" si="100">H140+H150+H160+H170+H180+H190+H200+H210+H220+H230+H240+H250</f>
        <v>1816.6615541090005</v>
      </c>
      <c r="I262" s="484"/>
      <c r="J262" s="484"/>
      <c r="K262" s="484">
        <f t="shared" ref="K262:K269" si="101">K140+K150+K160+K170+K180+K190+K200+K210+K220+K230+K240+K250</f>
        <v>0</v>
      </c>
      <c r="L262" s="484"/>
      <c r="M262" s="484"/>
      <c r="N262" s="484">
        <f t="shared" ref="N262:N269" si="102">N140+N150+N160+N170+N180+N190+N200+N210+N220+N230+N240+N250</f>
        <v>0</v>
      </c>
      <c r="O262" s="484"/>
      <c r="P262" s="484"/>
      <c r="Q262" s="484">
        <f t="shared" ref="Q262:Q269" si="103">Q140+Q150+Q160+Q170+Q180+Q190+Q200+Q210+Q220+Q230+Q240+Q250</f>
        <v>0</v>
      </c>
      <c r="R262" s="411"/>
    </row>
    <row r="263" spans="2:18">
      <c r="B263" s="602">
        <f t="shared" si="98"/>
        <v>13.2</v>
      </c>
      <c r="C263" s="428" t="s">
        <v>401</v>
      </c>
      <c r="D263" s="484"/>
      <c r="E263" s="484">
        <f t="shared" si="99"/>
        <v>0</v>
      </c>
      <c r="F263" s="484"/>
      <c r="G263" s="484"/>
      <c r="H263" s="484">
        <f t="shared" si="100"/>
        <v>0</v>
      </c>
      <c r="I263" s="484"/>
      <c r="J263" s="484"/>
      <c r="K263" s="484">
        <f t="shared" si="101"/>
        <v>0</v>
      </c>
      <c r="L263" s="484"/>
      <c r="M263" s="484"/>
      <c r="N263" s="484">
        <f t="shared" si="102"/>
        <v>0</v>
      </c>
      <c r="O263" s="484"/>
      <c r="P263" s="484"/>
      <c r="Q263" s="484">
        <f t="shared" si="103"/>
        <v>0</v>
      </c>
      <c r="R263" s="411"/>
    </row>
    <row r="264" spans="2:18">
      <c r="B264" s="602">
        <f t="shared" si="98"/>
        <v>13.299999999999999</v>
      </c>
      <c r="C264" s="428" t="s">
        <v>343</v>
      </c>
      <c r="D264" s="484"/>
      <c r="E264" s="484">
        <f t="shared" si="99"/>
        <v>2.7498990999999999</v>
      </c>
      <c r="F264" s="484"/>
      <c r="G264" s="484"/>
      <c r="H264" s="484">
        <f t="shared" si="100"/>
        <v>4.3697524000000003</v>
      </c>
      <c r="I264" s="484"/>
      <c r="J264" s="484"/>
      <c r="K264" s="484">
        <f t="shared" si="101"/>
        <v>0</v>
      </c>
      <c r="L264" s="484"/>
      <c r="M264" s="484"/>
      <c r="N264" s="484">
        <f t="shared" si="102"/>
        <v>0</v>
      </c>
      <c r="O264" s="484"/>
      <c r="P264" s="484"/>
      <c r="Q264" s="484">
        <f t="shared" si="103"/>
        <v>0</v>
      </c>
      <c r="R264" s="411"/>
    </row>
    <row r="265" spans="2:18">
      <c r="B265" s="602">
        <f t="shared" si="98"/>
        <v>13.399999999999999</v>
      </c>
      <c r="C265" s="428" t="s">
        <v>30</v>
      </c>
      <c r="D265" s="484"/>
      <c r="E265" s="484">
        <f t="shared" si="99"/>
        <v>441.96563214400021</v>
      </c>
      <c r="F265" s="484"/>
      <c r="G265" s="484"/>
      <c r="H265" s="484">
        <f t="shared" si="100"/>
        <v>441.96565299200012</v>
      </c>
      <c r="I265" s="484"/>
      <c r="J265" s="484"/>
      <c r="K265" s="484">
        <f t="shared" si="101"/>
        <v>0</v>
      </c>
      <c r="L265" s="484"/>
      <c r="M265" s="484"/>
      <c r="N265" s="484">
        <f t="shared" si="102"/>
        <v>0</v>
      </c>
      <c r="O265" s="484"/>
      <c r="P265" s="484"/>
      <c r="Q265" s="484">
        <f t="shared" si="103"/>
        <v>0</v>
      </c>
      <c r="R265" s="411"/>
    </row>
    <row r="266" spans="2:18">
      <c r="B266" s="602">
        <f t="shared" si="98"/>
        <v>13.499999999999998</v>
      </c>
      <c r="C266" s="428" t="s">
        <v>31</v>
      </c>
      <c r="D266" s="484"/>
      <c r="E266" s="484">
        <f t="shared" si="99"/>
        <v>1816.6615541089998</v>
      </c>
      <c r="F266" s="484"/>
      <c r="G266" s="484"/>
      <c r="H266" s="484">
        <f t="shared" si="100"/>
        <v>1379.0656535170006</v>
      </c>
      <c r="I266" s="484"/>
      <c r="J266" s="484"/>
      <c r="K266" s="484">
        <f t="shared" si="101"/>
        <v>0</v>
      </c>
      <c r="L266" s="484"/>
      <c r="M266" s="484"/>
      <c r="N266" s="484">
        <f t="shared" si="102"/>
        <v>0</v>
      </c>
      <c r="O266" s="484"/>
      <c r="P266" s="484"/>
      <c r="Q266" s="484">
        <f t="shared" si="103"/>
        <v>0</v>
      </c>
      <c r="R266" s="411"/>
    </row>
    <row r="267" spans="2:18">
      <c r="B267" s="602">
        <f t="shared" si="98"/>
        <v>13.599999999999998</v>
      </c>
      <c r="C267" s="428" t="s">
        <v>473</v>
      </c>
      <c r="D267" s="484"/>
      <c r="E267" s="484">
        <f t="shared" si="99"/>
        <v>2036.269420631</v>
      </c>
      <c r="F267" s="484"/>
      <c r="G267" s="484"/>
      <c r="H267" s="484">
        <f t="shared" si="100"/>
        <v>1597.8636038130005</v>
      </c>
      <c r="I267" s="484"/>
      <c r="J267" s="484"/>
      <c r="K267" s="484">
        <f t="shared" si="101"/>
        <v>0</v>
      </c>
      <c r="L267" s="484"/>
      <c r="M267" s="484"/>
      <c r="N267" s="484">
        <f t="shared" si="102"/>
        <v>0</v>
      </c>
      <c r="O267" s="484"/>
      <c r="P267" s="484"/>
      <c r="Q267" s="484">
        <f t="shared" si="103"/>
        <v>0</v>
      </c>
      <c r="R267" s="411"/>
    </row>
    <row r="268" spans="2:18" s="598" customFormat="1">
      <c r="B268" s="606">
        <f t="shared" si="98"/>
        <v>13.699999999999998</v>
      </c>
      <c r="C268" s="594" t="s">
        <v>32</v>
      </c>
      <c r="D268" s="597"/>
      <c r="E268" s="595">
        <f>IFERROR(E269/E267,0)</f>
        <v>0.10292500731960057</v>
      </c>
      <c r="F268" s="597"/>
      <c r="G268" s="597"/>
      <c r="H268" s="597">
        <f t="shared" si="100"/>
        <v>0.21457544176362414</v>
      </c>
      <c r="I268" s="597"/>
      <c r="J268" s="597"/>
      <c r="K268" s="597" t="e">
        <f t="shared" si="101"/>
        <v>#DIV/0!</v>
      </c>
      <c r="L268" s="597"/>
      <c r="M268" s="597"/>
      <c r="N268" s="597" t="e">
        <f t="shared" si="102"/>
        <v>#DIV/0!</v>
      </c>
      <c r="O268" s="597"/>
      <c r="P268" s="597"/>
      <c r="Q268" s="597" t="e">
        <f t="shared" si="103"/>
        <v>#DIV/0!</v>
      </c>
      <c r="R268" s="597"/>
    </row>
    <row r="269" spans="2:18">
      <c r="B269" s="602">
        <f t="shared" si="98"/>
        <v>13.799999999999997</v>
      </c>
      <c r="C269" s="428" t="s">
        <v>33</v>
      </c>
      <c r="D269" s="484"/>
      <c r="E269" s="484">
        <f t="shared" si="99"/>
        <v>209.58304502312447</v>
      </c>
      <c r="F269" s="484"/>
      <c r="G269" s="484"/>
      <c r="H269" s="484">
        <f t="shared" si="100"/>
        <v>163.96895861958956</v>
      </c>
      <c r="I269" s="484"/>
      <c r="J269" s="484"/>
      <c r="K269" s="484">
        <f t="shared" si="101"/>
        <v>0</v>
      </c>
      <c r="L269" s="484"/>
      <c r="M269" s="484"/>
      <c r="N269" s="484">
        <f t="shared" si="102"/>
        <v>0</v>
      </c>
      <c r="O269" s="484"/>
      <c r="P269" s="484"/>
      <c r="Q269" s="484">
        <f t="shared" si="103"/>
        <v>0</v>
      </c>
      <c r="R269" s="411"/>
    </row>
    <row r="270" spans="2:18">
      <c r="B270" s="602"/>
      <c r="C270" s="428"/>
      <c r="D270" s="484"/>
      <c r="E270" s="325"/>
      <c r="F270" s="484"/>
      <c r="G270" s="484"/>
      <c r="H270" s="484"/>
      <c r="I270" s="484"/>
      <c r="J270" s="484"/>
      <c r="K270" s="484"/>
      <c r="L270" s="484"/>
      <c r="M270" s="484"/>
      <c r="N270" s="484"/>
      <c r="O270" s="484"/>
      <c r="P270" s="484"/>
      <c r="Q270" s="484"/>
      <c r="R270" s="411"/>
    </row>
    <row r="271" spans="2:18">
      <c r="B271" s="602"/>
      <c r="C271" s="428"/>
      <c r="D271" s="484"/>
      <c r="E271" s="484"/>
      <c r="F271" s="484"/>
      <c r="G271" s="484"/>
      <c r="H271" s="484"/>
      <c r="I271" s="484"/>
      <c r="J271" s="484"/>
      <c r="K271" s="484"/>
      <c r="L271" s="484"/>
      <c r="M271" s="484"/>
      <c r="N271" s="484"/>
      <c r="O271" s="484"/>
      <c r="P271" s="484"/>
      <c r="Q271" s="484"/>
      <c r="R271" s="411"/>
    </row>
    <row r="272" spans="2:18">
      <c r="B272" s="602">
        <v>14</v>
      </c>
      <c r="C272" s="429" t="s">
        <v>34</v>
      </c>
      <c r="D272" s="484"/>
      <c r="E272" s="484">
        <f>E269</f>
        <v>209.58304502312447</v>
      </c>
      <c r="F272" s="484"/>
      <c r="G272" s="484"/>
      <c r="H272" s="484">
        <f>H269</f>
        <v>163.96895861958956</v>
      </c>
      <c r="I272" s="484"/>
      <c r="J272" s="484"/>
      <c r="K272" s="484">
        <f>K269</f>
        <v>0</v>
      </c>
      <c r="L272" s="484"/>
      <c r="M272" s="484"/>
      <c r="N272" s="484">
        <f>N269</f>
        <v>0</v>
      </c>
      <c r="O272" s="484"/>
      <c r="P272" s="484"/>
      <c r="Q272" s="484">
        <f>Q269</f>
        <v>0</v>
      </c>
      <c r="R272" s="411"/>
    </row>
    <row r="273" spans="2:18">
      <c r="B273" s="602">
        <v>15</v>
      </c>
      <c r="C273" s="430" t="s">
        <v>35</v>
      </c>
      <c r="D273" s="484"/>
      <c r="E273" s="484"/>
      <c r="F273" s="484"/>
      <c r="G273" s="484"/>
      <c r="H273" s="484"/>
      <c r="I273" s="484"/>
      <c r="J273" s="484"/>
      <c r="K273" s="484"/>
      <c r="L273" s="484"/>
      <c r="M273" s="484"/>
      <c r="N273" s="484"/>
      <c r="O273" s="484"/>
      <c r="P273" s="484"/>
      <c r="Q273" s="484"/>
      <c r="R273" s="411"/>
    </row>
    <row r="274" spans="2:18">
      <c r="B274" s="607">
        <v>16</v>
      </c>
      <c r="C274" s="431" t="s">
        <v>36</v>
      </c>
      <c r="D274" s="484"/>
      <c r="E274" s="484">
        <f>E272-E273</f>
        <v>209.58304502312447</v>
      </c>
      <c r="F274" s="484"/>
      <c r="G274" s="484"/>
      <c r="H274" s="484">
        <f>H272-H273</f>
        <v>163.96895861958956</v>
      </c>
      <c r="I274" s="484"/>
      <c r="J274" s="484"/>
      <c r="K274" s="484">
        <f>K272-K273</f>
        <v>0</v>
      </c>
      <c r="L274" s="484"/>
      <c r="M274" s="484"/>
      <c r="N274" s="484">
        <f>N272-N273</f>
        <v>0</v>
      </c>
      <c r="O274" s="484"/>
      <c r="P274" s="484"/>
      <c r="Q274" s="484">
        <f>Q272-Q273</f>
        <v>0</v>
      </c>
      <c r="R274" s="411"/>
    </row>
    <row r="277" spans="2:18" ht="17.5">
      <c r="C277" s="709" t="s">
        <v>785</v>
      </c>
      <c r="D277" s="435"/>
      <c r="E277" s="435"/>
      <c r="F277" s="435"/>
      <c r="G277" s="435"/>
    </row>
    <row r="278" spans="2:18">
      <c r="B278" s="609"/>
      <c r="M278" s="21" t="s">
        <v>10</v>
      </c>
    </row>
    <row r="279" spans="2:18" ht="21.65" customHeight="1">
      <c r="B279" s="1858" t="s">
        <v>341</v>
      </c>
      <c r="C279" s="1855" t="s">
        <v>26</v>
      </c>
      <c r="D279" s="1851" t="s">
        <v>648</v>
      </c>
      <c r="E279" s="1852"/>
      <c r="F279" s="1853"/>
      <c r="G279" s="1851" t="s">
        <v>507</v>
      </c>
      <c r="H279" s="1852"/>
      <c r="I279" s="1853"/>
      <c r="J279" s="1795" t="s">
        <v>509</v>
      </c>
      <c r="K279" s="1796"/>
      <c r="L279" s="1797"/>
      <c r="M279" s="1795" t="s">
        <v>510</v>
      </c>
      <c r="N279" s="1797"/>
      <c r="O279" s="1795" t="s">
        <v>511</v>
      </c>
      <c r="P279" s="1796"/>
      <c r="Q279" s="1797"/>
      <c r="R279" s="1691" t="s">
        <v>27</v>
      </c>
    </row>
    <row r="280" spans="2:18" ht="43.5" customHeight="1">
      <c r="B280" s="1859"/>
      <c r="C280" s="1856"/>
      <c r="D280" s="436" t="s">
        <v>451</v>
      </c>
      <c r="E280" s="437" t="s">
        <v>79</v>
      </c>
      <c r="F280" s="437" t="s">
        <v>452</v>
      </c>
      <c r="G280" s="436" t="s">
        <v>451</v>
      </c>
      <c r="H280" s="437" t="s">
        <v>79</v>
      </c>
      <c r="I280" s="437" t="s">
        <v>452</v>
      </c>
      <c r="J280" s="293" t="s">
        <v>451</v>
      </c>
      <c r="K280" s="334" t="s">
        <v>80</v>
      </c>
      <c r="L280" s="293" t="s">
        <v>453</v>
      </c>
      <c r="M280" s="293" t="s">
        <v>451</v>
      </c>
      <c r="N280" s="293" t="s">
        <v>643</v>
      </c>
      <c r="O280" s="293" t="s">
        <v>451</v>
      </c>
      <c r="P280" s="693"/>
      <c r="Q280" s="293" t="s">
        <v>643</v>
      </c>
      <c r="R280" s="1691"/>
    </row>
    <row r="281" spans="2:18">
      <c r="B281" s="1860"/>
      <c r="C281" s="1857"/>
      <c r="D281" s="437" t="s">
        <v>81</v>
      </c>
      <c r="E281" s="437" t="s">
        <v>82</v>
      </c>
      <c r="F281" s="437" t="s">
        <v>644</v>
      </c>
      <c r="G281" s="437" t="s">
        <v>392</v>
      </c>
      <c r="H281" s="437" t="s">
        <v>410</v>
      </c>
      <c r="I281" s="437" t="s">
        <v>457</v>
      </c>
      <c r="J281" s="293" t="s">
        <v>622</v>
      </c>
      <c r="K281" s="334" t="s">
        <v>558</v>
      </c>
      <c r="L281" s="293" t="s">
        <v>679</v>
      </c>
      <c r="M281" s="293" t="s">
        <v>560</v>
      </c>
      <c r="N281" s="293" t="s">
        <v>561</v>
      </c>
      <c r="O281" s="293" t="s">
        <v>623</v>
      </c>
      <c r="P281" s="693"/>
      <c r="Q281" s="293" t="s">
        <v>562</v>
      </c>
      <c r="R281" s="1692"/>
    </row>
    <row r="282" spans="2:18">
      <c r="B282" s="602"/>
      <c r="C282" s="439"/>
      <c r="D282" s="429"/>
      <c r="E282" s="429"/>
      <c r="F282" s="429"/>
      <c r="G282" s="429"/>
      <c r="H282" s="439"/>
      <c r="I282" s="439"/>
      <c r="J282" s="24"/>
      <c r="K282" s="119"/>
      <c r="L282" s="24"/>
      <c r="M282" s="24"/>
      <c r="N282" s="24"/>
      <c r="O282" s="24"/>
      <c r="P282" s="24"/>
      <c r="Q282" s="24"/>
      <c r="R282" s="24"/>
    </row>
    <row r="283" spans="2:18" ht="15" customHeight="1">
      <c r="B283" s="604">
        <v>1</v>
      </c>
      <c r="C283" s="429" t="s">
        <v>423</v>
      </c>
      <c r="D283" s="440"/>
      <c r="E283" s="440"/>
      <c r="F283" s="440"/>
      <c r="G283" s="440"/>
      <c r="H283" s="440"/>
      <c r="I283" s="440"/>
      <c r="J283" s="412"/>
      <c r="K283" s="412"/>
      <c r="L283" s="412"/>
      <c r="M283" s="412"/>
      <c r="N283" s="412"/>
      <c r="O283" s="412"/>
      <c r="P283" s="412"/>
      <c r="Q283" s="412"/>
      <c r="R283" s="412"/>
    </row>
    <row r="284" spans="2:18" ht="15" customHeight="1">
      <c r="B284" s="602">
        <v>1.1000000000000001</v>
      </c>
      <c r="C284" s="428" t="s">
        <v>29</v>
      </c>
      <c r="D284" s="440"/>
      <c r="E284" s="440"/>
      <c r="F284" s="440"/>
      <c r="G284" s="440"/>
      <c r="H284" s="440"/>
      <c r="I284" s="440"/>
      <c r="J284" s="412"/>
      <c r="K284" s="412"/>
      <c r="L284" s="412"/>
      <c r="M284" s="412"/>
      <c r="N284" s="412"/>
      <c r="O284" s="412"/>
      <c r="P284" s="412"/>
      <c r="Q284" s="412"/>
      <c r="R284" s="412"/>
    </row>
    <row r="285" spans="2:18" ht="15" customHeight="1">
      <c r="B285" s="602">
        <f t="shared" ref="B285:B291" si="104">B284+0.1</f>
        <v>1.2000000000000002</v>
      </c>
      <c r="C285" s="428" t="s">
        <v>401</v>
      </c>
      <c r="D285" s="440"/>
      <c r="E285" s="440"/>
      <c r="F285" s="440"/>
      <c r="G285" s="440"/>
      <c r="H285" s="440"/>
      <c r="I285" s="440"/>
      <c r="J285" s="412"/>
      <c r="K285" s="412"/>
      <c r="L285" s="412"/>
      <c r="M285" s="412"/>
      <c r="N285" s="412"/>
      <c r="O285" s="412"/>
      <c r="P285" s="412"/>
      <c r="Q285" s="412"/>
      <c r="R285" s="412"/>
    </row>
    <row r="286" spans="2:18" ht="15" customHeight="1">
      <c r="B286" s="602">
        <f t="shared" si="104"/>
        <v>1.3000000000000003</v>
      </c>
      <c r="C286" s="428" t="s">
        <v>343</v>
      </c>
      <c r="D286" s="440"/>
      <c r="E286" s="440"/>
      <c r="F286" s="440"/>
      <c r="G286" s="440"/>
      <c r="H286" s="440"/>
      <c r="I286" s="440"/>
      <c r="J286" s="412"/>
      <c r="K286" s="412"/>
      <c r="L286" s="412"/>
      <c r="M286" s="412"/>
      <c r="N286" s="412"/>
      <c r="O286" s="412"/>
      <c r="P286" s="412"/>
      <c r="Q286" s="412"/>
      <c r="R286" s="412"/>
    </row>
    <row r="287" spans="2:18" ht="15" customHeight="1">
      <c r="B287" s="602">
        <f t="shared" si="104"/>
        <v>1.4000000000000004</v>
      </c>
      <c r="C287" s="428" t="s">
        <v>30</v>
      </c>
      <c r="D287" s="440"/>
      <c r="E287" s="440"/>
      <c r="F287" s="440"/>
      <c r="G287" s="440"/>
      <c r="H287" s="440"/>
      <c r="I287" s="440"/>
      <c r="J287" s="412"/>
      <c r="K287" s="412"/>
      <c r="L287" s="412"/>
      <c r="M287" s="412"/>
      <c r="N287" s="412"/>
      <c r="O287" s="412"/>
      <c r="P287" s="412"/>
      <c r="Q287" s="412"/>
      <c r="R287" s="412"/>
    </row>
    <row r="288" spans="2:18" ht="15" customHeight="1">
      <c r="B288" s="602">
        <f t="shared" si="104"/>
        <v>1.5000000000000004</v>
      </c>
      <c r="C288" s="428" t="s">
        <v>31</v>
      </c>
      <c r="D288" s="440"/>
      <c r="E288" s="425">
        <f>+E284-E285+E286-E287</f>
        <v>0</v>
      </c>
      <c r="F288" s="425"/>
      <c r="G288" s="425"/>
      <c r="H288" s="425">
        <f>+H284-H285+H286-H287</f>
        <v>0</v>
      </c>
      <c r="I288" s="425"/>
      <c r="J288" s="413"/>
      <c r="K288" s="413">
        <f>+K284-K285+K286-K287</f>
        <v>0</v>
      </c>
      <c r="L288" s="413"/>
      <c r="M288" s="413"/>
      <c r="N288" s="413">
        <f>+M284-M285+M286-M287</f>
        <v>0</v>
      </c>
      <c r="O288" s="413"/>
      <c r="P288" s="413"/>
      <c r="Q288" s="413">
        <f>+O284-O285+O286-O287</f>
        <v>0</v>
      </c>
      <c r="R288" s="413"/>
    </row>
    <row r="289" spans="2:18" ht="15" customHeight="1">
      <c r="B289" s="602">
        <f t="shared" si="104"/>
        <v>1.6000000000000005</v>
      </c>
      <c r="C289" s="428" t="s">
        <v>473</v>
      </c>
      <c r="D289" s="440"/>
      <c r="E289" s="806">
        <f>AVERAGE(E284,E288)</f>
        <v>0</v>
      </c>
      <c r="F289" s="425"/>
      <c r="G289" s="425"/>
      <c r="H289" s="425"/>
      <c r="I289" s="425"/>
      <c r="J289" s="413"/>
      <c r="K289" s="413"/>
      <c r="L289" s="413"/>
      <c r="M289" s="413"/>
      <c r="N289" s="413"/>
      <c r="O289" s="413"/>
      <c r="P289" s="413"/>
      <c r="Q289" s="413"/>
      <c r="R289" s="413"/>
    </row>
    <row r="290" spans="2:18" ht="15" customHeight="1">
      <c r="B290" s="602">
        <f t="shared" si="104"/>
        <v>1.7000000000000006</v>
      </c>
      <c r="C290" s="428" t="s">
        <v>32</v>
      </c>
      <c r="D290" s="440"/>
      <c r="E290" s="595">
        <f>IFERROR(E291/E289,0)</f>
        <v>0</v>
      </c>
      <c r="F290" s="425"/>
      <c r="G290" s="425"/>
      <c r="H290" s="425" t="e">
        <f>H291/H289</f>
        <v>#DIV/0!</v>
      </c>
      <c r="I290" s="425"/>
      <c r="J290" s="413"/>
      <c r="K290" s="413" t="e">
        <f>K291/K289</f>
        <v>#DIV/0!</v>
      </c>
      <c r="L290" s="413"/>
      <c r="M290" s="413"/>
      <c r="N290" s="413" t="e">
        <f>M291/N289</f>
        <v>#DIV/0!</v>
      </c>
      <c r="O290" s="413"/>
      <c r="P290" s="413"/>
      <c r="Q290" s="413" t="e">
        <f>O291/Q289</f>
        <v>#DIV/0!</v>
      </c>
      <c r="R290" s="413"/>
    </row>
    <row r="291" spans="2:18" ht="15" customHeight="1">
      <c r="B291" s="602">
        <f t="shared" si="104"/>
        <v>1.8000000000000007</v>
      </c>
      <c r="C291" s="428" t="s">
        <v>33</v>
      </c>
      <c r="D291" s="440"/>
      <c r="E291" s="440"/>
      <c r="F291" s="440"/>
      <c r="G291" s="440"/>
      <c r="H291" s="440"/>
      <c r="I291" s="440"/>
      <c r="J291" s="412"/>
      <c r="K291" s="412"/>
      <c r="L291" s="412"/>
      <c r="M291" s="412"/>
      <c r="N291" s="412"/>
      <c r="O291" s="412"/>
      <c r="P291" s="412"/>
      <c r="Q291" s="412"/>
      <c r="R291" s="412"/>
    </row>
    <row r="292" spans="2:18" ht="15" customHeight="1">
      <c r="B292" s="602"/>
      <c r="C292" s="428"/>
      <c r="D292" s="440"/>
      <c r="E292" s="440"/>
      <c r="F292" s="440"/>
      <c r="G292" s="440"/>
      <c r="H292" s="440"/>
      <c r="I292" s="440"/>
      <c r="J292" s="412"/>
      <c r="K292" s="412"/>
      <c r="L292" s="412"/>
      <c r="M292" s="412"/>
      <c r="N292" s="412"/>
      <c r="O292" s="412"/>
      <c r="P292" s="412"/>
      <c r="Q292" s="412"/>
      <c r="R292" s="412"/>
    </row>
    <row r="293" spans="2:18" ht="15" customHeight="1">
      <c r="B293" s="604">
        <v>2</v>
      </c>
      <c r="C293" s="429" t="s">
        <v>422</v>
      </c>
      <c r="D293" s="440"/>
      <c r="E293" s="440"/>
      <c r="F293" s="440"/>
      <c r="G293" s="440"/>
      <c r="H293" s="440"/>
      <c r="I293" s="440"/>
      <c r="J293" s="412"/>
      <c r="K293" s="412"/>
      <c r="L293" s="412"/>
      <c r="M293" s="412"/>
      <c r="N293" s="412"/>
      <c r="O293" s="412"/>
      <c r="P293" s="412"/>
      <c r="Q293" s="412"/>
      <c r="R293" s="412"/>
    </row>
    <row r="294" spans="2:18" ht="15" customHeight="1">
      <c r="B294" s="602">
        <f t="shared" ref="B294:B301" si="105">B293+0.1</f>
        <v>2.1</v>
      </c>
      <c r="C294" s="428" t="s">
        <v>29</v>
      </c>
      <c r="D294" s="440"/>
      <c r="E294" s="440"/>
      <c r="F294" s="440"/>
      <c r="G294" s="440"/>
      <c r="H294" s="440"/>
      <c r="I294" s="440"/>
      <c r="J294" s="412"/>
      <c r="K294" s="412"/>
      <c r="L294" s="412"/>
      <c r="M294" s="412"/>
      <c r="N294" s="412"/>
      <c r="O294" s="412"/>
      <c r="P294" s="412"/>
      <c r="Q294" s="412"/>
      <c r="R294" s="412"/>
    </row>
    <row r="295" spans="2:18" ht="15" customHeight="1">
      <c r="B295" s="602">
        <f t="shared" si="105"/>
        <v>2.2000000000000002</v>
      </c>
      <c r="C295" s="428" t="s">
        <v>401</v>
      </c>
      <c r="D295" s="440"/>
      <c r="E295" s="440"/>
      <c r="F295" s="440"/>
      <c r="G295" s="440"/>
      <c r="H295" s="440"/>
      <c r="I295" s="440"/>
      <c r="J295" s="412"/>
      <c r="K295" s="412"/>
      <c r="L295" s="412"/>
      <c r="M295" s="412"/>
      <c r="N295" s="412"/>
      <c r="O295" s="412"/>
      <c r="P295" s="412"/>
      <c r="Q295" s="412"/>
      <c r="R295" s="412"/>
    </row>
    <row r="296" spans="2:18" ht="15" customHeight="1">
      <c r="B296" s="602">
        <f t="shared" si="105"/>
        <v>2.3000000000000003</v>
      </c>
      <c r="C296" s="428" t="s">
        <v>343</v>
      </c>
      <c r="D296" s="440"/>
      <c r="E296" s="440"/>
      <c r="F296" s="440"/>
      <c r="G296" s="440"/>
      <c r="H296" s="440"/>
      <c r="I296" s="440"/>
      <c r="J296" s="412"/>
      <c r="K296" s="412"/>
      <c r="L296" s="412"/>
      <c r="M296" s="412"/>
      <c r="N296" s="412"/>
      <c r="O296" s="412"/>
      <c r="P296" s="412"/>
      <c r="Q296" s="412"/>
      <c r="R296" s="412"/>
    </row>
    <row r="297" spans="2:18" ht="15" customHeight="1">
      <c r="B297" s="602">
        <f t="shared" si="105"/>
        <v>2.4000000000000004</v>
      </c>
      <c r="C297" s="428" t="s">
        <v>30</v>
      </c>
      <c r="D297" s="440"/>
      <c r="E297" s="440"/>
      <c r="F297" s="440"/>
      <c r="G297" s="440"/>
      <c r="H297" s="440"/>
      <c r="I297" s="440"/>
      <c r="J297" s="412"/>
      <c r="K297" s="412"/>
      <c r="L297" s="412"/>
      <c r="M297" s="412"/>
      <c r="N297" s="412"/>
      <c r="O297" s="412"/>
      <c r="P297" s="412"/>
      <c r="Q297" s="412"/>
      <c r="R297" s="412"/>
    </row>
    <row r="298" spans="2:18" ht="15" customHeight="1">
      <c r="B298" s="602">
        <f t="shared" si="105"/>
        <v>2.5000000000000004</v>
      </c>
      <c r="C298" s="428" t="s">
        <v>31</v>
      </c>
      <c r="D298" s="440"/>
      <c r="E298" s="425">
        <f>+E294-E295+E296-E297</f>
        <v>0</v>
      </c>
      <c r="F298" s="425"/>
      <c r="G298" s="425"/>
      <c r="H298" s="425">
        <f>+H294-H295+H296-H297</f>
        <v>0</v>
      </c>
      <c r="I298" s="425"/>
      <c r="J298" s="413"/>
      <c r="K298" s="413">
        <f>+K294-K295+K296-K297</f>
        <v>0</v>
      </c>
      <c r="L298" s="413"/>
      <c r="M298" s="413"/>
      <c r="N298" s="413">
        <f>+M294-M295+M296-M297</f>
        <v>0</v>
      </c>
      <c r="O298" s="413"/>
      <c r="P298" s="413"/>
      <c r="Q298" s="413">
        <f>+O294-O295+O296-O297</f>
        <v>0</v>
      </c>
      <c r="R298" s="413"/>
    </row>
    <row r="299" spans="2:18" ht="15" customHeight="1">
      <c r="B299" s="602">
        <f t="shared" si="105"/>
        <v>2.6000000000000005</v>
      </c>
      <c r="C299" s="428" t="s">
        <v>473</v>
      </c>
      <c r="D299" s="440"/>
      <c r="E299" s="806">
        <f>AVERAGE(E294,E298)</f>
        <v>0</v>
      </c>
      <c r="F299" s="425"/>
      <c r="G299" s="425"/>
      <c r="H299" s="425"/>
      <c r="I299" s="425"/>
      <c r="J299" s="413"/>
      <c r="K299" s="413"/>
      <c r="L299" s="413"/>
      <c r="M299" s="413"/>
      <c r="N299" s="413"/>
      <c r="O299" s="413"/>
      <c r="P299" s="413"/>
      <c r="Q299" s="413"/>
      <c r="R299" s="413"/>
    </row>
    <row r="300" spans="2:18" ht="15" customHeight="1">
      <c r="B300" s="602">
        <f t="shared" si="105"/>
        <v>2.7000000000000006</v>
      </c>
      <c r="C300" s="428" t="s">
        <v>32</v>
      </c>
      <c r="D300" s="440"/>
      <c r="E300" s="595">
        <f>IFERROR(E301/E299,0)</f>
        <v>0</v>
      </c>
      <c r="F300" s="425"/>
      <c r="G300" s="425"/>
      <c r="H300" s="425" t="e">
        <f>H301/H299</f>
        <v>#DIV/0!</v>
      </c>
      <c r="I300" s="425"/>
      <c r="J300" s="413"/>
      <c r="K300" s="413" t="e">
        <f>K301/K299</f>
        <v>#DIV/0!</v>
      </c>
      <c r="L300" s="413"/>
      <c r="M300" s="413"/>
      <c r="N300" s="413" t="e">
        <f>M301/N299</f>
        <v>#DIV/0!</v>
      </c>
      <c r="O300" s="413"/>
      <c r="P300" s="413"/>
      <c r="Q300" s="413" t="e">
        <f>O301/Q299</f>
        <v>#DIV/0!</v>
      </c>
      <c r="R300" s="413"/>
    </row>
    <row r="301" spans="2:18" ht="15" customHeight="1">
      <c r="B301" s="602">
        <f t="shared" si="105"/>
        <v>2.8000000000000007</v>
      </c>
      <c r="C301" s="428" t="s">
        <v>33</v>
      </c>
      <c r="D301" s="440"/>
      <c r="E301" s="440"/>
      <c r="F301" s="440"/>
      <c r="G301" s="440"/>
      <c r="H301" s="440"/>
      <c r="I301" s="440"/>
      <c r="J301" s="412"/>
      <c r="K301" s="412"/>
      <c r="L301" s="412"/>
      <c r="M301" s="412"/>
      <c r="N301" s="412"/>
      <c r="O301" s="412"/>
      <c r="P301" s="412"/>
      <c r="Q301" s="412"/>
      <c r="R301" s="412"/>
    </row>
    <row r="302" spans="2:18" ht="15" customHeight="1">
      <c r="B302" s="602"/>
      <c r="C302" s="428"/>
      <c r="D302" s="440"/>
      <c r="E302" s="440"/>
      <c r="F302" s="440"/>
      <c r="G302" s="440"/>
      <c r="H302" s="440"/>
      <c r="I302" s="440"/>
      <c r="J302" s="412"/>
      <c r="K302" s="412"/>
      <c r="L302" s="412"/>
      <c r="M302" s="412"/>
      <c r="N302" s="412"/>
      <c r="O302" s="412"/>
      <c r="P302" s="412"/>
      <c r="Q302" s="412"/>
      <c r="R302" s="412"/>
    </row>
    <row r="303" spans="2:18" ht="15" customHeight="1">
      <c r="B303" s="604">
        <v>3</v>
      </c>
      <c r="C303" s="429" t="s">
        <v>489</v>
      </c>
      <c r="D303" s="440"/>
      <c r="E303" s="440"/>
      <c r="F303" s="440"/>
      <c r="G303" s="440"/>
      <c r="H303" s="440"/>
      <c r="I303" s="440"/>
      <c r="J303" s="412"/>
      <c r="K303" s="412"/>
      <c r="L303" s="412"/>
      <c r="M303" s="412"/>
      <c r="N303" s="412"/>
      <c r="O303" s="412"/>
      <c r="P303" s="412"/>
      <c r="Q303" s="412"/>
      <c r="R303" s="412"/>
    </row>
    <row r="304" spans="2:18" ht="15" customHeight="1">
      <c r="B304" s="602"/>
      <c r="C304" s="428" t="s">
        <v>24</v>
      </c>
      <c r="D304" s="440"/>
      <c r="E304" s="440"/>
      <c r="F304" s="440"/>
      <c r="G304" s="440"/>
      <c r="H304" s="440"/>
      <c r="I304" s="440"/>
      <c r="J304" s="412"/>
      <c r="K304" s="412"/>
      <c r="L304" s="412"/>
      <c r="M304" s="412"/>
      <c r="N304" s="412"/>
      <c r="O304" s="412"/>
      <c r="P304" s="412"/>
      <c r="Q304" s="412"/>
      <c r="R304" s="412"/>
    </row>
    <row r="305" spans="2:18" ht="15" customHeight="1">
      <c r="B305" s="602"/>
      <c r="C305" s="428" t="s">
        <v>24</v>
      </c>
      <c r="D305" s="440"/>
      <c r="E305" s="440"/>
      <c r="F305" s="440"/>
      <c r="G305" s="440"/>
      <c r="H305" s="440"/>
      <c r="I305" s="440"/>
      <c r="J305" s="412"/>
      <c r="K305" s="412"/>
      <c r="L305" s="412"/>
      <c r="M305" s="412"/>
      <c r="N305" s="412"/>
      <c r="O305" s="412"/>
      <c r="P305" s="412"/>
      <c r="Q305" s="412"/>
      <c r="R305" s="412"/>
    </row>
    <row r="306" spans="2:18" ht="15" customHeight="1">
      <c r="B306" s="602"/>
      <c r="C306" s="428" t="s">
        <v>24</v>
      </c>
      <c r="D306" s="440"/>
      <c r="E306" s="440"/>
      <c r="F306" s="440"/>
      <c r="G306" s="440"/>
      <c r="H306" s="440"/>
      <c r="I306" s="440"/>
      <c r="J306" s="412"/>
      <c r="K306" s="412"/>
      <c r="L306" s="412"/>
      <c r="M306" s="412"/>
      <c r="N306" s="412"/>
      <c r="O306" s="412"/>
      <c r="P306" s="412"/>
      <c r="Q306" s="412"/>
      <c r="R306" s="412"/>
    </row>
    <row r="307" spans="2:18" ht="15" customHeight="1">
      <c r="B307" s="602"/>
      <c r="C307" s="428"/>
      <c r="D307" s="440"/>
      <c r="E307" s="440"/>
      <c r="F307" s="440"/>
      <c r="G307" s="440"/>
      <c r="H307" s="440"/>
      <c r="I307" s="440"/>
      <c r="J307" s="412"/>
      <c r="K307" s="412"/>
      <c r="L307" s="412"/>
      <c r="M307" s="412"/>
      <c r="N307" s="412"/>
      <c r="O307" s="412"/>
      <c r="P307" s="412"/>
      <c r="Q307" s="412"/>
      <c r="R307" s="412"/>
    </row>
    <row r="308" spans="2:18" ht="15" customHeight="1">
      <c r="B308" s="604">
        <v>10</v>
      </c>
      <c r="C308" s="429" t="s">
        <v>272</v>
      </c>
      <c r="D308" s="440"/>
      <c r="E308" s="440"/>
      <c r="F308" s="440"/>
      <c r="G308" s="440"/>
      <c r="H308" s="440"/>
      <c r="I308" s="440"/>
      <c r="J308" s="412"/>
      <c r="K308" s="412"/>
      <c r="L308" s="412"/>
      <c r="M308" s="412"/>
      <c r="N308" s="412"/>
      <c r="O308" s="412"/>
      <c r="P308" s="412"/>
      <c r="Q308" s="412"/>
      <c r="R308" s="412"/>
    </row>
    <row r="309" spans="2:18" ht="15" customHeight="1">
      <c r="B309" s="602">
        <f t="shared" ref="B309:B316" si="106">B308+0.1</f>
        <v>10.1</v>
      </c>
      <c r="C309" s="428" t="s">
        <v>29</v>
      </c>
      <c r="D309" s="440"/>
      <c r="E309" s="440"/>
      <c r="F309" s="440"/>
      <c r="G309" s="440"/>
      <c r="H309" s="440"/>
      <c r="I309" s="440"/>
      <c r="J309" s="412"/>
      <c r="K309" s="412"/>
      <c r="L309" s="412"/>
      <c r="M309" s="412"/>
      <c r="N309" s="412"/>
      <c r="O309" s="412"/>
      <c r="P309" s="412"/>
      <c r="Q309" s="412"/>
      <c r="R309" s="412"/>
    </row>
    <row r="310" spans="2:18" ht="15" customHeight="1">
      <c r="B310" s="602">
        <f t="shared" si="106"/>
        <v>10.199999999999999</v>
      </c>
      <c r="C310" s="428" t="s">
        <v>401</v>
      </c>
      <c r="D310" s="440"/>
      <c r="E310" s="440"/>
      <c r="F310" s="440"/>
      <c r="G310" s="440"/>
      <c r="H310" s="440"/>
      <c r="I310" s="440"/>
      <c r="J310" s="412"/>
      <c r="K310" s="412"/>
      <c r="L310" s="412"/>
      <c r="M310" s="412"/>
      <c r="N310" s="412"/>
      <c r="O310" s="412"/>
      <c r="P310" s="412"/>
      <c r="Q310" s="412"/>
      <c r="R310" s="412"/>
    </row>
    <row r="311" spans="2:18" ht="15" customHeight="1">
      <c r="B311" s="602">
        <f t="shared" si="106"/>
        <v>10.299999999999999</v>
      </c>
      <c r="C311" s="428" t="s">
        <v>343</v>
      </c>
      <c r="D311" s="440"/>
      <c r="E311" s="440"/>
      <c r="F311" s="440"/>
      <c r="G311" s="440"/>
      <c r="H311" s="440"/>
      <c r="I311" s="440"/>
      <c r="J311" s="412"/>
      <c r="K311" s="412"/>
      <c r="L311" s="412"/>
      <c r="M311" s="412"/>
      <c r="N311" s="412"/>
      <c r="O311" s="412"/>
      <c r="P311" s="412"/>
      <c r="Q311" s="412"/>
      <c r="R311" s="412"/>
    </row>
    <row r="312" spans="2:18" ht="15" customHeight="1">
      <c r="B312" s="602">
        <f t="shared" si="106"/>
        <v>10.399999999999999</v>
      </c>
      <c r="C312" s="428" t="s">
        <v>30</v>
      </c>
      <c r="D312" s="440"/>
      <c r="E312" s="440"/>
      <c r="F312" s="440"/>
      <c r="G312" s="440"/>
      <c r="H312" s="440"/>
      <c r="I312" s="440"/>
      <c r="J312" s="412"/>
      <c r="K312" s="412"/>
      <c r="L312" s="412"/>
      <c r="M312" s="412"/>
      <c r="N312" s="412"/>
      <c r="O312" s="412"/>
      <c r="P312" s="412"/>
      <c r="Q312" s="412"/>
      <c r="R312" s="412"/>
    </row>
    <row r="313" spans="2:18" ht="15" customHeight="1">
      <c r="B313" s="602">
        <f t="shared" si="106"/>
        <v>10.499999999999998</v>
      </c>
      <c r="C313" s="428" t="s">
        <v>31</v>
      </c>
      <c r="D313" s="440"/>
      <c r="E313" s="440"/>
      <c r="F313" s="440"/>
      <c r="G313" s="440"/>
      <c r="H313" s="440"/>
      <c r="I313" s="440"/>
      <c r="J313" s="412"/>
      <c r="K313" s="412"/>
      <c r="L313" s="412"/>
      <c r="M313" s="412"/>
      <c r="N313" s="412"/>
      <c r="O313" s="412"/>
      <c r="P313" s="412"/>
      <c r="Q313" s="412"/>
      <c r="R313" s="412"/>
    </row>
    <row r="314" spans="2:18" ht="15" customHeight="1">
      <c r="B314" s="602">
        <f t="shared" si="106"/>
        <v>10.599999999999998</v>
      </c>
      <c r="C314" s="428" t="s">
        <v>473</v>
      </c>
      <c r="D314" s="440"/>
      <c r="E314" s="440"/>
      <c r="F314" s="440"/>
      <c r="G314" s="440"/>
      <c r="H314" s="440"/>
      <c r="I314" s="440"/>
      <c r="J314" s="412"/>
      <c r="K314" s="412"/>
      <c r="L314" s="412"/>
      <c r="M314" s="412"/>
      <c r="N314" s="412"/>
      <c r="O314" s="412"/>
      <c r="P314" s="412"/>
      <c r="Q314" s="412"/>
      <c r="R314" s="412"/>
    </row>
    <row r="315" spans="2:18" ht="15" customHeight="1">
      <c r="B315" s="602">
        <f t="shared" si="106"/>
        <v>10.699999999999998</v>
      </c>
      <c r="C315" s="428" t="s">
        <v>32</v>
      </c>
      <c r="D315" s="440"/>
      <c r="E315" s="595">
        <f>IFERROR(E316/E314,0)</f>
        <v>0</v>
      </c>
      <c r="F315" s="440"/>
      <c r="G315" s="440"/>
      <c r="H315" s="440"/>
      <c r="I315" s="440"/>
      <c r="J315" s="412"/>
      <c r="K315" s="412"/>
      <c r="L315" s="412"/>
      <c r="M315" s="412"/>
      <c r="N315" s="412"/>
      <c r="O315" s="412"/>
      <c r="P315" s="412"/>
      <c r="Q315" s="412"/>
      <c r="R315" s="412"/>
    </row>
    <row r="316" spans="2:18" ht="15" customHeight="1">
      <c r="B316" s="602">
        <f t="shared" si="106"/>
        <v>10.799999999999997</v>
      </c>
      <c r="C316" s="428" t="s">
        <v>33</v>
      </c>
      <c r="D316" s="440"/>
      <c r="E316" s="440"/>
      <c r="F316" s="440"/>
      <c r="G316" s="440"/>
      <c r="H316" s="440"/>
      <c r="I316" s="440"/>
      <c r="J316" s="412"/>
      <c r="K316" s="412"/>
      <c r="L316" s="412"/>
      <c r="M316" s="412"/>
      <c r="N316" s="412"/>
      <c r="O316" s="412"/>
      <c r="P316" s="412"/>
      <c r="Q316" s="412"/>
      <c r="R316" s="412"/>
    </row>
    <row r="317" spans="2:18" ht="15" customHeight="1">
      <c r="B317" s="602"/>
      <c r="C317" s="429"/>
      <c r="D317" s="440"/>
      <c r="E317" s="440"/>
      <c r="F317" s="440"/>
      <c r="G317" s="440"/>
      <c r="H317" s="440"/>
      <c r="I317" s="440"/>
      <c r="J317" s="412"/>
      <c r="K317" s="412"/>
      <c r="L317" s="412"/>
      <c r="M317" s="412"/>
      <c r="N317" s="412"/>
      <c r="O317" s="412"/>
      <c r="P317" s="412"/>
      <c r="Q317" s="412"/>
      <c r="R317" s="412"/>
    </row>
    <row r="318" spans="2:18" ht="15" customHeight="1">
      <c r="B318" s="602"/>
      <c r="C318" s="428"/>
      <c r="D318" s="440"/>
      <c r="E318" s="440"/>
      <c r="F318" s="440"/>
      <c r="G318" s="440"/>
      <c r="H318" s="440"/>
      <c r="I318" s="440"/>
      <c r="J318" s="412"/>
      <c r="K318" s="412"/>
      <c r="L318" s="412"/>
      <c r="M318" s="412"/>
      <c r="N318" s="412"/>
      <c r="O318" s="412"/>
      <c r="P318" s="412"/>
      <c r="Q318" s="412"/>
      <c r="R318" s="412"/>
    </row>
    <row r="319" spans="2:18" ht="15" customHeight="1">
      <c r="B319" s="602">
        <v>9</v>
      </c>
      <c r="C319" s="429" t="s">
        <v>34</v>
      </c>
      <c r="D319" s="440"/>
      <c r="E319" s="440"/>
      <c r="F319" s="440"/>
      <c r="G319" s="440"/>
      <c r="H319" s="440"/>
      <c r="I319" s="440"/>
      <c r="J319" s="412"/>
      <c r="K319" s="412"/>
      <c r="L319" s="412"/>
      <c r="M319" s="412"/>
      <c r="N319" s="412"/>
      <c r="O319" s="412"/>
      <c r="P319" s="412"/>
      <c r="Q319" s="412"/>
      <c r="R319" s="412"/>
    </row>
    <row r="320" spans="2:18" ht="15" customHeight="1">
      <c r="B320" s="602">
        <v>10</v>
      </c>
      <c r="C320" s="430" t="s">
        <v>35</v>
      </c>
      <c r="D320" s="440"/>
      <c r="E320" s="440"/>
      <c r="F320" s="440"/>
      <c r="G320" s="440"/>
      <c r="H320" s="440"/>
      <c r="I320" s="440"/>
      <c r="J320" s="412"/>
      <c r="K320" s="412"/>
      <c r="L320" s="412"/>
      <c r="M320" s="412"/>
      <c r="N320" s="412"/>
      <c r="O320" s="412"/>
      <c r="P320" s="412"/>
      <c r="Q320" s="412"/>
      <c r="R320" s="412"/>
    </row>
    <row r="321" spans="2:18" ht="15" customHeight="1">
      <c r="B321" s="604">
        <v>11</v>
      </c>
      <c r="C321" s="441" t="s">
        <v>36</v>
      </c>
      <c r="D321" s="440"/>
      <c r="E321" s="440"/>
      <c r="F321" s="440"/>
      <c r="G321" s="440"/>
      <c r="H321" s="440"/>
      <c r="I321" s="440"/>
      <c r="J321" s="412"/>
      <c r="K321" s="412"/>
      <c r="L321" s="412"/>
      <c r="M321" s="412"/>
      <c r="N321" s="412"/>
      <c r="O321" s="412"/>
      <c r="P321" s="412"/>
      <c r="Q321" s="412"/>
      <c r="R321" s="412"/>
    </row>
    <row r="322" spans="2:18">
      <c r="B322" s="602"/>
      <c r="C322" s="432"/>
      <c r="D322" s="432"/>
      <c r="E322" s="432"/>
      <c r="F322" s="432"/>
      <c r="G322" s="432"/>
      <c r="H322" s="439"/>
      <c r="I322" s="439"/>
      <c r="J322" s="24"/>
      <c r="K322" s="119"/>
      <c r="L322" s="24"/>
      <c r="M322" s="24"/>
      <c r="N322" s="24"/>
      <c r="O322" s="24"/>
      <c r="P322" s="24"/>
      <c r="Q322" s="24"/>
      <c r="R322" s="24"/>
    </row>
    <row r="324" spans="2:18">
      <c r="C324" s="1850" t="s">
        <v>144</v>
      </c>
      <c r="D324" s="1850"/>
      <c r="E324" s="1850"/>
      <c r="F324" s="1850"/>
      <c r="G324" s="1850"/>
    </row>
    <row r="325" spans="2:18">
      <c r="C325" s="426" t="s">
        <v>490</v>
      </c>
    </row>
  </sheetData>
  <mergeCells count="31">
    <mergeCell ref="B10:B11"/>
    <mergeCell ref="C10:C11"/>
    <mergeCell ref="B29:B30"/>
    <mergeCell ref="C279:C281"/>
    <mergeCell ref="B279:B281"/>
    <mergeCell ref="B136:B137"/>
    <mergeCell ref="C136:C137"/>
    <mergeCell ref="C324:G324"/>
    <mergeCell ref="C29:C30"/>
    <mergeCell ref="G10:I10"/>
    <mergeCell ref="G29:I29"/>
    <mergeCell ref="G279:I279"/>
    <mergeCell ref="C131:G131"/>
    <mergeCell ref="D136:F136"/>
    <mergeCell ref="G136:I136"/>
    <mergeCell ref="D10:F10"/>
    <mergeCell ref="D29:F29"/>
    <mergeCell ref="D279:F279"/>
    <mergeCell ref="J136:L136"/>
    <mergeCell ref="M279:N279"/>
    <mergeCell ref="M29:Q29"/>
    <mergeCell ref="M136:Q136"/>
    <mergeCell ref="R279:R281"/>
    <mergeCell ref="R136:R138"/>
    <mergeCell ref="O279:Q279"/>
    <mergeCell ref="J279:L279"/>
    <mergeCell ref="R10:R12"/>
    <mergeCell ref="R29:R31"/>
    <mergeCell ref="J10:L10"/>
    <mergeCell ref="M10:Q10"/>
    <mergeCell ref="J29:L29"/>
  </mergeCells>
  <pageMargins left="1.02" right="0.25" top="1" bottom="1" header="0.25" footer="0.25"/>
  <pageSetup paperSize="9" scale="40" fitToHeight="0" orientation="landscape" r:id="rId1"/>
  <headerFooter alignWithMargins="0">
    <oddHeader>&amp;F</oddHeader>
  </headerFooter>
  <rowBreaks count="2" manualBreakCount="2">
    <brk id="26" max="17" man="1"/>
    <brk id="265" max="17"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B2:X65"/>
  <sheetViews>
    <sheetView showGridLines="0" zoomScale="75" zoomScaleNormal="75" workbookViewId="0">
      <pane xSplit="3" ySplit="9" topLeftCell="D10" activePane="bottomRight" state="frozen"/>
      <selection pane="topRight" activeCell="D1" sqref="D1"/>
      <selection pane="bottomLeft" activeCell="A10" sqref="A10"/>
      <selection pane="bottomRight" activeCell="H12" sqref="H12"/>
    </sheetView>
  </sheetViews>
  <sheetFormatPr defaultColWidth="9.36328125" defaultRowHeight="14"/>
  <cols>
    <col min="1" max="1" width="6.36328125" style="14" customWidth="1"/>
    <col min="2" max="2" width="8.36328125" style="14" customWidth="1"/>
    <col min="3" max="3" width="64" style="14" customWidth="1"/>
    <col min="4" max="7" width="19.36328125" style="14" customWidth="1"/>
    <col min="8" max="8" width="21.6328125" style="14" customWidth="1"/>
    <col min="9" max="10" width="20.6328125" style="14" customWidth="1"/>
    <col min="11" max="11" width="20.6328125" style="314" customWidth="1"/>
    <col min="12" max="20" width="16.6328125" style="14" customWidth="1"/>
    <col min="21" max="16384" width="9.36328125" style="14"/>
  </cols>
  <sheetData>
    <row r="2" spans="2:24">
      <c r="B2" s="1682" t="str">
        <f>Index!B2</f>
        <v xml:space="preserve">      Maharashtra State Power Generation Company Ltd.</v>
      </c>
      <c r="C2" s="1682"/>
      <c r="D2" s="1682"/>
      <c r="E2" s="1682"/>
      <c r="F2" s="1682"/>
      <c r="G2" s="1682"/>
      <c r="H2" s="1682"/>
      <c r="I2" s="1682"/>
      <c r="J2" s="1682"/>
      <c r="K2" s="1682"/>
      <c r="L2" s="1682"/>
      <c r="M2" s="1682"/>
      <c r="N2" s="1682"/>
    </row>
    <row r="3" spans="2:24" ht="15" customHeight="1">
      <c r="B3" s="1682" t="str">
        <f>Index!B3</f>
        <v>MYT Petition Formats for Bhusawal Units 4&amp;5</v>
      </c>
      <c r="C3" s="1682"/>
      <c r="D3" s="1682"/>
      <c r="E3" s="1682"/>
      <c r="F3" s="1682"/>
      <c r="G3" s="1682"/>
      <c r="H3" s="1682"/>
      <c r="I3" s="1682"/>
      <c r="J3" s="1682"/>
      <c r="K3" s="1682"/>
      <c r="L3" s="1682"/>
      <c r="M3" s="1682"/>
      <c r="N3" s="1682"/>
    </row>
    <row r="4" spans="2:24" ht="15">
      <c r="B4" s="1863" t="s">
        <v>998</v>
      </c>
      <c r="C4" s="1863"/>
      <c r="D4" s="1863"/>
      <c r="E4" s="1863"/>
      <c r="F4" s="1863"/>
      <c r="G4" s="1863"/>
      <c r="H4" s="1863"/>
      <c r="I4" s="1863"/>
      <c r="J4" s="1863"/>
      <c r="K4" s="1863"/>
      <c r="L4" s="1863"/>
      <c r="M4" s="1863"/>
      <c r="N4" s="1863"/>
    </row>
    <row r="6" spans="2:24">
      <c r="K6" s="14"/>
      <c r="O6" s="22" t="s">
        <v>10</v>
      </c>
    </row>
    <row r="7" spans="2:24" ht="15" customHeight="1">
      <c r="B7" s="1684" t="s">
        <v>344</v>
      </c>
      <c r="C7" s="1684" t="s">
        <v>37</v>
      </c>
      <c r="D7" s="1795" t="s">
        <v>509</v>
      </c>
      <c r="E7" s="1796"/>
      <c r="F7" s="1797"/>
      <c r="G7" s="1795" t="s">
        <v>510</v>
      </c>
      <c r="H7" s="1796"/>
      <c r="I7" s="1797"/>
      <c r="J7" s="1795" t="s">
        <v>511</v>
      </c>
      <c r="K7" s="1796"/>
      <c r="L7" s="1797"/>
    </row>
    <row r="8" spans="2:24" ht="28">
      <c r="B8" s="1685"/>
      <c r="C8" s="1685"/>
      <c r="D8" s="298" t="s">
        <v>945</v>
      </c>
      <c r="E8" s="293" t="s">
        <v>79</v>
      </c>
      <c r="F8" s="293" t="s">
        <v>452</v>
      </c>
      <c r="G8" s="298" t="s">
        <v>945</v>
      </c>
      <c r="H8" s="745" t="s">
        <v>79</v>
      </c>
      <c r="I8" s="745" t="s">
        <v>452</v>
      </c>
      <c r="J8" s="293" t="s">
        <v>945</v>
      </c>
      <c r="K8" s="315" t="s">
        <v>80</v>
      </c>
      <c r="L8" s="293" t="s">
        <v>453</v>
      </c>
    </row>
    <row r="9" spans="2:24">
      <c r="B9" s="1722"/>
      <c r="C9" s="1722"/>
      <c r="D9" s="293" t="s">
        <v>81</v>
      </c>
      <c r="E9" s="293" t="s">
        <v>82</v>
      </c>
      <c r="F9" s="293" t="s">
        <v>644</v>
      </c>
      <c r="G9" s="745" t="s">
        <v>392</v>
      </c>
      <c r="H9" s="745" t="s">
        <v>410</v>
      </c>
      <c r="I9" s="745" t="s">
        <v>457</v>
      </c>
      <c r="J9" s="293" t="s">
        <v>411</v>
      </c>
      <c r="K9" s="315" t="s">
        <v>412</v>
      </c>
      <c r="L9" s="293" t="s">
        <v>686</v>
      </c>
    </row>
    <row r="10" spans="2:24">
      <c r="B10" s="103">
        <v>1</v>
      </c>
      <c r="C10" s="102" t="s">
        <v>569</v>
      </c>
      <c r="D10" s="318">
        <v>1305.9795049483721</v>
      </c>
      <c r="E10" s="307">
        <v>1308.7745200005602</v>
      </c>
      <c r="F10" s="305">
        <f>E10-D10</f>
        <v>2.7950150521880914</v>
      </c>
      <c r="G10" s="305">
        <f>D14</f>
        <v>1311.6405049483722</v>
      </c>
      <c r="H10" s="307">
        <v>1312.8919530704286</v>
      </c>
      <c r="I10" s="305"/>
      <c r="J10" s="305">
        <f>G14</f>
        <v>1314.0075049483721</v>
      </c>
      <c r="K10" s="305">
        <f>H14</f>
        <v>1325.3998152383285</v>
      </c>
      <c r="L10" s="305">
        <f>K10-J10</f>
        <v>11.392310289956413</v>
      </c>
      <c r="V10" s="325"/>
      <c r="W10" s="325"/>
      <c r="X10" s="325"/>
    </row>
    <row r="11" spans="2:24">
      <c r="B11" s="103">
        <f>B10+1</f>
        <v>2</v>
      </c>
      <c r="C11" s="102" t="s">
        <v>517</v>
      </c>
      <c r="D11" s="119"/>
      <c r="E11" s="24"/>
      <c r="F11" s="305">
        <f>E11-D11</f>
        <v>0</v>
      </c>
      <c r="G11" s="305"/>
      <c r="H11" s="305"/>
      <c r="I11" s="305"/>
      <c r="J11" s="305"/>
      <c r="K11" s="318"/>
      <c r="L11" s="305">
        <f>K11-J11</f>
        <v>0</v>
      </c>
      <c r="V11" s="325"/>
      <c r="W11" s="325"/>
      <c r="X11" s="325"/>
    </row>
    <row r="12" spans="2:24">
      <c r="B12" s="103">
        <f t="shared" ref="B12:B21" si="0">B11+1</f>
        <v>3</v>
      </c>
      <c r="C12" s="102" t="s">
        <v>570</v>
      </c>
      <c r="D12" s="337">
        <f>'F4'!D14*30%</f>
        <v>5.6610000000000005</v>
      </c>
      <c r="E12" s="307">
        <f>'F4'!E14*30%</f>
        <v>4.175806272</v>
      </c>
      <c r="F12" s="305">
        <f>E12-D12</f>
        <v>-1.4851937280000005</v>
      </c>
      <c r="G12" s="305">
        <f>'F4'!G14*30%</f>
        <v>2.367</v>
      </c>
      <c r="H12" s="305">
        <v>12.507862167899999</v>
      </c>
      <c r="I12" s="305"/>
      <c r="J12" s="318">
        <f>'F4'!J14*30%</f>
        <v>144.44399999999999</v>
      </c>
      <c r="K12" s="305">
        <f>'F4'!M14*30%</f>
        <v>7.3244403</v>
      </c>
      <c r="L12" s="305">
        <f>K12-J12</f>
        <v>-137.1195597</v>
      </c>
      <c r="V12" s="325"/>
      <c r="W12" s="325"/>
      <c r="X12" s="325"/>
    </row>
    <row r="13" spans="2:24">
      <c r="B13" s="248">
        <f t="shared" si="0"/>
        <v>4</v>
      </c>
      <c r="C13" s="29" t="s">
        <v>38</v>
      </c>
      <c r="D13" s="499"/>
      <c r="E13" s="811">
        <f>'F5'!F31*E10/'F5'!D31</f>
        <v>5.8373202131654464E-2</v>
      </c>
      <c r="F13" s="318">
        <f>E13-D13</f>
        <v>5.8373202131654464E-2</v>
      </c>
      <c r="G13" s="318"/>
      <c r="H13" s="703">
        <f>'F5'!K31*H10/'F5'!I31</f>
        <v>0</v>
      </c>
      <c r="I13" s="318">
        <f>H13-G13</f>
        <v>0</v>
      </c>
      <c r="J13" s="318"/>
      <c r="K13" s="318">
        <f>'F5'!P31*'F7'!K10/'F5'!N31</f>
        <v>0</v>
      </c>
      <c r="L13" s="305">
        <f>K13-J13</f>
        <v>0</v>
      </c>
      <c r="V13" s="325"/>
      <c r="W13" s="325"/>
      <c r="X13" s="325"/>
    </row>
    <row r="14" spans="2:24">
      <c r="B14" s="103">
        <f t="shared" si="0"/>
        <v>5</v>
      </c>
      <c r="C14" s="102" t="s">
        <v>39</v>
      </c>
      <c r="D14" s="318">
        <f>D10+D12-D13</f>
        <v>1311.6405049483722</v>
      </c>
      <c r="E14" s="807">
        <f>E10+E12-E13</f>
        <v>1312.8919530704286</v>
      </c>
      <c r="F14" s="305">
        <f>E14-D14</f>
        <v>1.2514481220564448</v>
      </c>
      <c r="G14" s="305">
        <f>G10+G12-G13</f>
        <v>1314.0075049483721</v>
      </c>
      <c r="H14" s="305">
        <f>H10+H12-H13</f>
        <v>1325.3998152383285</v>
      </c>
      <c r="I14" s="305">
        <f>H14-G14</f>
        <v>11.392310289956413</v>
      </c>
      <c r="J14" s="305">
        <f>J10+J12-J13</f>
        <v>1458.4515049483721</v>
      </c>
      <c r="K14" s="305">
        <f>K10+K12-K13</f>
        <v>1332.7242555383286</v>
      </c>
      <c r="L14" s="305">
        <f>K14-J14</f>
        <v>-125.72724941004344</v>
      </c>
      <c r="V14" s="325"/>
      <c r="W14" s="325"/>
      <c r="X14" s="325"/>
    </row>
    <row r="15" spans="2:24">
      <c r="B15" s="103"/>
      <c r="C15" s="102"/>
      <c r="D15" s="24"/>
      <c r="E15" s="24"/>
      <c r="F15" s="305"/>
      <c r="G15" s="305"/>
      <c r="H15" s="305"/>
      <c r="I15" s="305"/>
      <c r="J15" s="305"/>
      <c r="K15" s="318"/>
      <c r="L15" s="305"/>
      <c r="V15" s="325"/>
      <c r="W15" s="325"/>
      <c r="X15" s="325"/>
    </row>
    <row r="16" spans="2:24">
      <c r="B16" s="103"/>
      <c r="C16" s="104" t="s">
        <v>406</v>
      </c>
      <c r="D16" s="24"/>
      <c r="E16" s="24"/>
      <c r="F16" s="305"/>
      <c r="G16" s="305"/>
      <c r="H16" s="305"/>
      <c r="I16" s="305"/>
      <c r="J16" s="305"/>
      <c r="K16" s="318"/>
      <c r="L16" s="305"/>
      <c r="V16" s="325"/>
      <c r="W16" s="325"/>
      <c r="X16" s="325"/>
    </row>
    <row r="17" spans="2:24">
      <c r="B17" s="103">
        <v>6</v>
      </c>
      <c r="C17" s="102" t="s">
        <v>519</v>
      </c>
      <c r="D17" s="327">
        <v>0.14000000000000001</v>
      </c>
      <c r="E17" s="327">
        <v>0.14000000000000001</v>
      </c>
      <c r="F17" s="328">
        <f>E17-D17</f>
        <v>0</v>
      </c>
      <c r="G17" s="327">
        <v>0.14000000000000001</v>
      </c>
      <c r="H17" s="327">
        <v>0.14000000000000001</v>
      </c>
      <c r="I17" s="858">
        <f>H17-G17</f>
        <v>0</v>
      </c>
      <c r="J17" s="327">
        <v>0.14000000000000001</v>
      </c>
      <c r="K17" s="327">
        <v>0.14000000000000001</v>
      </c>
      <c r="L17" s="328">
        <f>K17-J17</f>
        <v>0</v>
      </c>
      <c r="V17" s="325"/>
      <c r="W17" s="325"/>
      <c r="X17" s="325"/>
    </row>
    <row r="18" spans="2:24">
      <c r="B18" s="103">
        <v>7</v>
      </c>
      <c r="C18" s="102" t="s">
        <v>553</v>
      </c>
      <c r="D18" s="328">
        <f>D17/(1-D23)</f>
        <v>0.14000000000000001</v>
      </c>
      <c r="E18" s="328">
        <f>E17/(1-E23)</f>
        <v>0.14000000000000001</v>
      </c>
      <c r="F18" s="328">
        <f>E18-D18</f>
        <v>0</v>
      </c>
      <c r="G18" s="328">
        <f>G17/(1-G23)</f>
        <v>0.14000000000000001</v>
      </c>
      <c r="H18" s="328">
        <f>H17/(1-H23)</f>
        <v>0.14000000000000001</v>
      </c>
      <c r="I18" s="328">
        <f>H18-G18</f>
        <v>0</v>
      </c>
      <c r="J18" s="328">
        <f>J17/(1-J23)</f>
        <v>0.14000000000000001</v>
      </c>
      <c r="K18" s="328">
        <f>K17/(1-K23)</f>
        <v>0.14000000000000001</v>
      </c>
      <c r="L18" s="328">
        <f>K18-J18</f>
        <v>0</v>
      </c>
      <c r="V18" s="325"/>
      <c r="W18" s="325"/>
      <c r="X18" s="325"/>
    </row>
    <row r="19" spans="2:24">
      <c r="B19" s="103">
        <v>8</v>
      </c>
      <c r="C19" s="102" t="s">
        <v>520</v>
      </c>
      <c r="D19" s="305">
        <f>D10*D18</f>
        <v>182.83713069277212</v>
      </c>
      <c r="E19" s="305">
        <f>E10*E18</f>
        <v>183.22843280007845</v>
      </c>
      <c r="F19" s="305">
        <f>E19-D19</f>
        <v>0.39130210730633053</v>
      </c>
      <c r="G19" s="305">
        <f>G10*G18</f>
        <v>183.62967069277212</v>
      </c>
      <c r="H19" s="305">
        <f>H10*H18</f>
        <v>183.80487342986001</v>
      </c>
      <c r="I19" s="305">
        <f>H19-G19</f>
        <v>0.17520273708788636</v>
      </c>
      <c r="J19" s="305">
        <f>J10*J18</f>
        <v>183.96105069277212</v>
      </c>
      <c r="K19" s="305">
        <f>K10*K18</f>
        <v>185.55597413336602</v>
      </c>
      <c r="L19" s="305">
        <f>K19-J19</f>
        <v>1.5949234405939023</v>
      </c>
      <c r="V19" s="325"/>
      <c r="W19" s="325"/>
      <c r="X19" s="325"/>
    </row>
    <row r="20" spans="2:24">
      <c r="B20" s="103">
        <f t="shared" si="0"/>
        <v>9</v>
      </c>
      <c r="C20" s="102" t="s">
        <v>521</v>
      </c>
      <c r="D20" s="305">
        <f>(D12-D13)*D18/2</f>
        <v>0.39627000000000007</v>
      </c>
      <c r="E20" s="305">
        <f>(E12-E13)*E18/2</f>
        <v>0.28822031489078426</v>
      </c>
      <c r="F20" s="305">
        <f>E20-D20</f>
        <v>-0.10804968510921581</v>
      </c>
      <c r="G20" s="305">
        <f>(G12-G13)*G18/2</f>
        <v>0.16569</v>
      </c>
      <c r="H20" s="305">
        <f>(H12-H13)*H18/2</f>
        <v>0.875550351753</v>
      </c>
      <c r="I20" s="305">
        <f>H20-G20</f>
        <v>0.709860351753</v>
      </c>
      <c r="J20" s="305">
        <f>(J12-J13)*J18/2</f>
        <v>10.111079999999999</v>
      </c>
      <c r="K20" s="305">
        <f>(K12-K13)*K18/2</f>
        <v>0.51271082100000009</v>
      </c>
      <c r="L20" s="305">
        <f>K20-J20</f>
        <v>-9.5983691789999988</v>
      </c>
      <c r="V20" s="325"/>
      <c r="W20" s="325"/>
      <c r="X20" s="325"/>
    </row>
    <row r="21" spans="2:24">
      <c r="B21" s="118">
        <f t="shared" si="0"/>
        <v>10</v>
      </c>
      <c r="C21" s="104" t="s">
        <v>407</v>
      </c>
      <c r="D21" s="324">
        <f>SUM(D19:D20)</f>
        <v>183.23340069277211</v>
      </c>
      <c r="E21" s="324">
        <f>SUM(E19:E20)</f>
        <v>183.51665311496924</v>
      </c>
      <c r="F21" s="360">
        <f>E21-D21</f>
        <v>0.28325242219713687</v>
      </c>
      <c r="G21" s="324">
        <f>SUM(G19:G20)</f>
        <v>183.79536069277214</v>
      </c>
      <c r="H21" s="324">
        <f>SUM(H19:H20)</f>
        <v>184.680423781613</v>
      </c>
      <c r="I21" s="360">
        <f>H21-G21</f>
        <v>0.88506308884086593</v>
      </c>
      <c r="J21" s="324">
        <f>SUM(J19:J20)</f>
        <v>194.07213069277211</v>
      </c>
      <c r="K21" s="324">
        <f>SUM(K19:K20)</f>
        <v>186.06868495436603</v>
      </c>
      <c r="L21" s="360">
        <f>K21-J21</f>
        <v>-8.0034457384060715</v>
      </c>
      <c r="V21" s="325"/>
      <c r="W21" s="325"/>
      <c r="X21" s="325"/>
    </row>
    <row r="22" spans="2:24">
      <c r="B22" s="24"/>
      <c r="C22" s="24"/>
      <c r="D22" s="24"/>
      <c r="E22" s="24"/>
      <c r="F22" s="305"/>
      <c r="G22" s="305"/>
      <c r="H22" s="305"/>
      <c r="I22" s="305"/>
      <c r="J22" s="305"/>
      <c r="K22" s="318"/>
      <c r="L22" s="305"/>
      <c r="V22" s="325"/>
      <c r="W22" s="325"/>
      <c r="X22" s="325"/>
    </row>
    <row r="23" spans="2:24">
      <c r="B23" s="103"/>
      <c r="C23" s="104" t="s">
        <v>747</v>
      </c>
      <c r="D23" s="24"/>
      <c r="E23" s="627"/>
      <c r="F23" s="318"/>
      <c r="G23" s="318"/>
      <c r="H23" s="318"/>
      <c r="I23" s="318"/>
      <c r="J23" s="119"/>
      <c r="K23" s="627"/>
      <c r="L23" s="119"/>
    </row>
    <row r="27" spans="2:24">
      <c r="C27" s="300" t="s">
        <v>687</v>
      </c>
    </row>
    <row r="29" spans="2:24">
      <c r="B29" s="1684" t="s">
        <v>341</v>
      </c>
      <c r="C29" s="1687" t="s">
        <v>37</v>
      </c>
      <c r="D29" s="1864" t="s">
        <v>139</v>
      </c>
      <c r="E29" s="290" t="s">
        <v>509</v>
      </c>
      <c r="F29" s="743" t="s">
        <v>510</v>
      </c>
    </row>
    <row r="30" spans="2:24" ht="28">
      <c r="B30" s="1685"/>
      <c r="C30" s="1687"/>
      <c r="D30" s="1865"/>
      <c r="E30" s="289" t="s">
        <v>79</v>
      </c>
      <c r="F30" s="744" t="s">
        <v>79</v>
      </c>
    </row>
    <row r="31" spans="2:24">
      <c r="B31" s="99">
        <v>1</v>
      </c>
      <c r="C31" s="102" t="s">
        <v>693</v>
      </c>
      <c r="D31" s="103" t="s">
        <v>99</v>
      </c>
      <c r="E31" s="119"/>
      <c r="F31" s="119"/>
    </row>
    <row r="32" spans="2:24">
      <c r="B32" s="103">
        <f>B31+1</f>
        <v>2</v>
      </c>
      <c r="C32" s="102" t="s">
        <v>688</v>
      </c>
      <c r="D32" s="103" t="s">
        <v>99</v>
      </c>
      <c r="E32" s="358">
        <v>0</v>
      </c>
      <c r="F32" s="358">
        <v>0</v>
      </c>
    </row>
    <row r="33" spans="2:14">
      <c r="B33" s="103"/>
      <c r="C33" s="102"/>
      <c r="D33" s="102"/>
      <c r="E33" s="119"/>
      <c r="F33" s="119"/>
    </row>
    <row r="34" spans="2:14">
      <c r="B34" s="103">
        <v>3</v>
      </c>
      <c r="C34" s="29" t="s">
        <v>694</v>
      </c>
      <c r="D34" s="301" t="s">
        <v>689</v>
      </c>
      <c r="E34" s="119"/>
      <c r="F34" s="119"/>
    </row>
    <row r="35" spans="2:14">
      <c r="B35" s="103">
        <f>B34+1</f>
        <v>4</v>
      </c>
      <c r="C35" s="102" t="s">
        <v>690</v>
      </c>
      <c r="D35" s="103" t="s">
        <v>99</v>
      </c>
      <c r="E35" s="358">
        <v>0</v>
      </c>
      <c r="F35" s="358">
        <v>0</v>
      </c>
    </row>
    <row r="36" spans="2:14">
      <c r="B36" s="103"/>
      <c r="C36" s="102"/>
      <c r="D36" s="102"/>
      <c r="E36" s="119"/>
      <c r="F36" s="119"/>
    </row>
    <row r="37" spans="2:14">
      <c r="B37" s="103">
        <v>5</v>
      </c>
      <c r="C37" s="102" t="s">
        <v>695</v>
      </c>
      <c r="D37" s="103" t="s">
        <v>99</v>
      </c>
      <c r="E37" s="588">
        <f>E32+E35</f>
        <v>0</v>
      </c>
      <c r="F37" s="588">
        <f>F32+F35</f>
        <v>0</v>
      </c>
    </row>
    <row r="38" spans="2:14">
      <c r="B38" s="103"/>
      <c r="C38" s="102"/>
      <c r="D38" s="102"/>
      <c r="E38" s="119"/>
      <c r="F38" s="119"/>
    </row>
    <row r="39" spans="2:14">
      <c r="B39" s="103"/>
      <c r="C39" s="104" t="s">
        <v>692</v>
      </c>
      <c r="D39" s="102"/>
      <c r="E39" s="119"/>
      <c r="F39" s="119"/>
    </row>
    <row r="40" spans="2:14">
      <c r="B40" s="103">
        <v>6</v>
      </c>
      <c r="C40" s="102" t="s">
        <v>571</v>
      </c>
      <c r="D40" s="103" t="s">
        <v>443</v>
      </c>
      <c r="E40" s="337">
        <f>E10*E37</f>
        <v>0</v>
      </c>
      <c r="F40" s="337">
        <f>H10*F37</f>
        <v>0</v>
      </c>
    </row>
    <row r="41" spans="2:14">
      <c r="B41" s="103">
        <v>7</v>
      </c>
      <c r="C41" s="102" t="s">
        <v>572</v>
      </c>
      <c r="D41" s="103" t="s">
        <v>443</v>
      </c>
      <c r="E41" s="337">
        <f>(E12-E13)*E37/2</f>
        <v>0</v>
      </c>
      <c r="F41" s="780">
        <f>(H12-H13)*F37/2</f>
        <v>0</v>
      </c>
    </row>
    <row r="42" spans="2:14">
      <c r="B42" s="118">
        <v>8</v>
      </c>
      <c r="C42" s="104" t="s">
        <v>691</v>
      </c>
      <c r="D42" s="104"/>
      <c r="E42" s="497">
        <f>SUM(E40:E41)</f>
        <v>0</v>
      </c>
      <c r="F42" s="497">
        <f>SUM(F40:F41)</f>
        <v>0</v>
      </c>
    </row>
    <row r="43" spans="2:14">
      <c r="E43" s="314"/>
      <c r="F43" s="314"/>
    </row>
    <row r="44" spans="2:14">
      <c r="C44" s="1862"/>
      <c r="D44" s="1862"/>
      <c r="E44" s="1862"/>
      <c r="F44" s="1862"/>
      <c r="G44" s="1862"/>
      <c r="H44" s="1862"/>
      <c r="I44" s="1862"/>
      <c r="J44" s="1862"/>
      <c r="K44" s="1862"/>
      <c r="L44" s="1862"/>
      <c r="M44" s="1862"/>
      <c r="N44" s="1862"/>
    </row>
    <row r="51" spans="2:9" ht="15">
      <c r="B51" s="1684" t="s">
        <v>344</v>
      </c>
      <c r="C51" s="930" t="s">
        <v>37</v>
      </c>
      <c r="D51" s="1866" t="s">
        <v>946</v>
      </c>
      <c r="E51" s="1867"/>
      <c r="F51" s="1867"/>
      <c r="G51" s="1867"/>
      <c r="H51" s="1868"/>
      <c r="I51" s="934" t="s">
        <v>27</v>
      </c>
    </row>
    <row r="52" spans="2:9" ht="15">
      <c r="B52" s="1685"/>
      <c r="C52" s="931"/>
      <c r="D52" s="928" t="s">
        <v>947</v>
      </c>
      <c r="E52" s="928" t="s">
        <v>948</v>
      </c>
      <c r="F52" s="928" t="s">
        <v>949</v>
      </c>
      <c r="G52" s="928" t="s">
        <v>950</v>
      </c>
      <c r="H52" s="928" t="s">
        <v>951</v>
      </c>
      <c r="I52" s="935"/>
    </row>
    <row r="53" spans="2:9">
      <c r="B53" s="1722"/>
      <c r="C53" s="933"/>
      <c r="D53" s="927" t="s">
        <v>21</v>
      </c>
      <c r="E53" s="927" t="s">
        <v>21</v>
      </c>
      <c r="F53" s="927" t="s">
        <v>21</v>
      </c>
      <c r="G53" s="927" t="s">
        <v>21</v>
      </c>
      <c r="H53" s="927" t="s">
        <v>21</v>
      </c>
      <c r="I53" s="936"/>
    </row>
    <row r="54" spans="2:9">
      <c r="B54" s="103">
        <v>1</v>
      </c>
      <c r="C54" s="102" t="s">
        <v>569</v>
      </c>
      <c r="D54" s="305">
        <f>K14</f>
        <v>1332.7242555383286</v>
      </c>
      <c r="E54" s="305">
        <f>D58</f>
        <v>1350.3972555383286</v>
      </c>
      <c r="F54" s="305">
        <f t="shared" ref="F54:H54" si="1">E58</f>
        <v>1433.5670055383287</v>
      </c>
      <c r="G54" s="305">
        <f t="shared" si="1"/>
        <v>1470.1544055383285</v>
      </c>
      <c r="H54" s="305">
        <f t="shared" si="1"/>
        <v>1521.5544055383286</v>
      </c>
      <c r="I54" s="305"/>
    </row>
    <row r="55" spans="2:9">
      <c r="B55" s="103">
        <f>B54+1</f>
        <v>2</v>
      </c>
      <c r="C55" s="102" t="s">
        <v>517</v>
      </c>
      <c r="D55" s="305"/>
      <c r="E55" s="305"/>
      <c r="F55" s="305"/>
      <c r="G55" s="305"/>
      <c r="H55" s="305"/>
      <c r="I55" s="305"/>
    </row>
    <row r="56" spans="2:9">
      <c r="B56" s="103">
        <f t="shared" ref="B56:B65" si="2">B55+1</f>
        <v>3</v>
      </c>
      <c r="C56" s="102" t="s">
        <v>570</v>
      </c>
      <c r="D56" s="305">
        <f>'F4'!O14*30%</f>
        <v>17.672999999999998</v>
      </c>
      <c r="E56" s="305">
        <f>'F4'!P14*30%</f>
        <v>83.169750000000008</v>
      </c>
      <c r="F56" s="305">
        <f>'F4'!Q14*30%</f>
        <v>36.587399999999995</v>
      </c>
      <c r="G56" s="305">
        <f>'F4'!R14*30%</f>
        <v>51.399999999999991</v>
      </c>
      <c r="H56" s="305">
        <f>'F4'!S14*30%</f>
        <v>43.5</v>
      </c>
      <c r="I56" s="305"/>
    </row>
    <row r="57" spans="2:9">
      <c r="B57" s="248">
        <f t="shared" si="2"/>
        <v>4</v>
      </c>
      <c r="C57" s="29" t="s">
        <v>38</v>
      </c>
      <c r="D57" s="305">
        <f>'F5'!U31*'F7'!D54/'F5'!S31</f>
        <v>0</v>
      </c>
      <c r="E57" s="305">
        <f>'F5'!F57*'F7'!E54/'F5'!D57</f>
        <v>0</v>
      </c>
      <c r="F57" s="305">
        <f>'F5'!K57*'F7'!F54/'F5'!I57</f>
        <v>0</v>
      </c>
      <c r="G57" s="305">
        <f>'F5'!P57*'F7'!G54/'F5'!N57</f>
        <v>0</v>
      </c>
      <c r="H57" s="305">
        <f>'F5'!U57*'F7'!H54/'F5'!S57</f>
        <v>0</v>
      </c>
      <c r="I57" s="305"/>
    </row>
    <row r="58" spans="2:9">
      <c r="B58" s="103">
        <f t="shared" si="2"/>
        <v>5</v>
      </c>
      <c r="C58" s="102" t="s">
        <v>39</v>
      </c>
      <c r="D58" s="305">
        <f>D54+D56-D57</f>
        <v>1350.3972555383286</v>
      </c>
      <c r="E58" s="305">
        <f>E54+E56-E57</f>
        <v>1433.5670055383287</v>
      </c>
      <c r="F58" s="305">
        <f t="shared" ref="F58:H58" si="3">F54+F56-F57</f>
        <v>1470.1544055383285</v>
      </c>
      <c r="G58" s="305">
        <f t="shared" si="3"/>
        <v>1521.5544055383286</v>
      </c>
      <c r="H58" s="305">
        <f t="shared" si="3"/>
        <v>1565.0544055383286</v>
      </c>
      <c r="I58" s="305"/>
    </row>
    <row r="59" spans="2:9">
      <c r="B59" s="103"/>
      <c r="C59" s="102"/>
      <c r="D59" s="305"/>
      <c r="E59" s="305"/>
      <c r="F59" s="305"/>
      <c r="G59" s="305"/>
      <c r="H59" s="305"/>
      <c r="I59" s="305"/>
    </row>
    <row r="60" spans="2:9">
      <c r="B60" s="103"/>
      <c r="C60" s="104" t="s">
        <v>406</v>
      </c>
      <c r="D60" s="305"/>
      <c r="E60" s="305"/>
      <c r="F60" s="305"/>
      <c r="G60" s="305"/>
      <c r="H60" s="305"/>
      <c r="I60" s="305"/>
    </row>
    <row r="61" spans="2:9">
      <c r="B61" s="103">
        <v>6</v>
      </c>
      <c r="C61" s="102" t="s">
        <v>519</v>
      </c>
      <c r="D61" s="327">
        <v>0.14000000000000001</v>
      </c>
      <c r="E61" s="327">
        <v>0.14000000000000001</v>
      </c>
      <c r="F61" s="327">
        <v>0.14000000000000001</v>
      </c>
      <c r="G61" s="327">
        <v>0.14000000000000001</v>
      </c>
      <c r="H61" s="327">
        <v>0.14000000000000001</v>
      </c>
      <c r="I61" s="305"/>
    </row>
    <row r="62" spans="2:9">
      <c r="B62" s="103">
        <v>7</v>
      </c>
      <c r="C62" s="102" t="s">
        <v>553</v>
      </c>
      <c r="D62" s="328">
        <v>0.15500000000000003</v>
      </c>
      <c r="E62" s="328">
        <v>0.15500000000000003</v>
      </c>
      <c r="F62" s="328">
        <v>0.15500000000000003</v>
      </c>
      <c r="G62" s="328">
        <v>0.15500000000000003</v>
      </c>
      <c r="H62" s="328">
        <v>0.15500000000000003</v>
      </c>
      <c r="I62" s="305"/>
    </row>
    <row r="63" spans="2:9">
      <c r="B63" s="103">
        <v>8</v>
      </c>
      <c r="C63" s="102" t="s">
        <v>520</v>
      </c>
      <c r="D63" s="305">
        <f>D54*D62</f>
        <v>206.57225960844099</v>
      </c>
      <c r="E63" s="305">
        <f>E54*E62</f>
        <v>209.31157460844096</v>
      </c>
      <c r="F63" s="305">
        <f t="shared" ref="F63:H63" si="4">F54*F62</f>
        <v>222.20288585844099</v>
      </c>
      <c r="G63" s="305">
        <f t="shared" si="4"/>
        <v>227.87393285844095</v>
      </c>
      <c r="H63" s="305">
        <f t="shared" si="4"/>
        <v>235.84093285844099</v>
      </c>
      <c r="I63" s="305"/>
    </row>
    <row r="64" spans="2:9">
      <c r="B64" s="103">
        <f t="shared" si="2"/>
        <v>9</v>
      </c>
      <c r="C64" s="102" t="s">
        <v>521</v>
      </c>
      <c r="D64" s="305">
        <f>D56*D62/2</f>
        <v>1.3696575000000002</v>
      </c>
      <c r="E64" s="305">
        <f>E56*E62/2</f>
        <v>6.4456556250000014</v>
      </c>
      <c r="F64" s="305">
        <f t="shared" ref="F64:H64" si="5">F56*F62/2</f>
        <v>2.8355235000000003</v>
      </c>
      <c r="G64" s="305">
        <f t="shared" si="5"/>
        <v>3.9834999999999998</v>
      </c>
      <c r="H64" s="305">
        <f t="shared" si="5"/>
        <v>3.3712500000000007</v>
      </c>
      <c r="I64" s="305"/>
    </row>
    <row r="65" spans="2:9">
      <c r="B65" s="118">
        <f t="shared" si="2"/>
        <v>10</v>
      </c>
      <c r="C65" s="104" t="s">
        <v>407</v>
      </c>
      <c r="D65" s="305">
        <f>SUM(D63:D64)</f>
        <v>207.94191710844098</v>
      </c>
      <c r="E65" s="305">
        <f>SUM(E63:E64)</f>
        <v>215.75723023344096</v>
      </c>
      <c r="F65" s="305">
        <f t="shared" ref="F65:H65" si="6">SUM(F63:F64)</f>
        <v>225.03840935844099</v>
      </c>
      <c r="G65" s="305">
        <f t="shared" si="6"/>
        <v>231.85743285844094</v>
      </c>
      <c r="H65" s="305">
        <f t="shared" si="6"/>
        <v>239.212182858441</v>
      </c>
      <c r="I65" s="305"/>
    </row>
  </sheetData>
  <mergeCells count="14">
    <mergeCell ref="B51:B53"/>
    <mergeCell ref="B2:N2"/>
    <mergeCell ref="C44:N44"/>
    <mergeCell ref="B4:N4"/>
    <mergeCell ref="G7:I7"/>
    <mergeCell ref="B7:B9"/>
    <mergeCell ref="C7:C9"/>
    <mergeCell ref="D7:F7"/>
    <mergeCell ref="J7:L7"/>
    <mergeCell ref="B3:N3"/>
    <mergeCell ref="B29:B30"/>
    <mergeCell ref="C29:C30"/>
    <mergeCell ref="D29:D30"/>
    <mergeCell ref="D51:H51"/>
  </mergeCells>
  <pageMargins left="1.02" right="0.25" top="1" bottom="1" header="0.25" footer="0.25"/>
  <pageSetup paperSize="9" scale="38" orientation="landscape" r:id="rId1"/>
  <headerFooter alignWithMargins="0">
    <oddHeader>&amp;F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Q66"/>
  <sheetViews>
    <sheetView showGridLines="0" view="pageBreakPreview" topLeftCell="A15" zoomScale="60" zoomScaleNormal="75" workbookViewId="0">
      <selection activeCell="C48" sqref="C48:N48"/>
    </sheetView>
  </sheetViews>
  <sheetFormatPr defaultColWidth="9.36328125" defaultRowHeight="14"/>
  <cols>
    <col min="1" max="1" width="4.36328125" style="5" customWidth="1"/>
    <col min="2" max="2" width="30.453125" style="5" customWidth="1"/>
    <col min="3" max="14" width="10.6328125" style="5" customWidth="1"/>
    <col min="15" max="15" width="12.6328125" style="5" customWidth="1"/>
    <col min="16" max="16384" width="9.36328125" style="5"/>
  </cols>
  <sheetData>
    <row r="1" spans="2:15">
      <c r="B1" s="71"/>
    </row>
    <row r="2" spans="2:15">
      <c r="B2" s="1682" t="str">
        <f>Index!B2</f>
        <v xml:space="preserve">      Maharashtra State Power Generation Company Ltd.</v>
      </c>
      <c r="C2" s="1738"/>
      <c r="D2" s="1738"/>
      <c r="E2" s="1738"/>
      <c r="F2" s="1738"/>
      <c r="G2" s="1738"/>
      <c r="H2" s="1738"/>
      <c r="I2" s="1738"/>
      <c r="J2" s="1738"/>
      <c r="K2" s="1738"/>
      <c r="L2" s="1738"/>
      <c r="M2" s="1738"/>
      <c r="N2" s="1738"/>
      <c r="O2" s="1738"/>
    </row>
    <row r="3" spans="2:15">
      <c r="B3" s="1682" t="str">
        <f>Index!B3</f>
        <v>MYT Petition Formats for Bhusawal Units 4&amp;5</v>
      </c>
      <c r="C3" s="1738"/>
      <c r="D3" s="1738"/>
      <c r="E3" s="1738"/>
      <c r="F3" s="1738"/>
      <c r="G3" s="1738"/>
      <c r="H3" s="1738"/>
      <c r="I3" s="1738"/>
      <c r="J3" s="1738"/>
      <c r="K3" s="1738"/>
      <c r="L3" s="1738"/>
      <c r="M3" s="1738"/>
      <c r="N3" s="1738"/>
      <c r="O3" s="1738"/>
    </row>
    <row r="4" spans="2:15">
      <c r="B4" s="1747" t="s">
        <v>277</v>
      </c>
      <c r="C4" s="1869"/>
      <c r="D4" s="1869"/>
      <c r="E4" s="1869"/>
      <c r="F4" s="1869"/>
      <c r="G4" s="1869"/>
      <c r="H4" s="1869"/>
      <c r="I4" s="1869"/>
      <c r="J4" s="1869"/>
      <c r="K4" s="1869"/>
      <c r="L4" s="1869"/>
      <c r="M4" s="1869"/>
      <c r="N4" s="1869"/>
      <c r="O4" s="1869"/>
    </row>
    <row r="5" spans="2:15">
      <c r="B5" s="17"/>
      <c r="C5" s="19"/>
      <c r="D5" s="19"/>
      <c r="E5" s="19"/>
      <c r="F5" s="19"/>
      <c r="G5" s="19"/>
      <c r="H5" s="19"/>
      <c r="I5" s="72"/>
    </row>
    <row r="6" spans="2:15">
      <c r="B6" s="53" t="s">
        <v>696</v>
      </c>
      <c r="C6" s="19"/>
      <c r="D6" s="19"/>
      <c r="E6" s="19"/>
      <c r="F6" s="19"/>
      <c r="G6" s="19"/>
      <c r="H6" s="19"/>
      <c r="I6" s="72"/>
    </row>
    <row r="7" spans="2:15">
      <c r="B7" s="53" t="s">
        <v>28</v>
      </c>
      <c r="C7" s="63"/>
      <c r="D7" s="63"/>
      <c r="O7" s="63" t="s">
        <v>278</v>
      </c>
    </row>
    <row r="8" spans="2:15">
      <c r="B8" s="105" t="s">
        <v>279</v>
      </c>
      <c r="C8" s="234" t="s">
        <v>280</v>
      </c>
      <c r="D8" s="234" t="s">
        <v>281</v>
      </c>
      <c r="E8" s="106" t="s">
        <v>282</v>
      </c>
      <c r="F8" s="106" t="s">
        <v>283</v>
      </c>
      <c r="G8" s="106" t="s">
        <v>284</v>
      </c>
      <c r="H8" s="106" t="s">
        <v>285</v>
      </c>
      <c r="I8" s="106" t="s">
        <v>286</v>
      </c>
      <c r="J8" s="106" t="s">
        <v>287</v>
      </c>
      <c r="K8" s="106" t="s">
        <v>288</v>
      </c>
      <c r="L8" s="106" t="s">
        <v>289</v>
      </c>
      <c r="M8" s="106" t="s">
        <v>290</v>
      </c>
      <c r="N8" s="106" t="s">
        <v>291</v>
      </c>
      <c r="O8" s="106" t="s">
        <v>272</v>
      </c>
    </row>
    <row r="9" spans="2:15">
      <c r="B9" s="148" t="s">
        <v>748</v>
      </c>
      <c r="C9" s="316">
        <f>'F9.1'!E16</f>
        <v>512.48503200000005</v>
      </c>
      <c r="D9" s="316">
        <f>'F9.1'!F16</f>
        <v>495.82567899999998</v>
      </c>
      <c r="E9" s="316">
        <f>'F9.1'!G16</f>
        <v>534.51691700000003</v>
      </c>
      <c r="F9" s="316">
        <f>'F9.1'!H16</f>
        <v>432.77066300000001</v>
      </c>
      <c r="G9" s="316">
        <f>'F9.1'!I16</f>
        <v>295.12807800000002</v>
      </c>
      <c r="H9" s="316">
        <f>'F9.1'!J16</f>
        <v>323.89832999999999</v>
      </c>
      <c r="I9" s="316">
        <f>'F9.1'!K16</f>
        <v>455.73175700000002</v>
      </c>
      <c r="J9" s="316">
        <f>'F9.1'!L16</f>
        <v>504.78650599999997</v>
      </c>
      <c r="K9" s="316">
        <f>'F9.1'!M16</f>
        <v>604.97543199999996</v>
      </c>
      <c r="L9" s="316">
        <f>'F9.1'!N16</f>
        <v>502.65890400000001</v>
      </c>
      <c r="M9" s="316">
        <f>'F9.1'!O16</f>
        <v>554.38980000000004</v>
      </c>
      <c r="N9" s="316">
        <f>'F9.1'!P16</f>
        <v>581.38582199999996</v>
      </c>
      <c r="O9" s="316">
        <f>SUM(C9:N9)</f>
        <v>5798.5529200000001</v>
      </c>
    </row>
    <row r="10" spans="2:15">
      <c r="B10" s="107"/>
      <c r="C10" s="316"/>
      <c r="D10" s="316"/>
      <c r="E10" s="316"/>
      <c r="F10" s="316"/>
      <c r="G10" s="316"/>
      <c r="H10" s="316"/>
      <c r="I10" s="316"/>
      <c r="J10" s="316"/>
      <c r="K10" s="316"/>
      <c r="L10" s="316"/>
      <c r="M10" s="316"/>
      <c r="N10" s="316"/>
      <c r="O10" s="316">
        <f>SUM(C10:N10)</f>
        <v>0</v>
      </c>
    </row>
    <row r="11" spans="2:15">
      <c r="B11" s="73" t="s">
        <v>272</v>
      </c>
      <c r="C11" s="345">
        <f>SUM(C9:C10)</f>
        <v>512.48503200000005</v>
      </c>
      <c r="D11" s="345">
        <f t="shared" ref="D11:O11" si="0">SUM(D9:D10)</f>
        <v>495.82567899999998</v>
      </c>
      <c r="E11" s="345">
        <f t="shared" si="0"/>
        <v>534.51691700000003</v>
      </c>
      <c r="F11" s="345">
        <f t="shared" si="0"/>
        <v>432.77066300000001</v>
      </c>
      <c r="G11" s="345">
        <f t="shared" si="0"/>
        <v>295.12807800000002</v>
      </c>
      <c r="H11" s="345">
        <f t="shared" si="0"/>
        <v>323.89832999999999</v>
      </c>
      <c r="I11" s="345">
        <f t="shared" si="0"/>
        <v>455.73175700000002</v>
      </c>
      <c r="J11" s="345">
        <f t="shared" si="0"/>
        <v>504.78650599999997</v>
      </c>
      <c r="K11" s="345">
        <f t="shared" si="0"/>
        <v>604.97543199999996</v>
      </c>
      <c r="L11" s="345">
        <f t="shared" si="0"/>
        <v>502.65890400000001</v>
      </c>
      <c r="M11" s="345">
        <f t="shared" si="0"/>
        <v>554.38980000000004</v>
      </c>
      <c r="N11" s="345">
        <f t="shared" si="0"/>
        <v>581.38582199999996</v>
      </c>
      <c r="O11" s="345">
        <f t="shared" si="0"/>
        <v>5798.5529200000001</v>
      </c>
    </row>
    <row r="12" spans="2:15">
      <c r="B12" s="228"/>
      <c r="E12" s="236"/>
      <c r="F12" s="237"/>
      <c r="G12" s="236"/>
      <c r="H12" s="236"/>
    </row>
    <row r="13" spans="2:15">
      <c r="B13" s="53" t="s">
        <v>956</v>
      </c>
      <c r="C13" s="19"/>
      <c r="D13" s="19"/>
      <c r="E13" s="19"/>
      <c r="F13" s="19"/>
      <c r="G13" s="19"/>
      <c r="H13" s="19"/>
      <c r="I13" s="72"/>
    </row>
    <row r="14" spans="2:15">
      <c r="B14" s="53" t="s">
        <v>28</v>
      </c>
      <c r="C14" s="63"/>
      <c r="D14" s="63"/>
      <c r="O14" s="63" t="s">
        <v>278</v>
      </c>
    </row>
    <row r="15" spans="2:15" s="6" customFormat="1" ht="15" customHeight="1">
      <c r="B15" s="105" t="s">
        <v>279</v>
      </c>
      <c r="C15" s="86" t="s">
        <v>280</v>
      </c>
      <c r="D15" s="86" t="s">
        <v>281</v>
      </c>
      <c r="E15" s="106" t="s">
        <v>282</v>
      </c>
      <c r="F15" s="106" t="s">
        <v>283</v>
      </c>
      <c r="G15" s="106" t="s">
        <v>284</v>
      </c>
      <c r="H15" s="106" t="s">
        <v>285</v>
      </c>
      <c r="I15" s="106" t="s">
        <v>286</v>
      </c>
      <c r="J15" s="106" t="s">
        <v>287</v>
      </c>
      <c r="K15" s="106" t="s">
        <v>288</v>
      </c>
      <c r="L15" s="106" t="s">
        <v>289</v>
      </c>
      <c r="M15" s="106" t="s">
        <v>290</v>
      </c>
      <c r="N15" s="106" t="s">
        <v>291</v>
      </c>
      <c r="O15" s="106" t="s">
        <v>272</v>
      </c>
    </row>
    <row r="16" spans="2:15" s="6" customFormat="1">
      <c r="B16" s="148" t="s">
        <v>748</v>
      </c>
      <c r="C16" s="316">
        <f>'F9.1'!E43</f>
        <v>565.90884000000005</v>
      </c>
      <c r="D16" s="316">
        <f>'F9.1'!F43</f>
        <v>507.45346699999999</v>
      </c>
      <c r="E16" s="316">
        <f>'F9.1'!G43</f>
        <v>583.54813799999999</v>
      </c>
      <c r="F16" s="316">
        <f>'F9.1'!H43</f>
        <v>543.78789800000004</v>
      </c>
      <c r="G16" s="316">
        <f>'F9.1'!I43</f>
        <v>514.32736699999998</v>
      </c>
      <c r="H16" s="316">
        <f>'F9.1'!J43</f>
        <v>465.45484900000002</v>
      </c>
      <c r="I16" s="316">
        <f>'F9.1'!K43</f>
        <v>485.48768200000001</v>
      </c>
      <c r="J16" s="316">
        <f>'F9.1'!L43</f>
        <v>492.51919299999997</v>
      </c>
      <c r="K16" s="316">
        <f>'F9.1'!M43</f>
        <v>488.45433800000001</v>
      </c>
      <c r="L16" s="316">
        <f>'F9.1'!N43</f>
        <v>565.68774399999995</v>
      </c>
      <c r="M16" s="316">
        <f>'F9.1'!O43</f>
        <v>447.817272</v>
      </c>
      <c r="N16" s="316">
        <f>'F9.1'!P43</f>
        <v>458.85366699999997</v>
      </c>
      <c r="O16" s="316">
        <f>SUM(C16:N16)</f>
        <v>6119.3004550000005</v>
      </c>
    </row>
    <row r="17" spans="1:17" s="6" customFormat="1">
      <c r="B17" s="107"/>
      <c r="C17" s="316"/>
      <c r="D17" s="316"/>
      <c r="E17" s="316"/>
      <c r="F17" s="316"/>
      <c r="G17" s="316"/>
      <c r="H17" s="316"/>
      <c r="I17" s="316"/>
      <c r="J17" s="316"/>
      <c r="K17" s="316"/>
      <c r="L17" s="316"/>
      <c r="M17" s="316"/>
      <c r="N17" s="316"/>
      <c r="O17" s="316">
        <f>SUM(C17:N17)</f>
        <v>0</v>
      </c>
    </row>
    <row r="18" spans="1:17" s="1" customFormat="1">
      <c r="B18" s="73" t="s">
        <v>272</v>
      </c>
      <c r="C18" s="345">
        <f t="shared" ref="C18:O18" si="1">SUM(C16:C17)</f>
        <v>565.90884000000005</v>
      </c>
      <c r="D18" s="345">
        <f t="shared" si="1"/>
        <v>507.45346699999999</v>
      </c>
      <c r="E18" s="345">
        <f t="shared" si="1"/>
        <v>583.54813799999999</v>
      </c>
      <c r="F18" s="345">
        <f t="shared" si="1"/>
        <v>543.78789800000004</v>
      </c>
      <c r="G18" s="345">
        <f t="shared" si="1"/>
        <v>514.32736699999998</v>
      </c>
      <c r="H18" s="345">
        <f t="shared" si="1"/>
        <v>465.45484900000002</v>
      </c>
      <c r="I18" s="345">
        <f t="shared" si="1"/>
        <v>485.48768200000001</v>
      </c>
      <c r="J18" s="345">
        <f t="shared" si="1"/>
        <v>492.51919299999997</v>
      </c>
      <c r="K18" s="345">
        <f t="shared" si="1"/>
        <v>488.45433800000001</v>
      </c>
      <c r="L18" s="345">
        <f t="shared" si="1"/>
        <v>565.68774399999995</v>
      </c>
      <c r="M18" s="345">
        <f t="shared" si="1"/>
        <v>447.817272</v>
      </c>
      <c r="N18" s="345">
        <f t="shared" si="1"/>
        <v>458.85366699999997</v>
      </c>
      <c r="O18" s="345">
        <f t="shared" si="1"/>
        <v>6119.3004550000005</v>
      </c>
    </row>
    <row r="19" spans="1:17" s="1" customFormat="1" ht="16">
      <c r="B19" s="53"/>
      <c r="C19" s="19"/>
      <c r="D19" s="19"/>
      <c r="E19" s="19"/>
      <c r="F19" s="19"/>
      <c r="G19" s="19"/>
      <c r="H19" s="19"/>
      <c r="I19" s="45"/>
      <c r="J19" s="69"/>
    </row>
    <row r="20" spans="1:17" s="1" customFormat="1" ht="16">
      <c r="B20" s="53" t="s">
        <v>957</v>
      </c>
      <c r="C20" s="19"/>
      <c r="D20" s="19"/>
      <c r="E20" s="19"/>
      <c r="F20" s="19"/>
      <c r="G20" s="19"/>
      <c r="H20" s="19"/>
      <c r="I20" s="19"/>
      <c r="J20" s="19"/>
      <c r="K20" s="19"/>
      <c r="L20" s="19"/>
      <c r="M20" s="19"/>
      <c r="N20" s="19"/>
      <c r="O20" s="72"/>
      <c r="P20" s="45"/>
      <c r="Q20" s="69"/>
    </row>
    <row r="21" spans="1:17" s="1" customFormat="1" ht="16">
      <c r="A21" s="1" t="s">
        <v>292</v>
      </c>
      <c r="B21" s="53" t="s">
        <v>12</v>
      </c>
      <c r="C21" s="63"/>
      <c r="D21" s="63"/>
      <c r="E21" s="5"/>
      <c r="F21" s="5"/>
      <c r="G21" s="5"/>
      <c r="H21" s="5"/>
      <c r="I21" s="5"/>
      <c r="J21" s="5"/>
      <c r="K21" s="5"/>
      <c r="L21" s="5"/>
      <c r="M21" s="5"/>
      <c r="N21" s="5"/>
      <c r="O21" s="63" t="s">
        <v>278</v>
      </c>
      <c r="P21" s="45"/>
    </row>
    <row r="22" spans="1:17" s="1" customFormat="1" ht="18.75" customHeight="1">
      <c r="B22" s="1719" t="s">
        <v>279</v>
      </c>
      <c r="C22" s="1870" t="s">
        <v>293</v>
      </c>
      <c r="D22" s="1870"/>
      <c r="E22" s="1870"/>
      <c r="F22" s="1870"/>
      <c r="G22" s="1870"/>
      <c r="H22" s="1870"/>
      <c r="I22" s="1870"/>
      <c r="J22" s="1870"/>
      <c r="K22" s="1721" t="s">
        <v>12</v>
      </c>
      <c r="L22" s="1721"/>
      <c r="M22" s="1721"/>
      <c r="N22" s="1721"/>
      <c r="O22" s="86" t="s">
        <v>294</v>
      </c>
      <c r="P22" s="45"/>
      <c r="Q22" s="45"/>
    </row>
    <row r="23" spans="1:17" s="35" customFormat="1">
      <c r="B23" s="1719"/>
      <c r="C23" s="86" t="s">
        <v>280</v>
      </c>
      <c r="D23" s="86" t="s">
        <v>281</v>
      </c>
      <c r="E23" s="106" t="s">
        <v>282</v>
      </c>
      <c r="F23" s="106" t="s">
        <v>283</v>
      </c>
      <c r="G23" s="106" t="s">
        <v>284</v>
      </c>
      <c r="H23" s="106" t="s">
        <v>285</v>
      </c>
      <c r="I23" s="106" t="s">
        <v>286</v>
      </c>
      <c r="J23" s="106" t="s">
        <v>287</v>
      </c>
      <c r="K23" s="106" t="s">
        <v>288</v>
      </c>
      <c r="L23" s="106" t="s">
        <v>289</v>
      </c>
      <c r="M23" s="106" t="s">
        <v>290</v>
      </c>
      <c r="N23" s="106" t="s">
        <v>291</v>
      </c>
      <c r="O23" s="108"/>
    </row>
    <row r="24" spans="1:17" s="6" customFormat="1">
      <c r="B24" s="148" t="s">
        <v>748</v>
      </c>
      <c r="C24" s="443">
        <f>'F2.2'!$Q$37*30/365</f>
        <v>504.4066354870385</v>
      </c>
      <c r="D24" s="443">
        <f>'F2.2'!$Q$37*31/365</f>
        <v>521.22019000327305</v>
      </c>
      <c r="E24" s="443">
        <f>'F2.2'!$Q$37*30/365</f>
        <v>504.4066354870385</v>
      </c>
      <c r="F24" s="443">
        <f>'F2.2'!$Q$37*31/365</f>
        <v>521.22019000327305</v>
      </c>
      <c r="G24" s="443">
        <f>'F2.2'!$Q$37*31/365</f>
        <v>521.22019000327305</v>
      </c>
      <c r="H24" s="443">
        <f>'F2.2'!$Q$37*30/365</f>
        <v>504.4066354870385</v>
      </c>
      <c r="I24" s="771">
        <v>586.63310678572714</v>
      </c>
      <c r="J24" s="771">
        <v>567.70945817973586</v>
      </c>
      <c r="K24" s="771">
        <v>586.63310678572714</v>
      </c>
      <c r="L24" s="771">
        <v>586.63310678572714</v>
      </c>
      <c r="M24" s="771">
        <v>529.86216096775354</v>
      </c>
      <c r="N24" s="771">
        <v>586.63310678572714</v>
      </c>
      <c r="O24" s="316">
        <f>SUM(C24:N24)</f>
        <v>6520.9845227613332</v>
      </c>
    </row>
    <row r="25" spans="1:17" s="6" customFormat="1">
      <c r="B25" s="107"/>
      <c r="C25" s="316"/>
      <c r="D25" s="316"/>
      <c r="E25" s="316"/>
      <c r="F25" s="316"/>
      <c r="G25" s="316"/>
      <c r="H25" s="316"/>
      <c r="I25" s="316"/>
      <c r="J25" s="316"/>
      <c r="K25" s="316"/>
      <c r="L25" s="316"/>
      <c r="M25" s="316"/>
      <c r="N25" s="316"/>
      <c r="O25" s="316">
        <f>SUM(C25:N25)</f>
        <v>0</v>
      </c>
    </row>
    <row r="26" spans="1:17" s="1" customFormat="1">
      <c r="B26" s="73" t="s">
        <v>272</v>
      </c>
      <c r="C26" s="345">
        <f t="shared" ref="C26:O26" si="2">SUM(C24:C25)</f>
        <v>504.4066354870385</v>
      </c>
      <c r="D26" s="345">
        <f t="shared" si="2"/>
        <v>521.22019000327305</v>
      </c>
      <c r="E26" s="345">
        <f t="shared" si="2"/>
        <v>504.4066354870385</v>
      </c>
      <c r="F26" s="345">
        <f t="shared" si="2"/>
        <v>521.22019000327305</v>
      </c>
      <c r="G26" s="345">
        <f t="shared" si="2"/>
        <v>521.22019000327305</v>
      </c>
      <c r="H26" s="345">
        <f t="shared" si="2"/>
        <v>504.4066354870385</v>
      </c>
      <c r="I26" s="345">
        <f t="shared" si="2"/>
        <v>586.63310678572714</v>
      </c>
      <c r="J26" s="345">
        <f t="shared" si="2"/>
        <v>567.70945817973586</v>
      </c>
      <c r="K26" s="345">
        <f t="shared" si="2"/>
        <v>586.63310678572714</v>
      </c>
      <c r="L26" s="345">
        <f t="shared" si="2"/>
        <v>586.63310678572714</v>
      </c>
      <c r="M26" s="345">
        <f t="shared" si="2"/>
        <v>529.86216096775354</v>
      </c>
      <c r="N26" s="345">
        <f t="shared" si="2"/>
        <v>586.63310678572714</v>
      </c>
      <c r="O26" s="345">
        <f t="shared" si="2"/>
        <v>6520.9845227613332</v>
      </c>
    </row>
    <row r="28" spans="1:17" s="1" customFormat="1" ht="16">
      <c r="B28" s="53"/>
      <c r="C28" s="19"/>
      <c r="D28" s="19"/>
      <c r="E28" s="19"/>
      <c r="F28" s="19"/>
      <c r="G28" s="19"/>
      <c r="H28" s="19"/>
      <c r="I28" s="19"/>
      <c r="J28" s="19"/>
      <c r="K28" s="19"/>
      <c r="L28" s="19"/>
      <c r="M28" s="19"/>
      <c r="N28" s="19"/>
      <c r="O28" s="72"/>
      <c r="P28" s="45"/>
      <c r="Q28" s="69"/>
    </row>
    <row r="29" spans="1:17">
      <c r="B29" s="53" t="s">
        <v>958</v>
      </c>
      <c r="C29" s="19"/>
      <c r="D29" s="19"/>
      <c r="E29" s="19"/>
      <c r="F29" s="19"/>
      <c r="G29" s="19"/>
      <c r="H29" s="19"/>
      <c r="I29" s="72"/>
    </row>
    <row r="30" spans="1:17">
      <c r="B30" s="53" t="s">
        <v>682</v>
      </c>
      <c r="C30" s="63"/>
      <c r="D30" s="63"/>
      <c r="O30" s="63" t="s">
        <v>278</v>
      </c>
    </row>
    <row r="31" spans="1:17">
      <c r="B31" s="105" t="s">
        <v>279</v>
      </c>
      <c r="C31" s="234" t="s">
        <v>280</v>
      </c>
      <c r="D31" s="234" t="s">
        <v>281</v>
      </c>
      <c r="E31" s="106" t="s">
        <v>282</v>
      </c>
      <c r="F31" s="106" t="s">
        <v>283</v>
      </c>
      <c r="G31" s="106" t="s">
        <v>284</v>
      </c>
      <c r="H31" s="106" t="s">
        <v>285</v>
      </c>
      <c r="I31" s="106" t="s">
        <v>286</v>
      </c>
      <c r="J31" s="106" t="s">
        <v>287</v>
      </c>
      <c r="K31" s="106" t="s">
        <v>288</v>
      </c>
      <c r="L31" s="106" t="s">
        <v>289</v>
      </c>
      <c r="M31" s="106" t="s">
        <v>290</v>
      </c>
      <c r="N31" s="106" t="s">
        <v>291</v>
      </c>
      <c r="O31" s="106" t="s">
        <v>272</v>
      </c>
    </row>
    <row r="32" spans="1:17">
      <c r="B32" s="148" t="s">
        <v>748</v>
      </c>
      <c r="C32" s="443">
        <f>'F2.2'!$S$37*30/365</f>
        <v>575.24710449750762</v>
      </c>
      <c r="D32" s="443">
        <f>'F2.2'!$S$37*31/365</f>
        <v>594.42200798075783</v>
      </c>
      <c r="E32" s="443">
        <f>'F2.2'!$S$37*30/365</f>
        <v>575.24710449750762</v>
      </c>
      <c r="F32" s="443">
        <f>'F2.2'!$S$37*31/365</f>
        <v>594.42200798075783</v>
      </c>
      <c r="G32" s="443">
        <f>'F2.2'!$S$37*31/365</f>
        <v>594.42200798075783</v>
      </c>
      <c r="H32" s="443">
        <f>'F2.2'!$S$37*30/365</f>
        <v>575.24710449750762</v>
      </c>
      <c r="I32" s="443">
        <f>'F2.2'!$S$37*31/365</f>
        <v>594.42200798075783</v>
      </c>
      <c r="J32" s="443">
        <f>'F2.2'!$S$37*30/365</f>
        <v>575.24710449750762</v>
      </c>
      <c r="K32" s="443">
        <f>'F2.2'!$S$37*31/365</f>
        <v>594.42200798075783</v>
      </c>
      <c r="L32" s="443">
        <f>'F2.2'!$S$37*31/365</f>
        <v>594.42200798075783</v>
      </c>
      <c r="M32" s="443">
        <f>'F2.2'!$S$37*28/365</f>
        <v>536.8972975310071</v>
      </c>
      <c r="N32" s="443">
        <f>'F2.2'!$S$37*31/365</f>
        <v>594.42200798075783</v>
      </c>
      <c r="O32" s="443">
        <f>SUM(C32:N32)</f>
        <v>6998.8397713863415</v>
      </c>
    </row>
    <row r="33" spans="2:15">
      <c r="B33" s="107"/>
      <c r="C33" s="316"/>
      <c r="D33" s="316"/>
      <c r="E33" s="316"/>
      <c r="F33" s="316"/>
      <c r="G33" s="316"/>
      <c r="H33" s="316"/>
      <c r="I33" s="316"/>
      <c r="J33" s="316"/>
      <c r="K33" s="316"/>
      <c r="L33" s="316"/>
      <c r="M33" s="316"/>
      <c r="N33" s="316"/>
      <c r="O33" s="316">
        <f>SUM(C33:N33)</f>
        <v>0</v>
      </c>
    </row>
    <row r="34" spans="2:15">
      <c r="B34" s="73" t="s">
        <v>272</v>
      </c>
      <c r="C34" s="345">
        <f t="shared" ref="C34:O34" si="3">SUM(C32:C33)</f>
        <v>575.24710449750762</v>
      </c>
      <c r="D34" s="345">
        <f t="shared" si="3"/>
        <v>594.42200798075783</v>
      </c>
      <c r="E34" s="345">
        <f t="shared" si="3"/>
        <v>575.24710449750762</v>
      </c>
      <c r="F34" s="345">
        <f t="shared" si="3"/>
        <v>594.42200798075783</v>
      </c>
      <c r="G34" s="345">
        <f t="shared" si="3"/>
        <v>594.42200798075783</v>
      </c>
      <c r="H34" s="345">
        <f t="shared" si="3"/>
        <v>575.24710449750762</v>
      </c>
      <c r="I34" s="345">
        <f t="shared" si="3"/>
        <v>594.42200798075783</v>
      </c>
      <c r="J34" s="345">
        <f t="shared" si="3"/>
        <v>575.24710449750762</v>
      </c>
      <c r="K34" s="345">
        <f t="shared" si="3"/>
        <v>594.42200798075783</v>
      </c>
      <c r="L34" s="345">
        <f t="shared" si="3"/>
        <v>594.42200798075783</v>
      </c>
      <c r="M34" s="345">
        <f t="shared" si="3"/>
        <v>536.8972975310071</v>
      </c>
      <c r="N34" s="345">
        <f t="shared" si="3"/>
        <v>594.42200798075783</v>
      </c>
      <c r="O34" s="345">
        <f t="shared" si="3"/>
        <v>6998.8397713863415</v>
      </c>
    </row>
    <row r="37" spans="2:15">
      <c r="B37" s="53" t="s">
        <v>959</v>
      </c>
      <c r="C37" s="19"/>
      <c r="D37" s="19"/>
      <c r="E37" s="19"/>
      <c r="F37" s="19"/>
      <c r="G37" s="19"/>
      <c r="H37" s="19"/>
      <c r="I37" s="72"/>
    </row>
    <row r="38" spans="2:15">
      <c r="B38" s="53" t="s">
        <v>682</v>
      </c>
      <c r="C38" s="63"/>
      <c r="D38" s="63"/>
      <c r="O38" s="63" t="s">
        <v>278</v>
      </c>
    </row>
    <row r="39" spans="2:15">
      <c r="B39" s="105" t="s">
        <v>279</v>
      </c>
      <c r="C39" s="86" t="s">
        <v>280</v>
      </c>
      <c r="D39" s="86" t="s">
        <v>281</v>
      </c>
      <c r="E39" s="106" t="s">
        <v>282</v>
      </c>
      <c r="F39" s="106" t="s">
        <v>283</v>
      </c>
      <c r="G39" s="106" t="s">
        <v>284</v>
      </c>
      <c r="H39" s="106" t="s">
        <v>285</v>
      </c>
      <c r="I39" s="106" t="s">
        <v>286</v>
      </c>
      <c r="J39" s="106" t="s">
        <v>287</v>
      </c>
      <c r="K39" s="106" t="s">
        <v>288</v>
      </c>
      <c r="L39" s="106" t="s">
        <v>289</v>
      </c>
      <c r="M39" s="106" t="s">
        <v>290</v>
      </c>
      <c r="N39" s="106" t="s">
        <v>291</v>
      </c>
      <c r="O39" s="106" t="s">
        <v>272</v>
      </c>
    </row>
    <row r="40" spans="2:15">
      <c r="B40" s="148" t="s">
        <v>748</v>
      </c>
      <c r="C40" s="443">
        <f>'F2.2'!$T$37*30/365</f>
        <v>575.25813221434748</v>
      </c>
      <c r="D40" s="443">
        <f>'F2.2'!$T$37*31/365</f>
        <v>594.43340328815907</v>
      </c>
      <c r="E40" s="443">
        <f>'F2.2'!$T$37*30/365</f>
        <v>575.25813221434748</v>
      </c>
      <c r="F40" s="443">
        <f>'F2.2'!$T$37*31/365</f>
        <v>594.43340328815907</v>
      </c>
      <c r="G40" s="443">
        <f>'F2.2'!$T$37*31/365</f>
        <v>594.43340328815907</v>
      </c>
      <c r="H40" s="443">
        <f>'F2.2'!$T$37*30/365</f>
        <v>575.25813221434748</v>
      </c>
      <c r="I40" s="443">
        <f>'F2.2'!$T$37*31/365</f>
        <v>594.43340328815907</v>
      </c>
      <c r="J40" s="443">
        <f>'F2.2'!$T$37*30/365</f>
        <v>575.25813221434748</v>
      </c>
      <c r="K40" s="443">
        <f>'F2.2'!$T$37*31/365</f>
        <v>594.43340328815907</v>
      </c>
      <c r="L40" s="443">
        <f>'F2.2'!$T$37*31/365</f>
        <v>594.43340328815907</v>
      </c>
      <c r="M40" s="443">
        <f>'F2.2'!$T$37*28/365</f>
        <v>536.90759006672431</v>
      </c>
      <c r="N40" s="443">
        <f>'F2.2'!$T$37*31/365</f>
        <v>594.43340328815907</v>
      </c>
      <c r="O40" s="443">
        <f>SUM(C40:N40)</f>
        <v>6998.9739419412272</v>
      </c>
    </row>
    <row r="41" spans="2:15">
      <c r="B41" s="107"/>
      <c r="C41" s="316"/>
      <c r="D41" s="316"/>
      <c r="E41" s="316"/>
      <c r="F41" s="316"/>
      <c r="G41" s="316"/>
      <c r="H41" s="316"/>
      <c r="I41" s="316"/>
      <c r="J41" s="316"/>
      <c r="K41" s="316"/>
      <c r="L41" s="316"/>
      <c r="M41" s="316"/>
      <c r="N41" s="316"/>
      <c r="O41" s="316">
        <f>SUM(C41:N41)</f>
        <v>0</v>
      </c>
    </row>
    <row r="42" spans="2:15">
      <c r="B42" s="73" t="s">
        <v>272</v>
      </c>
      <c r="C42" s="345">
        <f>SUM(C40:C41)</f>
        <v>575.25813221434748</v>
      </c>
      <c r="D42" s="345">
        <f t="shared" ref="D42:O42" si="4">SUM(D40:D41)</f>
        <v>594.43340328815907</v>
      </c>
      <c r="E42" s="345">
        <f t="shared" si="4"/>
        <v>575.25813221434748</v>
      </c>
      <c r="F42" s="345">
        <f t="shared" si="4"/>
        <v>594.43340328815907</v>
      </c>
      <c r="G42" s="345">
        <f t="shared" si="4"/>
        <v>594.43340328815907</v>
      </c>
      <c r="H42" s="345">
        <f t="shared" si="4"/>
        <v>575.25813221434748</v>
      </c>
      <c r="I42" s="345">
        <f t="shared" si="4"/>
        <v>594.43340328815907</v>
      </c>
      <c r="J42" s="345">
        <f t="shared" si="4"/>
        <v>575.25813221434748</v>
      </c>
      <c r="K42" s="345">
        <f t="shared" si="4"/>
        <v>594.43340328815907</v>
      </c>
      <c r="L42" s="345">
        <f t="shared" si="4"/>
        <v>594.43340328815907</v>
      </c>
      <c r="M42" s="345">
        <f t="shared" si="4"/>
        <v>536.90759006672431</v>
      </c>
      <c r="N42" s="345">
        <f t="shared" si="4"/>
        <v>594.43340328815907</v>
      </c>
      <c r="O42" s="345">
        <f t="shared" si="4"/>
        <v>6998.9739419412272</v>
      </c>
    </row>
    <row r="45" spans="2:15">
      <c r="B45" s="53" t="s">
        <v>960</v>
      </c>
      <c r="C45" s="19"/>
      <c r="D45" s="19"/>
      <c r="E45" s="19"/>
      <c r="F45" s="19"/>
      <c r="G45" s="19"/>
      <c r="H45" s="19"/>
      <c r="I45" s="72"/>
    </row>
    <row r="46" spans="2:15">
      <c r="B46" s="53" t="s">
        <v>682</v>
      </c>
      <c r="C46" s="63"/>
      <c r="D46" s="63"/>
      <c r="O46" s="63" t="s">
        <v>278</v>
      </c>
    </row>
    <row r="47" spans="2:15">
      <c r="B47" s="105" t="s">
        <v>279</v>
      </c>
      <c r="C47" s="697" t="s">
        <v>280</v>
      </c>
      <c r="D47" s="697" t="s">
        <v>281</v>
      </c>
      <c r="E47" s="106" t="s">
        <v>282</v>
      </c>
      <c r="F47" s="106" t="s">
        <v>283</v>
      </c>
      <c r="G47" s="106" t="s">
        <v>284</v>
      </c>
      <c r="H47" s="106" t="s">
        <v>285</v>
      </c>
      <c r="I47" s="106" t="s">
        <v>286</v>
      </c>
      <c r="J47" s="106" t="s">
        <v>287</v>
      </c>
      <c r="K47" s="106" t="s">
        <v>288</v>
      </c>
      <c r="L47" s="106" t="s">
        <v>289</v>
      </c>
      <c r="M47" s="106" t="s">
        <v>290</v>
      </c>
      <c r="N47" s="106" t="s">
        <v>291</v>
      </c>
      <c r="O47" s="106" t="s">
        <v>272</v>
      </c>
    </row>
    <row r="48" spans="2:15">
      <c r="B48" s="148" t="s">
        <v>748</v>
      </c>
      <c r="C48" s="443">
        <f>'F2.2'!$U$37*30/366</f>
        <v>566.36273265795774</v>
      </c>
      <c r="D48" s="443">
        <f>'F2.2'!$U$37*31/366</f>
        <v>585.241490413223</v>
      </c>
      <c r="E48" s="443">
        <f>'F2.2'!$U$37*30/366</f>
        <v>566.36273265795774</v>
      </c>
      <c r="F48" s="443">
        <f>'F2.2'!$U$37*31/366</f>
        <v>585.241490413223</v>
      </c>
      <c r="G48" s="443">
        <f>'F2.2'!$U$37*31/366</f>
        <v>585.241490413223</v>
      </c>
      <c r="H48" s="443">
        <f>'F2.2'!$U$37*30/366</f>
        <v>566.36273265795774</v>
      </c>
      <c r="I48" s="443">
        <f>'F2.2'!$U$37*31/366</f>
        <v>585.241490413223</v>
      </c>
      <c r="J48" s="443">
        <f>'F2.2'!$U$37*30/366</f>
        <v>566.36273265795774</v>
      </c>
      <c r="K48" s="443">
        <f>'F2.2'!$U$37*31/366</f>
        <v>585.241490413223</v>
      </c>
      <c r="L48" s="443">
        <f>'F2.2'!$U$37*31/366</f>
        <v>585.241490413223</v>
      </c>
      <c r="M48" s="443">
        <f>'F2.2'!$U$37*29/366</f>
        <v>547.48397490269247</v>
      </c>
      <c r="N48" s="443">
        <f>'F2.2'!$U$37*31/366</f>
        <v>585.241490413223</v>
      </c>
      <c r="O48" s="443">
        <f>SUM(C48:N48)</f>
        <v>6909.625338427084</v>
      </c>
    </row>
    <row r="49" spans="2:15">
      <c r="B49" s="107"/>
      <c r="C49" s="316"/>
      <c r="D49" s="316"/>
      <c r="E49" s="316"/>
      <c r="F49" s="316"/>
      <c r="G49" s="316"/>
      <c r="H49" s="316"/>
      <c r="I49" s="316"/>
      <c r="J49" s="316"/>
      <c r="K49" s="316"/>
      <c r="L49" s="316"/>
      <c r="M49" s="316"/>
      <c r="N49" s="316"/>
      <c r="O49" s="316">
        <f>SUM(C49:N49)</f>
        <v>0</v>
      </c>
    </row>
    <row r="50" spans="2:15">
      <c r="B50" s="73" t="s">
        <v>272</v>
      </c>
      <c r="C50" s="345">
        <f>SUM(C48:C49)</f>
        <v>566.36273265795774</v>
      </c>
      <c r="D50" s="345">
        <f t="shared" ref="D50:O50" si="5">SUM(D48:D49)</f>
        <v>585.241490413223</v>
      </c>
      <c r="E50" s="345">
        <f t="shared" si="5"/>
        <v>566.36273265795774</v>
      </c>
      <c r="F50" s="345">
        <f t="shared" si="5"/>
        <v>585.241490413223</v>
      </c>
      <c r="G50" s="345">
        <f t="shared" si="5"/>
        <v>585.241490413223</v>
      </c>
      <c r="H50" s="345">
        <f t="shared" si="5"/>
        <v>566.36273265795774</v>
      </c>
      <c r="I50" s="345">
        <f t="shared" si="5"/>
        <v>585.241490413223</v>
      </c>
      <c r="J50" s="345">
        <f t="shared" si="5"/>
        <v>566.36273265795774</v>
      </c>
      <c r="K50" s="345">
        <f t="shared" si="5"/>
        <v>585.241490413223</v>
      </c>
      <c r="L50" s="345">
        <f t="shared" si="5"/>
        <v>585.241490413223</v>
      </c>
      <c r="M50" s="345">
        <f t="shared" si="5"/>
        <v>547.48397490269247</v>
      </c>
      <c r="N50" s="345">
        <f t="shared" si="5"/>
        <v>585.241490413223</v>
      </c>
      <c r="O50" s="345">
        <f t="shared" si="5"/>
        <v>6909.625338427084</v>
      </c>
    </row>
    <row r="53" spans="2:15">
      <c r="B53" s="53" t="s">
        <v>961</v>
      </c>
      <c r="C53" s="19"/>
      <c r="D53" s="19"/>
      <c r="E53" s="19"/>
      <c r="F53" s="19"/>
      <c r="G53" s="19"/>
      <c r="H53" s="19"/>
      <c r="I53" s="72"/>
    </row>
    <row r="54" spans="2:15">
      <c r="B54" s="53" t="s">
        <v>682</v>
      </c>
      <c r="C54" s="63"/>
      <c r="D54" s="63"/>
      <c r="O54" s="63" t="s">
        <v>278</v>
      </c>
    </row>
    <row r="55" spans="2:15">
      <c r="B55" s="105" t="s">
        <v>279</v>
      </c>
      <c r="C55" s="697" t="s">
        <v>280</v>
      </c>
      <c r="D55" s="697" t="s">
        <v>281</v>
      </c>
      <c r="E55" s="106" t="s">
        <v>282</v>
      </c>
      <c r="F55" s="106" t="s">
        <v>283</v>
      </c>
      <c r="G55" s="106" t="s">
        <v>284</v>
      </c>
      <c r="H55" s="106" t="s">
        <v>285</v>
      </c>
      <c r="I55" s="106" t="s">
        <v>286</v>
      </c>
      <c r="J55" s="106" t="s">
        <v>287</v>
      </c>
      <c r="K55" s="106" t="s">
        <v>288</v>
      </c>
      <c r="L55" s="106" t="s">
        <v>289</v>
      </c>
      <c r="M55" s="106" t="s">
        <v>290</v>
      </c>
      <c r="N55" s="106" t="s">
        <v>291</v>
      </c>
      <c r="O55" s="106" t="s">
        <v>272</v>
      </c>
    </row>
    <row r="56" spans="2:15">
      <c r="B56" s="148" t="s">
        <v>748</v>
      </c>
      <c r="C56" s="443">
        <f>'F2.2'!$V$37*30/365</f>
        <v>567.92430859345575</v>
      </c>
      <c r="D56" s="443">
        <f>'F2.2'!$V$37*31/365</f>
        <v>586.85511887990424</v>
      </c>
      <c r="E56" s="443">
        <f>'F2.2'!$V$37*30/365</f>
        <v>567.92430859345575</v>
      </c>
      <c r="F56" s="443">
        <f>'F2.2'!$V$37*31/365</f>
        <v>586.85511887990424</v>
      </c>
      <c r="G56" s="443">
        <f>'F2.2'!$V$37*31/365</f>
        <v>586.85511887990424</v>
      </c>
      <c r="H56" s="443">
        <f>'F2.2'!$V$37*30/365</f>
        <v>567.92430859345575</v>
      </c>
      <c r="I56" s="443">
        <f>'F2.2'!$V$37*31/365</f>
        <v>586.85511887990424</v>
      </c>
      <c r="J56" s="443">
        <f>'F2.2'!$V$37*30/365</f>
        <v>567.92430859345575</v>
      </c>
      <c r="K56" s="443">
        <f>'F2.2'!$V$37*31/365</f>
        <v>586.85511887990424</v>
      </c>
      <c r="L56" s="443">
        <f>'F2.2'!$V$37*31/365</f>
        <v>586.85511887990424</v>
      </c>
      <c r="M56" s="443">
        <f>'F2.2'!$V$37*28/365</f>
        <v>530.06268802055865</v>
      </c>
      <c r="N56" s="443">
        <f>'F2.2'!$V$37*31/365</f>
        <v>586.85511887990424</v>
      </c>
      <c r="O56" s="443">
        <f>SUM(C56:N56)</f>
        <v>6909.7457545537127</v>
      </c>
    </row>
    <row r="57" spans="2:15">
      <c r="B57" s="107"/>
      <c r="C57" s="316"/>
      <c r="D57" s="316"/>
      <c r="E57" s="316"/>
      <c r="F57" s="316"/>
      <c r="G57" s="316"/>
      <c r="H57" s="316"/>
      <c r="I57" s="316"/>
      <c r="J57" s="316"/>
      <c r="K57" s="316"/>
      <c r="L57" s="316"/>
      <c r="M57" s="316"/>
      <c r="N57" s="316"/>
      <c r="O57" s="316">
        <f>SUM(C57:N57)</f>
        <v>0</v>
      </c>
    </row>
    <row r="58" spans="2:15">
      <c r="B58" s="73" t="s">
        <v>272</v>
      </c>
      <c r="C58" s="345">
        <f>SUM(C56:C57)</f>
        <v>567.92430859345575</v>
      </c>
      <c r="D58" s="345">
        <f t="shared" ref="D58:O58" si="6">SUM(D56:D57)</f>
        <v>586.85511887990424</v>
      </c>
      <c r="E58" s="345">
        <f t="shared" si="6"/>
        <v>567.92430859345575</v>
      </c>
      <c r="F58" s="345">
        <f t="shared" si="6"/>
        <v>586.85511887990424</v>
      </c>
      <c r="G58" s="345">
        <f t="shared" si="6"/>
        <v>586.85511887990424</v>
      </c>
      <c r="H58" s="345">
        <f t="shared" si="6"/>
        <v>567.92430859345575</v>
      </c>
      <c r="I58" s="345">
        <f t="shared" si="6"/>
        <v>586.85511887990424</v>
      </c>
      <c r="J58" s="345">
        <f t="shared" si="6"/>
        <v>567.92430859345575</v>
      </c>
      <c r="K58" s="345">
        <f t="shared" si="6"/>
        <v>586.85511887990424</v>
      </c>
      <c r="L58" s="345">
        <f t="shared" si="6"/>
        <v>586.85511887990424</v>
      </c>
      <c r="M58" s="345">
        <f t="shared" si="6"/>
        <v>530.06268802055865</v>
      </c>
      <c r="N58" s="345">
        <f t="shared" si="6"/>
        <v>586.85511887990424</v>
      </c>
      <c r="O58" s="345">
        <f t="shared" si="6"/>
        <v>6909.7457545537127</v>
      </c>
    </row>
    <row r="61" spans="2:15">
      <c r="B61" s="53" t="s">
        <v>962</v>
      </c>
      <c r="C61" s="19"/>
      <c r="D61" s="19"/>
      <c r="E61" s="19"/>
      <c r="F61" s="19"/>
      <c r="G61" s="19"/>
      <c r="H61" s="19"/>
      <c r="I61" s="72"/>
    </row>
    <row r="62" spans="2:15">
      <c r="B62" s="53" t="s">
        <v>682</v>
      </c>
      <c r="C62" s="63"/>
      <c r="D62" s="63"/>
      <c r="O62" s="63" t="s">
        <v>278</v>
      </c>
    </row>
    <row r="63" spans="2:15">
      <c r="B63" s="105" t="s">
        <v>279</v>
      </c>
      <c r="C63" s="697" t="s">
        <v>280</v>
      </c>
      <c r="D63" s="697" t="s">
        <v>281</v>
      </c>
      <c r="E63" s="106" t="s">
        <v>282</v>
      </c>
      <c r="F63" s="106" t="s">
        <v>283</v>
      </c>
      <c r="G63" s="106" t="s">
        <v>284</v>
      </c>
      <c r="H63" s="106" t="s">
        <v>285</v>
      </c>
      <c r="I63" s="106" t="s">
        <v>286</v>
      </c>
      <c r="J63" s="106" t="s">
        <v>287</v>
      </c>
      <c r="K63" s="106" t="s">
        <v>288</v>
      </c>
      <c r="L63" s="106" t="s">
        <v>289</v>
      </c>
      <c r="M63" s="106" t="s">
        <v>290</v>
      </c>
      <c r="N63" s="106" t="s">
        <v>291</v>
      </c>
      <c r="O63" s="106" t="s">
        <v>272</v>
      </c>
    </row>
    <row r="64" spans="2:15">
      <c r="B64" s="148" t="s">
        <v>748</v>
      </c>
      <c r="C64" s="443">
        <f>'F2.2'!$W$37*30/365</f>
        <v>567.92430859345575</v>
      </c>
      <c r="D64" s="443">
        <f>'F2.2'!$V$37*31/365</f>
        <v>586.85511887990424</v>
      </c>
      <c r="E64" s="443">
        <f>'F2.2'!$V$37*30/365</f>
        <v>567.92430859345575</v>
      </c>
      <c r="F64" s="443">
        <f>'F2.2'!$V$37*31/365</f>
        <v>586.85511887990424</v>
      </c>
      <c r="G64" s="443">
        <f>'F2.2'!$V$37*31/365</f>
        <v>586.85511887990424</v>
      </c>
      <c r="H64" s="443">
        <f>'F2.2'!$V$37*30/365</f>
        <v>567.92430859345575</v>
      </c>
      <c r="I64" s="443">
        <f>'F2.2'!$V$37*31/365</f>
        <v>586.85511887990424</v>
      </c>
      <c r="J64" s="443">
        <f>'F2.2'!$V$37*30/365</f>
        <v>567.92430859345575</v>
      </c>
      <c r="K64" s="443">
        <f>'F2.2'!$V$37*31/365</f>
        <v>586.85511887990424</v>
      </c>
      <c r="L64" s="443">
        <f>'F2.2'!$V$37*31/365</f>
        <v>586.85511887990424</v>
      </c>
      <c r="M64" s="443">
        <f>'F2.2'!$V$37*28/365</f>
        <v>530.06268802055865</v>
      </c>
      <c r="N64" s="443">
        <f>'F2.2'!$V$37*31/365</f>
        <v>586.85511887990424</v>
      </c>
      <c r="O64" s="443">
        <f>SUM(C64:N64)</f>
        <v>6909.7457545537127</v>
      </c>
    </row>
    <row r="65" spans="2:15">
      <c r="B65" s="107"/>
      <c r="C65" s="316"/>
      <c r="D65" s="316"/>
      <c r="E65" s="316"/>
      <c r="F65" s="316"/>
      <c r="G65" s="316"/>
      <c r="H65" s="316"/>
      <c r="I65" s="316"/>
      <c r="J65" s="316"/>
      <c r="K65" s="316"/>
      <c r="L65" s="316"/>
      <c r="M65" s="316"/>
      <c r="N65" s="316"/>
      <c r="O65" s="316">
        <f>SUM(C65:N65)</f>
        <v>0</v>
      </c>
    </row>
    <row r="66" spans="2:15">
      <c r="B66" s="73" t="s">
        <v>272</v>
      </c>
      <c r="C66" s="345">
        <f>SUM(C64:C65)</f>
        <v>567.92430859345575</v>
      </c>
      <c r="D66" s="345">
        <f t="shared" ref="D66:O66" si="7">SUM(D64:D65)</f>
        <v>586.85511887990424</v>
      </c>
      <c r="E66" s="345">
        <f t="shared" si="7"/>
        <v>567.92430859345575</v>
      </c>
      <c r="F66" s="345">
        <f t="shared" si="7"/>
        <v>586.85511887990424</v>
      </c>
      <c r="G66" s="345">
        <f t="shared" si="7"/>
        <v>586.85511887990424</v>
      </c>
      <c r="H66" s="345">
        <f t="shared" si="7"/>
        <v>567.92430859345575</v>
      </c>
      <c r="I66" s="345">
        <f t="shared" si="7"/>
        <v>586.85511887990424</v>
      </c>
      <c r="J66" s="345">
        <f t="shared" si="7"/>
        <v>567.92430859345575</v>
      </c>
      <c r="K66" s="345">
        <f t="shared" si="7"/>
        <v>586.85511887990424</v>
      </c>
      <c r="L66" s="345">
        <f t="shared" si="7"/>
        <v>586.85511887990424</v>
      </c>
      <c r="M66" s="345">
        <f t="shared" si="7"/>
        <v>530.06268802055865</v>
      </c>
      <c r="N66" s="345">
        <f t="shared" si="7"/>
        <v>586.85511887990424</v>
      </c>
      <c r="O66" s="345">
        <f t="shared" si="7"/>
        <v>6909.7457545537127</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B1:N37"/>
  <sheetViews>
    <sheetView showGridLines="0" view="pageBreakPreview" topLeftCell="A14" zoomScale="70" zoomScaleNormal="75" zoomScaleSheetLayoutView="70" workbookViewId="0">
      <selection activeCell="B29" sqref="B29:N31"/>
    </sheetView>
  </sheetViews>
  <sheetFormatPr defaultColWidth="9.36328125" defaultRowHeight="13"/>
  <cols>
    <col min="1" max="1" width="9.36328125" style="74"/>
    <col min="2" max="2" width="29.453125" style="74" customWidth="1"/>
    <col min="3" max="6" width="12.36328125" style="74" customWidth="1"/>
    <col min="7" max="9" width="10.36328125" style="74" customWidth="1"/>
    <col min="10" max="14" width="11.6328125" style="74" customWidth="1"/>
    <col min="15" max="16384" width="9.36328125" style="74"/>
  </cols>
  <sheetData>
    <row r="1" spans="2:14" s="5" customFormat="1" ht="14">
      <c r="B1" s="71"/>
    </row>
    <row r="2" spans="2:14" s="5" customFormat="1" ht="14">
      <c r="B2" s="15" t="str">
        <f>Index!B2</f>
        <v xml:space="preserve">      Maharashtra State Power Generation Company Ltd.</v>
      </c>
      <c r="C2" s="18"/>
      <c r="D2" s="18"/>
      <c r="E2" s="18"/>
      <c r="F2" s="18"/>
      <c r="G2" s="18"/>
      <c r="H2" s="18"/>
      <c r="I2" s="18"/>
      <c r="J2" s="18"/>
      <c r="K2" s="18"/>
      <c r="L2" s="18"/>
      <c r="M2" s="18"/>
      <c r="N2" s="18"/>
    </row>
    <row r="3" spans="2:14" s="5" customFormat="1" ht="14">
      <c r="B3" s="15" t="str">
        <f>Index!B3</f>
        <v>MYT Petition Formats for Bhusawal Units 4&amp;5</v>
      </c>
      <c r="C3" s="70"/>
      <c r="D3" s="70"/>
      <c r="E3" s="70"/>
      <c r="F3" s="70"/>
      <c r="G3" s="70"/>
      <c r="H3" s="70"/>
      <c r="I3" s="70"/>
      <c r="J3" s="70"/>
      <c r="K3" s="70"/>
      <c r="L3" s="70"/>
      <c r="M3" s="70"/>
      <c r="N3" s="18"/>
    </row>
    <row r="4" spans="2:14" s="5" customFormat="1" ht="14">
      <c r="B4" s="17" t="s">
        <v>345</v>
      </c>
      <c r="C4" s="19"/>
      <c r="D4" s="19"/>
      <c r="E4" s="19"/>
      <c r="F4" s="19"/>
      <c r="G4" s="19"/>
      <c r="H4" s="19"/>
      <c r="I4" s="19"/>
      <c r="J4" s="19"/>
      <c r="K4" s="19"/>
      <c r="L4" s="19"/>
      <c r="M4" s="19"/>
      <c r="N4" s="19"/>
    </row>
    <row r="6" spans="2:14" ht="14">
      <c r="B6" s="53" t="s">
        <v>509</v>
      </c>
    </row>
    <row r="7" spans="2:14" ht="14">
      <c r="B7" s="53" t="s">
        <v>28</v>
      </c>
      <c r="N7" s="75" t="s">
        <v>10</v>
      </c>
    </row>
    <row r="8" spans="2:14" ht="13.25" customHeight="1">
      <c r="B8" s="1871" t="s">
        <v>279</v>
      </c>
      <c r="C8" s="1721" t="s">
        <v>295</v>
      </c>
      <c r="D8" s="1721"/>
      <c r="E8" s="1721"/>
      <c r="F8" s="1721"/>
      <c r="G8" s="1719" t="s">
        <v>296</v>
      </c>
      <c r="H8" s="1719"/>
      <c r="I8" s="1719"/>
      <c r="J8" s="1719" t="s">
        <v>297</v>
      </c>
      <c r="K8" s="1719"/>
      <c r="L8" s="1719"/>
      <c r="M8" s="1719"/>
      <c r="N8" s="1719"/>
    </row>
    <row r="9" spans="2:14" ht="84">
      <c r="B9" s="1873"/>
      <c r="C9" s="302" t="s">
        <v>348</v>
      </c>
      <c r="D9" s="302" t="s">
        <v>346</v>
      </c>
      <c r="E9" s="302" t="s">
        <v>709</v>
      </c>
      <c r="F9" s="302" t="s">
        <v>347</v>
      </c>
      <c r="G9" s="302" t="s">
        <v>298</v>
      </c>
      <c r="H9" s="302" t="s">
        <v>710</v>
      </c>
      <c r="I9" s="302" t="s">
        <v>299</v>
      </c>
      <c r="J9" s="302" t="s">
        <v>300</v>
      </c>
      <c r="K9" s="302" t="s">
        <v>301</v>
      </c>
      <c r="L9" s="302" t="s">
        <v>711</v>
      </c>
      <c r="M9" s="302" t="s">
        <v>712</v>
      </c>
      <c r="N9" s="303" t="s">
        <v>272</v>
      </c>
    </row>
    <row r="10" spans="2:14">
      <c r="B10" s="110"/>
      <c r="C10" s="111"/>
      <c r="D10" s="111"/>
      <c r="E10" s="111"/>
      <c r="F10" s="111"/>
      <c r="G10" s="111"/>
      <c r="H10" s="111"/>
      <c r="I10" s="111"/>
      <c r="J10" s="111"/>
      <c r="K10" s="111"/>
      <c r="L10" s="111"/>
      <c r="M10" s="111"/>
      <c r="N10" s="112"/>
    </row>
    <row r="11" spans="2:14" ht="14">
      <c r="B11" s="148" t="s">
        <v>748</v>
      </c>
      <c r="C11" s="329">
        <f>'F9.1'!Q21</f>
        <v>966.84831079999992</v>
      </c>
      <c r="D11" s="329">
        <f>'F9.1'!$Q$18</f>
        <v>3.4359999999793049</v>
      </c>
      <c r="E11" s="329">
        <f>'F9.1'!Q29</f>
        <v>0</v>
      </c>
      <c r="F11" s="329">
        <f>'F9.1'!Q20</f>
        <v>0.45867638472289735</v>
      </c>
      <c r="G11" s="329">
        <f>'F9.1'!Q16</f>
        <v>5798.5529200000001</v>
      </c>
      <c r="H11" s="329"/>
      <c r="I11" s="329"/>
      <c r="J11" s="329">
        <f>C11</f>
        <v>966.84831079999992</v>
      </c>
      <c r="K11" s="329">
        <f>'F9.1'!Q22</f>
        <v>1992.3827833</v>
      </c>
      <c r="L11" s="332">
        <f>SUM('F9.1'!Q24:Q26)</f>
        <v>0</v>
      </c>
      <c r="M11" s="329">
        <f>'F9.1'!Q23</f>
        <v>265.96592899699999</v>
      </c>
      <c r="N11" s="329">
        <f>SUM(J11:M11)</f>
        <v>3225.1970230970001</v>
      </c>
    </row>
    <row r="12" spans="2:14" ht="14">
      <c r="B12" s="107"/>
      <c r="C12" s="113"/>
      <c r="D12" s="113"/>
      <c r="E12" s="113"/>
      <c r="F12" s="113"/>
      <c r="G12" s="113"/>
      <c r="H12" s="113"/>
      <c r="I12" s="113"/>
      <c r="J12" s="113"/>
      <c r="K12" s="113"/>
      <c r="L12" s="113"/>
      <c r="M12" s="113"/>
      <c r="N12" s="113"/>
    </row>
    <row r="13" spans="2:14" ht="14">
      <c r="B13" s="107" t="s">
        <v>272</v>
      </c>
      <c r="C13" s="352"/>
      <c r="D13" s="352"/>
      <c r="E13" s="352"/>
      <c r="F13" s="352"/>
      <c r="G13" s="352">
        <f t="shared" ref="G13:N13" si="0">SUM(G10:G12)</f>
        <v>5798.5529200000001</v>
      </c>
      <c r="H13" s="352"/>
      <c r="I13" s="352"/>
      <c r="J13" s="352">
        <f t="shared" si="0"/>
        <v>966.84831079999992</v>
      </c>
      <c r="K13" s="352">
        <f t="shared" si="0"/>
        <v>1992.3827833</v>
      </c>
      <c r="L13" s="352">
        <f t="shared" si="0"/>
        <v>0</v>
      </c>
      <c r="M13" s="352">
        <f t="shared" si="0"/>
        <v>265.96592899699999</v>
      </c>
      <c r="N13" s="352">
        <f t="shared" si="0"/>
        <v>3225.1970230970001</v>
      </c>
    </row>
    <row r="14" spans="2:14">
      <c r="B14" s="77"/>
      <c r="C14" s="78"/>
      <c r="D14" s="78"/>
      <c r="E14" s="78"/>
      <c r="F14" s="78"/>
      <c r="G14" s="78"/>
      <c r="H14" s="78"/>
      <c r="I14" s="78"/>
      <c r="J14" s="78"/>
      <c r="K14" s="78"/>
      <c r="L14" s="78"/>
      <c r="M14" s="78"/>
      <c r="N14" s="78"/>
    </row>
    <row r="15" spans="2:14" ht="14">
      <c r="B15" s="53" t="s">
        <v>510</v>
      </c>
    </row>
    <row r="16" spans="2:14" ht="14">
      <c r="B16" s="53" t="s">
        <v>28</v>
      </c>
      <c r="N16" s="75" t="s">
        <v>10</v>
      </c>
    </row>
    <row r="17" spans="2:14" s="114" customFormat="1" ht="45.75" customHeight="1">
      <c r="B17" s="1871" t="s">
        <v>279</v>
      </c>
      <c r="C17" s="1721" t="s">
        <v>295</v>
      </c>
      <c r="D17" s="1721"/>
      <c r="E17" s="1721"/>
      <c r="F17" s="1721"/>
      <c r="G17" s="1719" t="s">
        <v>296</v>
      </c>
      <c r="H17" s="1719"/>
      <c r="I17" s="1719"/>
      <c r="J17" s="1719" t="s">
        <v>297</v>
      </c>
      <c r="K17" s="1719"/>
      <c r="L17" s="1719"/>
      <c r="M17" s="1719"/>
      <c r="N17" s="1719"/>
    </row>
    <row r="18" spans="2:14" ht="73.25" customHeight="1">
      <c r="B18" s="1873"/>
      <c r="C18" s="302" t="s">
        <v>348</v>
      </c>
      <c r="D18" s="302" t="s">
        <v>346</v>
      </c>
      <c r="E18" s="302" t="s">
        <v>709</v>
      </c>
      <c r="F18" s="302" t="s">
        <v>347</v>
      </c>
      <c r="G18" s="302" t="s">
        <v>298</v>
      </c>
      <c r="H18" s="302" t="s">
        <v>710</v>
      </c>
      <c r="I18" s="302" t="s">
        <v>299</v>
      </c>
      <c r="J18" s="302" t="s">
        <v>300</v>
      </c>
      <c r="K18" s="302" t="s">
        <v>301</v>
      </c>
      <c r="L18" s="302" t="s">
        <v>711</v>
      </c>
      <c r="M18" s="302" t="s">
        <v>712</v>
      </c>
      <c r="N18" s="303" t="s">
        <v>272</v>
      </c>
    </row>
    <row r="19" spans="2:14" s="76" customFormat="1">
      <c r="B19" s="110"/>
      <c r="C19" s="353"/>
      <c r="D19" s="353"/>
      <c r="E19" s="353"/>
      <c r="F19" s="353"/>
      <c r="G19" s="353"/>
      <c r="H19" s="353"/>
      <c r="I19" s="353"/>
      <c r="J19" s="353"/>
      <c r="K19" s="353"/>
      <c r="L19" s="353"/>
      <c r="M19" s="353"/>
      <c r="N19" s="354"/>
    </row>
    <row r="20" spans="2:14" ht="14">
      <c r="B20" s="148" t="s">
        <v>748</v>
      </c>
      <c r="C20" s="329">
        <f>'F9.1'!Q48</f>
        <v>983.34694089999994</v>
      </c>
      <c r="D20" s="329">
        <f>'F9.1'!Q45</f>
        <v>3.7100000001552464</v>
      </c>
      <c r="E20" s="329">
        <f>'F9.1'!Q55</f>
        <v>0</v>
      </c>
      <c r="F20" s="329">
        <f>'F9.1'!Q47</f>
        <v>4.1509401847142996E-2</v>
      </c>
      <c r="G20" s="329">
        <f>'F9.1'!Q43</f>
        <v>6119.3004550000005</v>
      </c>
      <c r="H20" s="329"/>
      <c r="I20" s="329"/>
      <c r="J20" s="329">
        <f>C20</f>
        <v>983.34694089999994</v>
      </c>
      <c r="K20" s="329">
        <f>'F9.1'!Q49</f>
        <v>2270.2604689</v>
      </c>
      <c r="L20" s="332">
        <f>SUM('F9.1'!Q51:Q53)</f>
        <v>1.3124799999999997E-2</v>
      </c>
      <c r="M20" s="329">
        <f>'F9.1'!Q50</f>
        <v>25.400850161000001</v>
      </c>
      <c r="N20" s="329">
        <f>SUM(J20:M20)</f>
        <v>3279.0213847609998</v>
      </c>
    </row>
    <row r="21" spans="2:14" ht="14">
      <c r="B21" s="107"/>
      <c r="C21" s="329"/>
      <c r="D21" s="329"/>
      <c r="E21" s="329"/>
      <c r="F21" s="329"/>
      <c r="G21" s="329"/>
      <c r="H21" s="329"/>
      <c r="I21" s="329"/>
      <c r="J21" s="329"/>
      <c r="K21" s="329"/>
      <c r="L21" s="329"/>
      <c r="M21" s="329"/>
      <c r="N21" s="329"/>
    </row>
    <row r="22" spans="2:14" ht="14">
      <c r="B22" s="107" t="s">
        <v>272</v>
      </c>
      <c r="C22" s="352"/>
      <c r="D22" s="352"/>
      <c r="E22" s="352"/>
      <c r="F22" s="352"/>
      <c r="G22" s="352">
        <f>SUM(G19:G21)</f>
        <v>6119.3004550000005</v>
      </c>
      <c r="H22" s="352"/>
      <c r="I22" s="352"/>
      <c r="J22" s="352">
        <f>SUM(J19:J21)</f>
        <v>983.34694089999994</v>
      </c>
      <c r="K22" s="352">
        <f>SUM(K19:K21)</f>
        <v>2270.2604689</v>
      </c>
      <c r="L22" s="352">
        <f>SUM(L19:L21)</f>
        <v>1.3124799999999997E-2</v>
      </c>
      <c r="M22" s="352">
        <f>SUM(M19:M21)</f>
        <v>25.400850161000001</v>
      </c>
      <c r="N22" s="352">
        <f>SUM(N19:N21)</f>
        <v>3279.0213847609998</v>
      </c>
    </row>
    <row r="23" spans="2:14">
      <c r="B23" s="77"/>
      <c r="C23" s="78"/>
      <c r="D23" s="78"/>
      <c r="E23" s="78"/>
      <c r="F23" s="78"/>
      <c r="G23" s="78"/>
      <c r="H23" s="78"/>
      <c r="I23" s="78"/>
      <c r="J23" s="78"/>
      <c r="K23" s="78"/>
      <c r="L23" s="78"/>
      <c r="M23" s="78"/>
      <c r="N23" s="78"/>
    </row>
    <row r="24" spans="2:14" ht="14">
      <c r="B24" s="781" t="s">
        <v>957</v>
      </c>
    </row>
    <row r="25" spans="2:14" ht="14">
      <c r="B25" s="53" t="s">
        <v>12</v>
      </c>
      <c r="N25" s="75" t="s">
        <v>10</v>
      </c>
    </row>
    <row r="26" spans="2:14" ht="30.75" customHeight="1">
      <c r="B26" s="1871" t="s">
        <v>279</v>
      </c>
      <c r="C26" s="1721" t="s">
        <v>295</v>
      </c>
      <c r="D26" s="1721"/>
      <c r="E26" s="1721"/>
      <c r="F26" s="1721"/>
      <c r="G26" s="1719" t="s">
        <v>296</v>
      </c>
      <c r="H26" s="1719"/>
      <c r="I26" s="1719"/>
      <c r="J26" s="1872" t="s">
        <v>297</v>
      </c>
      <c r="K26" s="1872"/>
      <c r="L26" s="1872"/>
      <c r="M26" s="1872"/>
      <c r="N26" s="1872"/>
    </row>
    <row r="27" spans="2:14" ht="70.25" customHeight="1">
      <c r="B27" s="1871"/>
      <c r="C27" s="302" t="s">
        <v>348</v>
      </c>
      <c r="D27" s="302" t="s">
        <v>346</v>
      </c>
      <c r="E27" s="302" t="s">
        <v>709</v>
      </c>
      <c r="F27" s="302" t="s">
        <v>347</v>
      </c>
      <c r="G27" s="302" t="s">
        <v>298</v>
      </c>
      <c r="H27" s="302" t="s">
        <v>710</v>
      </c>
      <c r="I27" s="302" t="s">
        <v>299</v>
      </c>
      <c r="J27" s="302" t="s">
        <v>300</v>
      </c>
      <c r="K27" s="302" t="s">
        <v>301</v>
      </c>
      <c r="L27" s="302" t="s">
        <v>711</v>
      </c>
      <c r="M27" s="302" t="s">
        <v>712</v>
      </c>
      <c r="N27" s="303" t="s">
        <v>272</v>
      </c>
    </row>
    <row r="28" spans="2:14">
      <c r="B28" s="110"/>
      <c r="C28" s="111"/>
      <c r="D28" s="111"/>
      <c r="E28" s="111"/>
      <c r="F28" s="111"/>
      <c r="G28" s="111"/>
      <c r="H28" s="111"/>
      <c r="I28" s="111"/>
      <c r="J28" s="111"/>
      <c r="K28" s="111"/>
      <c r="L28" s="111"/>
      <c r="M28" s="111"/>
      <c r="N28" s="112"/>
    </row>
    <row r="29" spans="2:14" ht="14">
      <c r="B29" s="148" t="s">
        <v>1486</v>
      </c>
      <c r="C29" s="1221">
        <v>466.30748930000004</v>
      </c>
      <c r="D29" s="1221">
        <f>K29/G29*10</f>
        <v>3.2697161274665572</v>
      </c>
      <c r="E29" s="113"/>
      <c r="F29" s="1222">
        <f>M29/G29*10</f>
        <v>0.3806024285185009</v>
      </c>
      <c r="G29" s="1223">
        <f>SUM('F8'!C26:H26)</f>
        <v>3076.8804764709348</v>
      </c>
      <c r="H29" s="113"/>
      <c r="I29" s="113"/>
      <c r="J29" s="331">
        <f>C29</f>
        <v>466.30748930000004</v>
      </c>
      <c r="K29" s="331">
        <v>1006.0525716203999</v>
      </c>
      <c r="L29" s="113"/>
      <c r="M29" s="330">
        <v>117.1068181606</v>
      </c>
      <c r="N29" s="331">
        <f>SUM(J29:M29)</f>
        <v>1589.4668790809999</v>
      </c>
    </row>
    <row r="30" spans="2:14" ht="14">
      <c r="B30" s="148" t="s">
        <v>1487</v>
      </c>
      <c r="C30" s="1221">
        <v>513.12753386646648</v>
      </c>
      <c r="D30" s="1221">
        <v>3.746113949331829</v>
      </c>
      <c r="E30" s="113"/>
      <c r="F30" s="113"/>
      <c r="G30" s="1221">
        <f>SUM('F8'!I26:N26)</f>
        <v>3444.1040462903979</v>
      </c>
      <c r="H30" s="113"/>
      <c r="I30" s="113"/>
      <c r="J30" s="331">
        <f>C30</f>
        <v>513.12753386646648</v>
      </c>
      <c r="K30" s="1221">
        <f>D30*G30/10</f>
        <v>1290.2006210758655</v>
      </c>
      <c r="L30" s="113"/>
      <c r="M30" s="113"/>
      <c r="N30" s="331">
        <f>SUM(J30:M30)</f>
        <v>1803.3281549423318</v>
      </c>
    </row>
    <row r="31" spans="2:14" ht="14">
      <c r="B31" s="148" t="s">
        <v>272</v>
      </c>
      <c r="C31" s="1224">
        <f>SUM(C29:C30)</f>
        <v>979.43502316646652</v>
      </c>
      <c r="D31" s="1224"/>
      <c r="E31" s="1224"/>
      <c r="F31" s="1224"/>
      <c r="G31" s="1224">
        <f>SUM(G28:G30)</f>
        <v>6520.9845227613332</v>
      </c>
      <c r="H31" s="1224"/>
      <c r="I31" s="1224"/>
      <c r="J31" s="1224">
        <f t="shared" ref="J31:N31" si="1">SUM(J29:J30)</f>
        <v>979.43502316646652</v>
      </c>
      <c r="K31" s="1224">
        <f t="shared" si="1"/>
        <v>2296.2531926962656</v>
      </c>
      <c r="L31" s="1224">
        <f t="shared" si="1"/>
        <v>0</v>
      </c>
      <c r="M31" s="1224">
        <f t="shared" si="1"/>
        <v>117.1068181606</v>
      </c>
      <c r="N31" s="1224">
        <f t="shared" si="1"/>
        <v>3392.7950340233319</v>
      </c>
    </row>
    <row r="32" spans="2:14">
      <c r="K32" s="612">
        <f>K31-'F2.2'!N155</f>
        <v>-177.68302715742448</v>
      </c>
    </row>
    <row r="37" spans="6:6">
      <c r="F37" s="74" t="s">
        <v>936</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S58"/>
  <sheetViews>
    <sheetView showGridLines="0" view="pageBreakPreview" zoomScale="70" zoomScaleNormal="80" zoomScaleSheetLayoutView="70" workbookViewId="0">
      <pane xSplit="4" ySplit="4" topLeftCell="E20" activePane="bottomRight" state="frozen"/>
      <selection pane="topRight" activeCell="E1" sqref="E1"/>
      <selection pane="bottomLeft" activeCell="A5" sqref="A5"/>
      <selection pane="bottomRight" activeCell="L48" sqref="L48"/>
    </sheetView>
  </sheetViews>
  <sheetFormatPr defaultColWidth="9.36328125" defaultRowHeight="13"/>
  <cols>
    <col min="1" max="1" width="9.36328125" style="76"/>
    <col min="2" max="2" width="5" style="76" customWidth="1"/>
    <col min="3" max="3" width="38.36328125" style="76" customWidth="1"/>
    <col min="4" max="4" width="16.36328125" style="76" customWidth="1"/>
    <col min="5" max="17" width="15.453125" style="76" customWidth="1"/>
    <col min="18" max="16384" width="9.36328125" style="76"/>
  </cols>
  <sheetData>
    <row r="1" spans="2:19" s="191" customFormat="1">
      <c r="B1" s="190"/>
    </row>
    <row r="2" spans="2:19" s="191" customFormat="1" ht="14">
      <c r="C2" s="204"/>
      <c r="D2" s="192"/>
      <c r="E2" s="192"/>
      <c r="F2" s="15" t="str">
        <f>Index!B2</f>
        <v xml:space="preserve">      Maharashtra State Power Generation Company Ltd.</v>
      </c>
      <c r="G2" s="192"/>
      <c r="H2" s="192"/>
      <c r="I2" s="192"/>
      <c r="J2" s="192"/>
      <c r="K2" s="192"/>
      <c r="L2" s="192"/>
      <c r="M2" s="192"/>
    </row>
    <row r="3" spans="2:19" s="191" customFormat="1" ht="14">
      <c r="C3" s="205"/>
      <c r="D3" s="193"/>
      <c r="E3" s="193"/>
      <c r="F3" s="15" t="str">
        <f>Index!B3</f>
        <v>MYT Petition Formats for Bhusawal Units 4&amp;5</v>
      </c>
      <c r="G3" s="193"/>
      <c r="H3" s="193"/>
      <c r="I3" s="193"/>
      <c r="J3" s="193"/>
      <c r="K3" s="193"/>
      <c r="L3" s="193"/>
      <c r="M3" s="192"/>
    </row>
    <row r="4" spans="2:19" s="191" customFormat="1" ht="14">
      <c r="C4" s="206"/>
      <c r="D4" s="194"/>
      <c r="E4" s="194"/>
      <c r="F4" s="17" t="s">
        <v>439</v>
      </c>
      <c r="G4" s="194"/>
      <c r="H4" s="194"/>
      <c r="I4" s="194"/>
      <c r="J4" s="194"/>
      <c r="K4" s="194"/>
      <c r="L4" s="194"/>
      <c r="M4" s="194"/>
    </row>
    <row r="6" spans="2:19">
      <c r="B6" s="283" t="s">
        <v>987</v>
      </c>
      <c r="C6" s="283" t="s">
        <v>509</v>
      </c>
    </row>
    <row r="7" spans="2:19" ht="26">
      <c r="B7" s="195" t="s">
        <v>426</v>
      </c>
      <c r="C7" s="195" t="s">
        <v>37</v>
      </c>
      <c r="D7" s="195" t="s">
        <v>94</v>
      </c>
      <c r="E7" s="746" t="s">
        <v>280</v>
      </c>
      <c r="F7" s="746" t="s">
        <v>281</v>
      </c>
      <c r="G7" s="106" t="s">
        <v>282</v>
      </c>
      <c r="H7" s="106" t="s">
        <v>283</v>
      </c>
      <c r="I7" s="106" t="s">
        <v>284</v>
      </c>
      <c r="J7" s="106" t="s">
        <v>285</v>
      </c>
      <c r="K7" s="106" t="s">
        <v>286</v>
      </c>
      <c r="L7" s="106" t="s">
        <v>287</v>
      </c>
      <c r="M7" s="106" t="s">
        <v>288</v>
      </c>
      <c r="N7" s="106" t="s">
        <v>289</v>
      </c>
      <c r="O7" s="106" t="s">
        <v>290</v>
      </c>
      <c r="P7" s="106" t="s">
        <v>291</v>
      </c>
      <c r="Q7" s="196" t="s">
        <v>272</v>
      </c>
      <c r="R7" s="310"/>
    </row>
    <row r="8" spans="2:19">
      <c r="B8" s="197">
        <v>1</v>
      </c>
      <c r="C8" s="198" t="s">
        <v>363</v>
      </c>
      <c r="D8" s="197" t="s">
        <v>99</v>
      </c>
      <c r="E8" s="810">
        <v>0.85</v>
      </c>
      <c r="F8" s="810">
        <v>0.85</v>
      </c>
      <c r="G8" s="810">
        <v>0.85</v>
      </c>
      <c r="H8" s="810">
        <v>0.85</v>
      </c>
      <c r="I8" s="810">
        <v>0.85</v>
      </c>
      <c r="J8" s="810">
        <v>0.85</v>
      </c>
      <c r="K8" s="810">
        <v>0.85</v>
      </c>
      <c r="L8" s="810">
        <v>0.85</v>
      </c>
      <c r="M8" s="810">
        <v>0.85</v>
      </c>
      <c r="N8" s="810">
        <v>0.85</v>
      </c>
      <c r="O8" s="810">
        <v>0.85</v>
      </c>
      <c r="P8" s="810">
        <v>0.85</v>
      </c>
      <c r="Q8" s="810">
        <f>AVERAGE(E8:P8)</f>
        <v>0.84999999999999976</v>
      </c>
      <c r="R8" s="310"/>
      <c r="S8" s="311"/>
    </row>
    <row r="9" spans="2:19">
      <c r="B9" s="197">
        <f>B8+1</f>
        <v>2</v>
      </c>
      <c r="C9" s="198" t="s">
        <v>427</v>
      </c>
      <c r="D9" s="197" t="s">
        <v>99</v>
      </c>
      <c r="E9" s="593"/>
      <c r="F9" s="593"/>
      <c r="G9" s="593"/>
      <c r="H9" s="593"/>
      <c r="I9" s="593"/>
      <c r="J9" s="593"/>
      <c r="K9" s="593"/>
      <c r="L9" s="593"/>
      <c r="M9" s="593"/>
      <c r="N9" s="593"/>
      <c r="O9" s="593"/>
      <c r="P9" s="593"/>
      <c r="Q9" s="1383"/>
    </row>
    <row r="10" spans="2:19">
      <c r="B10" s="197">
        <f>B9+1</f>
        <v>3</v>
      </c>
      <c r="C10" s="198" t="s">
        <v>428</v>
      </c>
      <c r="D10" s="197" t="s">
        <v>99</v>
      </c>
      <c r="E10" s="592"/>
      <c r="F10" s="592"/>
      <c r="G10" s="592"/>
      <c r="H10" s="592"/>
      <c r="I10" s="592"/>
      <c r="J10" s="592"/>
      <c r="K10" s="592"/>
      <c r="L10" s="592"/>
      <c r="M10" s="592"/>
      <c r="N10" s="592"/>
      <c r="O10" s="592"/>
      <c r="P10" s="592"/>
      <c r="Q10" s="810"/>
    </row>
    <row r="11" spans="2:19">
      <c r="B11" s="197">
        <f t="shared" ref="B11:B28" si="0">B10+1</f>
        <v>4</v>
      </c>
      <c r="C11" s="198" t="s">
        <v>100</v>
      </c>
      <c r="D11" s="197" t="s">
        <v>99</v>
      </c>
      <c r="E11" s="810">
        <v>0.85</v>
      </c>
      <c r="F11" s="810">
        <v>0.85</v>
      </c>
      <c r="G11" s="810">
        <v>0.85</v>
      </c>
      <c r="H11" s="810">
        <v>0.85</v>
      </c>
      <c r="I11" s="810">
        <v>0.85</v>
      </c>
      <c r="J11" s="810">
        <v>0.85</v>
      </c>
      <c r="K11" s="810">
        <v>0.85</v>
      </c>
      <c r="L11" s="810">
        <v>0.85</v>
      </c>
      <c r="M11" s="810">
        <v>0.85</v>
      </c>
      <c r="N11" s="810">
        <v>0.85</v>
      </c>
      <c r="O11" s="810">
        <v>0.85</v>
      </c>
      <c r="P11" s="810">
        <v>0.85</v>
      </c>
      <c r="Q11" s="810">
        <f>AVERAGE(E11:P11)</f>
        <v>0.84999999999999976</v>
      </c>
    </row>
    <row r="12" spans="2:19">
      <c r="B12" s="197">
        <f t="shared" si="0"/>
        <v>5</v>
      </c>
      <c r="C12" s="198" t="s">
        <v>429</v>
      </c>
      <c r="D12" s="197" t="s">
        <v>99</v>
      </c>
      <c r="E12" s="592"/>
      <c r="F12" s="592"/>
      <c r="G12" s="592"/>
      <c r="H12" s="592"/>
      <c r="I12" s="592"/>
      <c r="J12" s="592"/>
      <c r="K12" s="592"/>
      <c r="L12" s="592"/>
      <c r="M12" s="592"/>
      <c r="N12" s="592"/>
      <c r="O12" s="592"/>
      <c r="P12" s="592"/>
      <c r="Q12" s="592"/>
    </row>
    <row r="13" spans="2:19">
      <c r="B13" s="197">
        <v>7</v>
      </c>
      <c r="C13" s="198" t="s">
        <v>430</v>
      </c>
      <c r="D13" s="197" t="s">
        <v>99</v>
      </c>
      <c r="E13" s="592"/>
      <c r="F13" s="592"/>
      <c r="G13" s="592"/>
      <c r="H13" s="592"/>
      <c r="I13" s="592"/>
      <c r="J13" s="592"/>
      <c r="K13" s="592"/>
      <c r="L13" s="592"/>
      <c r="M13" s="592"/>
      <c r="N13" s="592"/>
      <c r="O13" s="592"/>
      <c r="P13" s="592"/>
      <c r="Q13" s="592"/>
    </row>
    <row r="14" spans="2:19">
      <c r="B14" s="197">
        <f t="shared" si="0"/>
        <v>8</v>
      </c>
      <c r="C14" s="199" t="s">
        <v>431</v>
      </c>
      <c r="D14" s="202" t="s">
        <v>101</v>
      </c>
      <c r="E14" s="487">
        <v>545.84500000000003</v>
      </c>
      <c r="F14" s="487">
        <v>530.69799999999998</v>
      </c>
      <c r="G14" s="487">
        <v>571.83100000000002</v>
      </c>
      <c r="H14" s="487">
        <v>465.32100000000003</v>
      </c>
      <c r="I14" s="487">
        <v>315.226</v>
      </c>
      <c r="J14" s="487">
        <v>342.88400000000001</v>
      </c>
      <c r="K14" s="487">
        <v>475.38499999999999</v>
      </c>
      <c r="L14" s="487">
        <v>525.36500000000001</v>
      </c>
      <c r="M14" s="487">
        <v>632.93000000000006</v>
      </c>
      <c r="N14" s="487">
        <v>528.755</v>
      </c>
      <c r="O14" s="487">
        <v>576.80999999999995</v>
      </c>
      <c r="P14" s="487">
        <v>608.44000000000005</v>
      </c>
      <c r="Q14" s="487">
        <f>SUM(E14:P14)</f>
        <v>6119.4900000000016</v>
      </c>
    </row>
    <row r="15" spans="2:19">
      <c r="B15" s="197">
        <f t="shared" si="0"/>
        <v>9</v>
      </c>
      <c r="C15" s="199" t="s">
        <v>432</v>
      </c>
      <c r="D15" s="202" t="s">
        <v>101</v>
      </c>
      <c r="E15" s="487">
        <v>33.239767324839491</v>
      </c>
      <c r="F15" s="487">
        <v>35.206828000000002</v>
      </c>
      <c r="G15" s="487">
        <v>33.924700000000001</v>
      </c>
      <c r="H15" s="487">
        <v>32.175976784922597</v>
      </c>
      <c r="I15" s="487">
        <v>23.811952999999999</v>
      </c>
      <c r="J15" s="487">
        <v>27.111999999999998</v>
      </c>
      <c r="K15" s="487">
        <v>32.418827</v>
      </c>
      <c r="L15" s="487">
        <v>33.223295219998697</v>
      </c>
      <c r="M15" s="487">
        <v>35.357132999999997</v>
      </c>
      <c r="N15" s="487">
        <v>32.743299999999998</v>
      </c>
      <c r="O15" s="487">
        <v>33.853999999999999</v>
      </c>
      <c r="P15" s="487">
        <v>36.160679999999999</v>
      </c>
      <c r="Q15" s="487">
        <f>SUM(E15:P15)</f>
        <v>389.22846032976076</v>
      </c>
    </row>
    <row r="16" spans="2:19">
      <c r="B16" s="197">
        <f t="shared" si="0"/>
        <v>10</v>
      </c>
      <c r="C16" s="199" t="s">
        <v>474</v>
      </c>
      <c r="D16" s="202" t="s">
        <v>101</v>
      </c>
      <c r="E16" s="487">
        <v>512.48503200000005</v>
      </c>
      <c r="F16" s="487">
        <v>495.82567899999998</v>
      </c>
      <c r="G16" s="487">
        <v>534.51691700000003</v>
      </c>
      <c r="H16" s="487">
        <v>432.77066300000001</v>
      </c>
      <c r="I16" s="487">
        <v>295.12807800000002</v>
      </c>
      <c r="J16" s="487">
        <v>323.89832999999999</v>
      </c>
      <c r="K16" s="487">
        <v>455.73175700000002</v>
      </c>
      <c r="L16" s="487">
        <v>504.78650599999997</v>
      </c>
      <c r="M16" s="487">
        <v>604.97543199999996</v>
      </c>
      <c r="N16" s="487">
        <v>502.65890400000001</v>
      </c>
      <c r="O16" s="487">
        <v>554.38980000000004</v>
      </c>
      <c r="P16" s="487">
        <v>581.38582199999996</v>
      </c>
      <c r="Q16" s="487">
        <f>SUM(E16:P16)</f>
        <v>5798.5529200000001</v>
      </c>
    </row>
    <row r="17" spans="2:19">
      <c r="B17" s="197">
        <f t="shared" si="0"/>
        <v>11</v>
      </c>
      <c r="C17" s="199" t="s">
        <v>479</v>
      </c>
      <c r="D17" s="202" t="s">
        <v>101</v>
      </c>
      <c r="E17" s="487"/>
      <c r="F17" s="487"/>
      <c r="G17" s="487"/>
      <c r="H17" s="487"/>
      <c r="I17" s="487"/>
      <c r="J17" s="487"/>
      <c r="K17" s="487"/>
      <c r="L17" s="487"/>
      <c r="M17" s="487"/>
      <c r="N17" s="487"/>
      <c r="O17" s="487"/>
      <c r="P17" s="487"/>
      <c r="Q17" s="487">
        <f>SUM(E17:P17)</f>
        <v>0</v>
      </c>
    </row>
    <row r="18" spans="2:19">
      <c r="B18" s="197">
        <f t="shared" si="0"/>
        <v>12</v>
      </c>
      <c r="C18" s="199" t="s">
        <v>433</v>
      </c>
      <c r="D18" s="202" t="s">
        <v>442</v>
      </c>
      <c r="E18" s="487">
        <f>E22/E16*10</f>
        <v>3.4360000000936615</v>
      </c>
      <c r="F18" s="487">
        <f t="shared" ref="F18:P18" si="1">F22/F16*10</f>
        <v>3.4359999999112589</v>
      </c>
      <c r="G18" s="487">
        <f t="shared" si="1"/>
        <v>3.4360000003517195</v>
      </c>
      <c r="H18" s="487">
        <f t="shared" si="1"/>
        <v>3.4359999998428732</v>
      </c>
      <c r="I18" s="487">
        <f t="shared" si="1"/>
        <v>3.4359999999728927</v>
      </c>
      <c r="J18" s="487">
        <f t="shared" si="1"/>
        <v>3.4360000003704867</v>
      </c>
      <c r="K18" s="487">
        <f t="shared" si="1"/>
        <v>3.4359999998858974</v>
      </c>
      <c r="L18" s="487">
        <f t="shared" si="1"/>
        <v>3.4360000007607177</v>
      </c>
      <c r="M18" s="487">
        <f t="shared" si="1"/>
        <v>3.4359999994181583</v>
      </c>
      <c r="N18" s="487">
        <f t="shared" si="1"/>
        <v>3.4359999997135233</v>
      </c>
      <c r="O18" s="487">
        <f t="shared" si="1"/>
        <v>3.4360000003607567</v>
      </c>
      <c r="P18" s="487">
        <f t="shared" si="1"/>
        <v>3.4359999993257495</v>
      </c>
      <c r="Q18" s="487">
        <f>Q22/Q16*10</f>
        <v>3.4359999999793049</v>
      </c>
    </row>
    <row r="19" spans="2:19">
      <c r="B19" s="197">
        <f t="shared" si="0"/>
        <v>13</v>
      </c>
      <c r="C19" s="199" t="s">
        <v>480</v>
      </c>
      <c r="D19" s="202" t="s">
        <v>443</v>
      </c>
      <c r="E19" s="487">
        <v>89.542811600000007</v>
      </c>
      <c r="F19" s="487">
        <v>89.542811600000007</v>
      </c>
      <c r="G19" s="487">
        <v>89.542811600000007</v>
      </c>
      <c r="H19" s="487">
        <v>89.542811600000007</v>
      </c>
      <c r="I19" s="487">
        <v>89.542811600000007</v>
      </c>
      <c r="J19" s="487">
        <v>89.542811600000007</v>
      </c>
      <c r="K19" s="487">
        <v>89.542811600000007</v>
      </c>
      <c r="L19" s="487">
        <v>89.542811600000007</v>
      </c>
      <c r="M19" s="487">
        <v>89.542811600000007</v>
      </c>
      <c r="N19" s="487">
        <v>89.542811600000007</v>
      </c>
      <c r="O19" s="487">
        <v>89.542811600000007</v>
      </c>
      <c r="P19" s="487">
        <v>89.542811600000007</v>
      </c>
      <c r="Q19" s="487">
        <f>SUM(E19:P19)</f>
        <v>1074.5137392000004</v>
      </c>
    </row>
    <row r="20" spans="2:19">
      <c r="B20" s="197">
        <f t="shared" si="0"/>
        <v>14</v>
      </c>
      <c r="C20" s="199" t="s">
        <v>481</v>
      </c>
      <c r="D20" s="202" t="s">
        <v>442</v>
      </c>
      <c r="E20" s="487">
        <f>E23*10/E16</f>
        <v>-0.4100000000000002</v>
      </c>
      <c r="F20" s="487">
        <f t="shared" ref="F20:P20" si="2">F23*10/F16</f>
        <v>-0.43199999999999994</v>
      </c>
      <c r="G20" s="487">
        <f t="shared" si="2"/>
        <v>0.3580000000000001</v>
      </c>
      <c r="H20" s="487">
        <f t="shared" si="2"/>
        <v>0.68799999999999972</v>
      </c>
      <c r="I20" s="487">
        <f t="shared" si="2"/>
        <v>0.92499999999999971</v>
      </c>
      <c r="J20" s="487">
        <f t="shared" si="2"/>
        <v>0.85400000000000009</v>
      </c>
      <c r="K20" s="487">
        <f t="shared" si="2"/>
        <v>0.81799999999999962</v>
      </c>
      <c r="L20" s="487">
        <f t="shared" si="2"/>
        <v>0.70800000000000007</v>
      </c>
      <c r="M20" s="487">
        <f t="shared" si="2"/>
        <v>0.73500000000000032</v>
      </c>
      <c r="N20" s="487">
        <f t="shared" si="2"/>
        <v>0.7030000000000004</v>
      </c>
      <c r="O20" s="487">
        <f t="shared" si="2"/>
        <v>0.83199999999999974</v>
      </c>
      <c r="P20" s="487">
        <f t="shared" si="2"/>
        <v>9.6000000000000016E-2</v>
      </c>
      <c r="Q20" s="487">
        <f>Q23*10/Q16</f>
        <v>0.45867638472289735</v>
      </c>
    </row>
    <row r="21" spans="2:19">
      <c r="B21" s="197">
        <f t="shared" si="0"/>
        <v>15</v>
      </c>
      <c r="C21" s="199" t="s">
        <v>434</v>
      </c>
      <c r="D21" s="202" t="s">
        <v>443</v>
      </c>
      <c r="E21" s="487">
        <v>79.985354000000001</v>
      </c>
      <c r="F21" s="487">
        <v>76.252850800000004</v>
      </c>
      <c r="G21" s="487">
        <v>85.938821500000017</v>
      </c>
      <c r="H21" s="487">
        <v>70.208570199999997</v>
      </c>
      <c r="I21" s="487">
        <v>48.609624000000004</v>
      </c>
      <c r="J21" s="487">
        <v>54.898642000000002</v>
      </c>
      <c r="K21" s="487">
        <v>79.582526900000005</v>
      </c>
      <c r="L21" s="487">
        <v>84.93133730000001</v>
      </c>
      <c r="M21" s="487">
        <v>101.250416</v>
      </c>
      <c r="N21" s="487">
        <v>88.230395200000004</v>
      </c>
      <c r="O21" s="487">
        <v>95.928266499999992</v>
      </c>
      <c r="P21" s="487">
        <v>101.0315064</v>
      </c>
      <c r="Q21" s="487">
        <f>SUM(E21:P21)</f>
        <v>966.84831079999992</v>
      </c>
    </row>
    <row r="22" spans="2:19">
      <c r="B22" s="197">
        <f t="shared" si="0"/>
        <v>16</v>
      </c>
      <c r="C22" s="199" t="s">
        <v>435</v>
      </c>
      <c r="D22" s="202" t="s">
        <v>443</v>
      </c>
      <c r="E22" s="487">
        <v>176.08985700000002</v>
      </c>
      <c r="F22" s="487">
        <v>170.36570329999998</v>
      </c>
      <c r="G22" s="487">
        <v>183.66001270000001</v>
      </c>
      <c r="H22" s="487">
        <v>148.6999998</v>
      </c>
      <c r="I22" s="487">
        <v>101.4060076</v>
      </c>
      <c r="J22" s="487">
        <v>111.2914662</v>
      </c>
      <c r="K22" s="487">
        <v>156.58943170000001</v>
      </c>
      <c r="L22" s="487">
        <v>173.44464349999998</v>
      </c>
      <c r="M22" s="487">
        <v>207.86955839999999</v>
      </c>
      <c r="N22" s="487">
        <v>172.71359939999999</v>
      </c>
      <c r="O22" s="487">
        <v>190.48833529999999</v>
      </c>
      <c r="P22" s="487">
        <v>199.76416840000002</v>
      </c>
      <c r="Q22" s="487">
        <f t="shared" ref="Q22:Q28" si="3">SUM(E22:P22)</f>
        <v>1992.3827833</v>
      </c>
    </row>
    <row r="23" spans="2:19">
      <c r="B23" s="197">
        <f t="shared" si="0"/>
        <v>17</v>
      </c>
      <c r="C23" s="199" t="s">
        <v>482</v>
      </c>
      <c r="D23" s="202" t="s">
        <v>443</v>
      </c>
      <c r="E23" s="487">
        <v>-21.011886312000012</v>
      </c>
      <c r="F23" s="487">
        <v>-21.419669332799995</v>
      </c>
      <c r="G23" s="487">
        <v>19.135705628600007</v>
      </c>
      <c r="H23" s="487">
        <v>29.77462161439999</v>
      </c>
      <c r="I23" s="487">
        <v>27.299347214999994</v>
      </c>
      <c r="J23" s="487">
        <v>27.660917382000001</v>
      </c>
      <c r="K23" s="487">
        <v>37.278857722599987</v>
      </c>
      <c r="L23" s="487">
        <v>35.738884624800001</v>
      </c>
      <c r="M23" s="487">
        <v>44.465694252000013</v>
      </c>
      <c r="N23" s="487">
        <v>35.336920951200021</v>
      </c>
      <c r="O23" s="487">
        <v>46.125231359999987</v>
      </c>
      <c r="P23" s="487">
        <v>5.5813038912000001</v>
      </c>
      <c r="Q23" s="487">
        <f t="shared" si="3"/>
        <v>265.96592899699999</v>
      </c>
    </row>
    <row r="24" spans="2:19">
      <c r="B24" s="197">
        <f t="shared" si="0"/>
        <v>18</v>
      </c>
      <c r="C24" s="199" t="s">
        <v>436</v>
      </c>
      <c r="D24" s="202" t="s">
        <v>443</v>
      </c>
      <c r="E24" s="487"/>
      <c r="F24" s="487"/>
      <c r="G24" s="487"/>
      <c r="H24" s="487"/>
      <c r="I24" s="487"/>
      <c r="J24" s="487"/>
      <c r="K24" s="487"/>
      <c r="L24" s="487"/>
      <c r="M24" s="487"/>
      <c r="N24" s="487"/>
      <c r="O24" s="487"/>
      <c r="P24" s="487"/>
      <c r="Q24" s="487">
        <f t="shared" si="3"/>
        <v>0</v>
      </c>
    </row>
    <row r="25" spans="2:19">
      <c r="B25" s="197">
        <f t="shared" si="0"/>
        <v>19</v>
      </c>
      <c r="C25" s="199" t="s">
        <v>821</v>
      </c>
      <c r="D25" s="202" t="s">
        <v>443</v>
      </c>
      <c r="E25" s="487"/>
      <c r="F25" s="487"/>
      <c r="G25" s="487"/>
      <c r="H25" s="487"/>
      <c r="I25" s="487"/>
      <c r="J25" s="487"/>
      <c r="K25" s="487"/>
      <c r="L25" s="487"/>
      <c r="M25" s="487"/>
      <c r="N25" s="487"/>
      <c r="O25" s="487"/>
      <c r="P25" s="487"/>
      <c r="Q25" s="487">
        <f t="shared" si="3"/>
        <v>0</v>
      </c>
    </row>
    <row r="26" spans="2:19">
      <c r="B26" s="197">
        <f t="shared" si="0"/>
        <v>20</v>
      </c>
      <c r="C26" s="488" t="s">
        <v>999</v>
      </c>
      <c r="D26" s="489" t="s">
        <v>443</v>
      </c>
      <c r="E26" s="487"/>
      <c r="F26" s="487"/>
      <c r="G26" s="487"/>
      <c r="H26" s="487"/>
      <c r="I26" s="487"/>
      <c r="J26" s="487"/>
      <c r="K26" s="487"/>
      <c r="L26" s="487"/>
      <c r="M26" s="487"/>
      <c r="N26" s="487"/>
      <c r="O26" s="487"/>
      <c r="P26" s="487"/>
      <c r="Q26" s="487">
        <f t="shared" si="3"/>
        <v>0</v>
      </c>
    </row>
    <row r="27" spans="2:19">
      <c r="B27" s="197">
        <f t="shared" si="0"/>
        <v>21</v>
      </c>
      <c r="C27" s="200" t="s">
        <v>437</v>
      </c>
      <c r="D27" s="202" t="s">
        <v>443</v>
      </c>
      <c r="E27" s="354">
        <f>SUM(E21:E26)</f>
        <v>235.06332468800002</v>
      </c>
      <c r="F27" s="354">
        <f t="shared" ref="F27:Q27" si="4">SUM(F21:F26)</f>
        <v>225.19888476719998</v>
      </c>
      <c r="G27" s="354">
        <f t="shared" si="4"/>
        <v>288.73453982860008</v>
      </c>
      <c r="H27" s="354">
        <f t="shared" si="4"/>
        <v>248.68319161439999</v>
      </c>
      <c r="I27" s="354">
        <f t="shared" si="4"/>
        <v>177.31497881499999</v>
      </c>
      <c r="J27" s="354">
        <f t="shared" si="4"/>
        <v>193.85102558200001</v>
      </c>
      <c r="K27" s="354">
        <f t="shared" si="4"/>
        <v>273.45081632260002</v>
      </c>
      <c r="L27" s="354">
        <f t="shared" si="4"/>
        <v>294.11486542479997</v>
      </c>
      <c r="M27" s="354">
        <f t="shared" si="4"/>
        <v>353.58566865199998</v>
      </c>
      <c r="N27" s="354">
        <f t="shared" si="4"/>
        <v>296.2809155512</v>
      </c>
      <c r="O27" s="354">
        <f t="shared" si="4"/>
        <v>332.54183315999995</v>
      </c>
      <c r="P27" s="354">
        <f t="shared" si="4"/>
        <v>306.37697869120001</v>
      </c>
      <c r="Q27" s="354">
        <f t="shared" si="4"/>
        <v>3225.1970230970001</v>
      </c>
    </row>
    <row r="28" spans="2:19">
      <c r="B28" s="197">
        <f t="shared" si="0"/>
        <v>22</v>
      </c>
      <c r="C28" s="201" t="s">
        <v>438</v>
      </c>
      <c r="D28" s="202"/>
      <c r="E28" s="487"/>
      <c r="F28" s="487"/>
      <c r="G28" s="487"/>
      <c r="H28" s="487"/>
      <c r="I28" s="487"/>
      <c r="J28" s="487"/>
      <c r="K28" s="487"/>
      <c r="L28" s="487"/>
      <c r="M28" s="487"/>
      <c r="N28" s="487"/>
      <c r="O28" s="487"/>
      <c r="P28" s="487"/>
      <c r="Q28" s="487">
        <f t="shared" si="3"/>
        <v>0</v>
      </c>
    </row>
    <row r="29" spans="2:19">
      <c r="B29" s="197"/>
      <c r="C29" s="199" t="s">
        <v>421</v>
      </c>
      <c r="D29" s="202" t="s">
        <v>443</v>
      </c>
      <c r="E29" s="487"/>
      <c r="F29" s="487"/>
      <c r="G29" s="487"/>
      <c r="H29" s="487"/>
      <c r="I29" s="487"/>
      <c r="J29" s="487"/>
      <c r="K29" s="487"/>
      <c r="L29" s="487"/>
      <c r="M29" s="487"/>
      <c r="N29" s="487"/>
      <c r="O29" s="487"/>
      <c r="P29" s="487"/>
      <c r="Q29" s="487">
        <f t="shared" ref="Q29" si="5">SUM(E29:P29)</f>
        <v>0</v>
      </c>
    </row>
    <row r="30" spans="2:19">
      <c r="B30" s="202">
        <f>B28+1</f>
        <v>23</v>
      </c>
      <c r="C30" s="203" t="s">
        <v>352</v>
      </c>
      <c r="D30" s="202" t="s">
        <v>443</v>
      </c>
      <c r="E30" s="487">
        <f t="shared" ref="E30:P30" si="6">SUM(E27:E29)</f>
        <v>235.06332468800002</v>
      </c>
      <c r="F30" s="487">
        <f t="shared" si="6"/>
        <v>225.19888476719998</v>
      </c>
      <c r="G30" s="487">
        <f t="shared" si="6"/>
        <v>288.73453982860008</v>
      </c>
      <c r="H30" s="487">
        <f t="shared" si="6"/>
        <v>248.68319161439999</v>
      </c>
      <c r="I30" s="487">
        <f t="shared" si="6"/>
        <v>177.31497881499999</v>
      </c>
      <c r="J30" s="487">
        <f t="shared" si="6"/>
        <v>193.85102558200001</v>
      </c>
      <c r="K30" s="487">
        <f t="shared" si="6"/>
        <v>273.45081632260002</v>
      </c>
      <c r="L30" s="487">
        <f t="shared" si="6"/>
        <v>294.11486542479997</v>
      </c>
      <c r="M30" s="487">
        <f t="shared" si="6"/>
        <v>353.58566865199998</v>
      </c>
      <c r="N30" s="487">
        <f t="shared" si="6"/>
        <v>296.2809155512</v>
      </c>
      <c r="O30" s="487">
        <f t="shared" si="6"/>
        <v>332.54183315999995</v>
      </c>
      <c r="P30" s="487">
        <f t="shared" si="6"/>
        <v>306.37697869120001</v>
      </c>
      <c r="Q30" s="354">
        <f>SUM(Q27:Q29)</f>
        <v>3225.1970230970001</v>
      </c>
      <c r="R30" s="469">
        <f>Q30-'F9'!N13</f>
        <v>0</v>
      </c>
      <c r="S30" s="469"/>
    </row>
    <row r="31" spans="2:19">
      <c r="B31" s="202">
        <f>B30+1</f>
        <v>24</v>
      </c>
      <c r="C31" s="203" t="s">
        <v>444</v>
      </c>
      <c r="D31" s="202" t="s">
        <v>443</v>
      </c>
      <c r="E31" s="487">
        <f t="shared" ref="E31:P31" si="7">E30</f>
        <v>235.06332468800002</v>
      </c>
      <c r="F31" s="487">
        <f t="shared" si="7"/>
        <v>225.19888476719998</v>
      </c>
      <c r="G31" s="487">
        <f t="shared" si="7"/>
        <v>288.73453982860008</v>
      </c>
      <c r="H31" s="487">
        <f t="shared" si="7"/>
        <v>248.68319161439999</v>
      </c>
      <c r="I31" s="487">
        <f t="shared" si="7"/>
        <v>177.31497881499999</v>
      </c>
      <c r="J31" s="487">
        <f t="shared" si="7"/>
        <v>193.85102558200001</v>
      </c>
      <c r="K31" s="487">
        <f t="shared" si="7"/>
        <v>273.45081632260002</v>
      </c>
      <c r="L31" s="487">
        <f t="shared" si="7"/>
        <v>294.11486542479997</v>
      </c>
      <c r="M31" s="487">
        <f t="shared" si="7"/>
        <v>353.58566865199998</v>
      </c>
      <c r="N31" s="487">
        <f t="shared" si="7"/>
        <v>296.2809155512</v>
      </c>
      <c r="O31" s="487">
        <f t="shared" si="7"/>
        <v>332.54183315999995</v>
      </c>
      <c r="P31" s="487">
        <f t="shared" si="7"/>
        <v>306.37697869120001</v>
      </c>
      <c r="Q31" s="354">
        <f>Q30</f>
        <v>3225.1970230970001</v>
      </c>
    </row>
    <row r="32" spans="2:19">
      <c r="B32" s="767"/>
      <c r="C32" s="768"/>
      <c r="D32" s="767"/>
      <c r="E32" s="769"/>
      <c r="F32" s="769"/>
      <c r="G32" s="769"/>
      <c r="H32" s="769"/>
      <c r="I32" s="769"/>
      <c r="J32" s="769"/>
      <c r="K32" s="769"/>
      <c r="L32" s="769"/>
      <c r="M32" s="769"/>
      <c r="N32" s="769"/>
      <c r="O32" s="769"/>
      <c r="P32" s="769"/>
      <c r="Q32" s="770"/>
    </row>
    <row r="33" spans="2:17">
      <c r="B33" s="207" t="s">
        <v>987</v>
      </c>
      <c r="C33" s="207" t="s">
        <v>510</v>
      </c>
    </row>
    <row r="34" spans="2:17" ht="26">
      <c r="B34" s="195" t="s">
        <v>426</v>
      </c>
      <c r="C34" s="195" t="s">
        <v>37</v>
      </c>
      <c r="D34" s="195" t="s">
        <v>94</v>
      </c>
      <c r="E34" s="215" t="s">
        <v>280</v>
      </c>
      <c r="F34" s="215" t="s">
        <v>281</v>
      </c>
      <c r="G34" s="106" t="s">
        <v>282</v>
      </c>
      <c r="H34" s="106" t="s">
        <v>283</v>
      </c>
      <c r="I34" s="106" t="s">
        <v>284</v>
      </c>
      <c r="J34" s="106" t="s">
        <v>285</v>
      </c>
      <c r="K34" s="106" t="s">
        <v>286</v>
      </c>
      <c r="L34" s="106" t="s">
        <v>287</v>
      </c>
      <c r="M34" s="106" t="s">
        <v>288</v>
      </c>
      <c r="N34" s="106" t="s">
        <v>289</v>
      </c>
      <c r="O34" s="106" t="s">
        <v>290</v>
      </c>
      <c r="P34" s="106" t="s">
        <v>291</v>
      </c>
      <c r="Q34" s="196" t="s">
        <v>272</v>
      </c>
    </row>
    <row r="35" spans="2:17">
      <c r="B35" s="197">
        <v>1</v>
      </c>
      <c r="C35" s="198" t="s">
        <v>363</v>
      </c>
      <c r="D35" s="197" t="s">
        <v>99</v>
      </c>
      <c r="E35" s="1384">
        <v>0.85</v>
      </c>
      <c r="F35" s="1384">
        <v>0.85</v>
      </c>
      <c r="G35" s="1384">
        <v>0.85</v>
      </c>
      <c r="H35" s="1384">
        <v>0.85</v>
      </c>
      <c r="I35" s="1384">
        <v>0.85</v>
      </c>
      <c r="J35" s="1384">
        <v>0.85</v>
      </c>
      <c r="K35" s="1384">
        <v>0.85</v>
      </c>
      <c r="L35" s="1384">
        <v>0.85</v>
      </c>
      <c r="M35" s="1384">
        <v>0.85</v>
      </c>
      <c r="N35" s="1384">
        <v>0.85</v>
      </c>
      <c r="O35" s="1384">
        <v>0.85</v>
      </c>
      <c r="P35" s="1384">
        <v>0.85</v>
      </c>
      <c r="Q35" s="810">
        <f>AVERAGE(E35:P35)</f>
        <v>0.84999999999999976</v>
      </c>
    </row>
    <row r="36" spans="2:17">
      <c r="B36" s="197">
        <f>B35+1</f>
        <v>2</v>
      </c>
      <c r="C36" s="198" t="s">
        <v>427</v>
      </c>
      <c r="D36" s="197" t="s">
        <v>99</v>
      </c>
      <c r="E36" s="1385"/>
      <c r="F36" s="1385"/>
      <c r="G36" s="1385"/>
      <c r="H36" s="1385"/>
      <c r="I36" s="1385"/>
      <c r="J36" s="1385"/>
      <c r="K36" s="1385"/>
      <c r="L36" s="1385"/>
      <c r="M36" s="1385"/>
      <c r="N36" s="1385"/>
      <c r="O36" s="1385"/>
      <c r="P36" s="1385"/>
      <c r="Q36" s="1383"/>
    </row>
    <row r="37" spans="2:17">
      <c r="B37" s="197">
        <f>B36+1</f>
        <v>3</v>
      </c>
      <c r="C37" s="198" t="s">
        <v>428</v>
      </c>
      <c r="D37" s="197" t="s">
        <v>99</v>
      </c>
      <c r="E37" s="1384"/>
      <c r="F37" s="1384"/>
      <c r="G37" s="1384"/>
      <c r="H37" s="1384"/>
      <c r="I37" s="1384"/>
      <c r="J37" s="1384"/>
      <c r="K37" s="1384"/>
      <c r="L37" s="1384"/>
      <c r="M37" s="1384"/>
      <c r="N37" s="1384"/>
      <c r="O37" s="1384"/>
      <c r="P37" s="1384"/>
      <c r="Q37" s="810"/>
    </row>
    <row r="38" spans="2:17">
      <c r="B38" s="197">
        <f t="shared" ref="B38:B55" si="8">B37+1</f>
        <v>4</v>
      </c>
      <c r="C38" s="198" t="s">
        <v>100</v>
      </c>
      <c r="D38" s="197" t="s">
        <v>99</v>
      </c>
      <c r="E38" s="1384">
        <v>0.85</v>
      </c>
      <c r="F38" s="1384">
        <v>0.85</v>
      </c>
      <c r="G38" s="1384">
        <v>0.85</v>
      </c>
      <c r="H38" s="1384">
        <v>0.85</v>
      </c>
      <c r="I38" s="1384">
        <v>0.85</v>
      </c>
      <c r="J38" s="1384">
        <v>0.85</v>
      </c>
      <c r="K38" s="1384">
        <v>0.85</v>
      </c>
      <c r="L38" s="1384">
        <v>0.85</v>
      </c>
      <c r="M38" s="1384">
        <v>0.85</v>
      </c>
      <c r="N38" s="1384">
        <v>0.85</v>
      </c>
      <c r="O38" s="1384">
        <v>0.85</v>
      </c>
      <c r="P38" s="1384">
        <v>0.85</v>
      </c>
      <c r="Q38" s="810">
        <f>AVERAGE(E38:P38)</f>
        <v>0.84999999999999976</v>
      </c>
    </row>
    <row r="39" spans="2:17">
      <c r="B39" s="197">
        <f t="shared" si="8"/>
        <v>5</v>
      </c>
      <c r="C39" s="198" t="s">
        <v>429</v>
      </c>
      <c r="D39" s="197" t="s">
        <v>99</v>
      </c>
      <c r="E39" s="1073"/>
      <c r="F39" s="1073"/>
      <c r="G39" s="1073"/>
      <c r="H39" s="1073"/>
      <c r="I39" s="1073"/>
      <c r="J39" s="1073"/>
      <c r="K39" s="1073"/>
      <c r="L39" s="1073"/>
      <c r="M39" s="1073"/>
      <c r="N39" s="1073"/>
      <c r="O39" s="1073"/>
      <c r="P39" s="1073"/>
      <c r="Q39" s="592"/>
    </row>
    <row r="40" spans="2:17">
      <c r="B40" s="197">
        <v>7</v>
      </c>
      <c r="C40" s="198" t="s">
        <v>430</v>
      </c>
      <c r="D40" s="197" t="s">
        <v>99</v>
      </c>
      <c r="E40" s="1073"/>
      <c r="F40" s="1073"/>
      <c r="G40" s="1073"/>
      <c r="H40" s="1073"/>
      <c r="I40" s="1073"/>
      <c r="J40" s="1073"/>
      <c r="K40" s="1073"/>
      <c r="L40" s="1073"/>
      <c r="M40" s="1073"/>
      <c r="N40" s="1073"/>
      <c r="O40" s="1073"/>
      <c r="P40" s="1073"/>
      <c r="Q40" s="592"/>
    </row>
    <row r="41" spans="2:17">
      <c r="B41" s="197">
        <f t="shared" si="8"/>
        <v>8</v>
      </c>
      <c r="C41" s="199" t="s">
        <v>431</v>
      </c>
      <c r="D41" s="202" t="s">
        <v>101</v>
      </c>
      <c r="E41" s="1074">
        <v>591.79</v>
      </c>
      <c r="F41" s="1074">
        <v>542.91999999999996</v>
      </c>
      <c r="G41" s="1074">
        <v>624.69000000000005</v>
      </c>
      <c r="H41" s="1074">
        <v>582.65</v>
      </c>
      <c r="I41" s="1074">
        <v>549.46</v>
      </c>
      <c r="J41" s="1074">
        <v>507.87</v>
      </c>
      <c r="K41" s="1074">
        <v>524.61</v>
      </c>
      <c r="L41" s="1074">
        <v>529.47</v>
      </c>
      <c r="M41" s="1074">
        <v>527.34</v>
      </c>
      <c r="N41" s="1074">
        <v>603.23</v>
      </c>
      <c r="O41" s="1074">
        <v>482.33</v>
      </c>
      <c r="P41" s="1074">
        <v>492.85</v>
      </c>
      <c r="Q41" s="487">
        <f>SUM(E41:P41)</f>
        <v>6559.2100000000009</v>
      </c>
    </row>
    <row r="42" spans="2:17">
      <c r="B42" s="197">
        <f t="shared" si="8"/>
        <v>9</v>
      </c>
      <c r="C42" s="199" t="s">
        <v>432</v>
      </c>
      <c r="D42" s="202" t="s">
        <v>101</v>
      </c>
      <c r="E42" s="1074">
        <v>37.92</v>
      </c>
      <c r="F42" s="1074">
        <v>37.97</v>
      </c>
      <c r="G42" s="1074">
        <v>40.75</v>
      </c>
      <c r="H42" s="1074">
        <v>38.39</v>
      </c>
      <c r="I42" s="1074">
        <v>35.979999999999997</v>
      </c>
      <c r="J42" s="1074">
        <v>37.54</v>
      </c>
      <c r="K42" s="1074">
        <v>37.54</v>
      </c>
      <c r="L42" s="1074">
        <v>36.86</v>
      </c>
      <c r="M42" s="1074">
        <v>35.479999999999997</v>
      </c>
      <c r="N42" s="1074">
        <v>36.869999999999997</v>
      </c>
      <c r="O42" s="1074">
        <v>39.96</v>
      </c>
      <c r="P42" s="1074">
        <v>33.5</v>
      </c>
      <c r="Q42" s="487">
        <f>SUM(E42:P42)</f>
        <v>448.76</v>
      </c>
    </row>
    <row r="43" spans="2:17">
      <c r="B43" s="197">
        <f t="shared" si="8"/>
        <v>10</v>
      </c>
      <c r="C43" s="199" t="s">
        <v>474</v>
      </c>
      <c r="D43" s="202" t="s">
        <v>101</v>
      </c>
      <c r="E43" s="1074">
        <v>565.90884000000005</v>
      </c>
      <c r="F43" s="1074">
        <v>507.45346699999999</v>
      </c>
      <c r="G43" s="1074">
        <v>583.54813799999999</v>
      </c>
      <c r="H43" s="1074">
        <v>543.78789800000004</v>
      </c>
      <c r="I43" s="1074">
        <v>514.32736699999998</v>
      </c>
      <c r="J43" s="1074">
        <v>465.45484900000002</v>
      </c>
      <c r="K43" s="1074">
        <v>485.48768200000001</v>
      </c>
      <c r="L43" s="1074">
        <v>492.51919299999997</v>
      </c>
      <c r="M43" s="1074">
        <v>488.45433800000001</v>
      </c>
      <c r="N43" s="1074">
        <v>565.68774399999995</v>
      </c>
      <c r="O43" s="1074">
        <v>447.817272</v>
      </c>
      <c r="P43" s="1074">
        <v>458.85366699999997</v>
      </c>
      <c r="Q43" s="487">
        <f>SUM(E43:P43)</f>
        <v>6119.3004550000005</v>
      </c>
    </row>
    <row r="44" spans="2:17">
      <c r="B44" s="197">
        <f t="shared" si="8"/>
        <v>11</v>
      </c>
      <c r="C44" s="199" t="s">
        <v>479</v>
      </c>
      <c r="D44" s="202" t="s">
        <v>101</v>
      </c>
      <c r="E44" s="1074"/>
      <c r="F44" s="1074"/>
      <c r="G44" s="1074"/>
      <c r="H44" s="1074"/>
      <c r="I44" s="1074"/>
      <c r="J44" s="1074"/>
      <c r="K44" s="1074"/>
      <c r="L44" s="1074"/>
      <c r="M44" s="1074"/>
      <c r="N44" s="1074"/>
      <c r="O44" s="1074"/>
      <c r="P44" s="1074"/>
      <c r="Q44" s="487">
        <f>SUM(E44:P44)</f>
        <v>0</v>
      </c>
    </row>
    <row r="45" spans="2:17">
      <c r="B45" s="197">
        <f t="shared" si="8"/>
        <v>12</v>
      </c>
      <c r="C45" s="199" t="s">
        <v>433</v>
      </c>
      <c r="D45" s="202" t="s">
        <v>442</v>
      </c>
      <c r="E45" s="1074">
        <f t="shared" ref="E45:P45" si="9">E49/E43*10</f>
        <v>3.7099999992931725</v>
      </c>
      <c r="F45" s="1074">
        <f t="shared" si="9"/>
        <v>3.7100000008473684</v>
      </c>
      <c r="G45" s="1074">
        <f t="shared" si="9"/>
        <v>3.710000000034273</v>
      </c>
      <c r="H45" s="1074">
        <f t="shared" si="9"/>
        <v>3.7100000007723595</v>
      </c>
      <c r="I45" s="1074">
        <f t="shared" si="9"/>
        <v>3.7100000008360432</v>
      </c>
      <c r="J45" s="1074">
        <f t="shared" si="9"/>
        <v>3.7100000004511706</v>
      </c>
      <c r="K45" s="1074">
        <f t="shared" si="9"/>
        <v>3.7099999995468478</v>
      </c>
      <c r="L45" s="1074">
        <f t="shared" si="9"/>
        <v>3.7099999999390891</v>
      </c>
      <c r="M45" s="1074">
        <f t="shared" si="9"/>
        <v>3.7100000000409454</v>
      </c>
      <c r="N45" s="1074">
        <f t="shared" si="9"/>
        <v>3.7099999995757376</v>
      </c>
      <c r="O45" s="1074">
        <f t="shared" si="9"/>
        <v>3.709999999732033</v>
      </c>
      <c r="P45" s="1074">
        <f t="shared" si="9"/>
        <v>3.7100000009371179</v>
      </c>
      <c r="Q45" s="487">
        <f>Q49/Q43*10</f>
        <v>3.7100000001552464</v>
      </c>
    </row>
    <row r="46" spans="2:17">
      <c r="B46" s="197">
        <f t="shared" si="8"/>
        <v>13</v>
      </c>
      <c r="C46" s="199" t="s">
        <v>480</v>
      </c>
      <c r="D46" s="202" t="s">
        <v>443</v>
      </c>
      <c r="E46" s="1074">
        <v>0</v>
      </c>
      <c r="F46" s="1074">
        <v>0</v>
      </c>
      <c r="G46" s="1074">
        <v>0</v>
      </c>
      <c r="H46" s="1074">
        <v>0</v>
      </c>
      <c r="I46" s="1074">
        <v>0</v>
      </c>
      <c r="J46" s="1074">
        <v>0</v>
      </c>
      <c r="K46" s="1074">
        <v>0</v>
      </c>
      <c r="L46" s="1074">
        <v>0</v>
      </c>
      <c r="M46" s="1074">
        <v>0</v>
      </c>
      <c r="N46" s="1074">
        <v>0</v>
      </c>
      <c r="O46" s="1074">
        <v>0</v>
      </c>
      <c r="P46" s="1074">
        <v>0</v>
      </c>
      <c r="Q46" s="487"/>
    </row>
    <row r="47" spans="2:17">
      <c r="B47" s="197">
        <f t="shared" si="8"/>
        <v>14</v>
      </c>
      <c r="C47" s="199" t="s">
        <v>481</v>
      </c>
      <c r="D47" s="202" t="s">
        <v>442</v>
      </c>
      <c r="E47" s="1074">
        <f t="shared" ref="E47:P47" si="10">E50*10/E43</f>
        <v>-0.55500000021204821</v>
      </c>
      <c r="F47" s="1074">
        <f t="shared" si="10"/>
        <v>-0.52600000070548347</v>
      </c>
      <c r="G47" s="1074">
        <f t="shared" si="10"/>
        <v>-0.5229999997018242</v>
      </c>
      <c r="H47" s="1074">
        <f t="shared" si="10"/>
        <v>-0.34099999959910837</v>
      </c>
      <c r="I47" s="1074">
        <f t="shared" si="10"/>
        <v>0.22399999959558831</v>
      </c>
      <c r="J47" s="1074">
        <f t="shared" si="10"/>
        <v>0.42099999999999999</v>
      </c>
      <c r="K47" s="1074">
        <f t="shared" si="10"/>
        <v>0.495</v>
      </c>
      <c r="L47" s="1074">
        <f t="shared" si="10"/>
        <v>0.5109999999999999</v>
      </c>
      <c r="M47" s="1074">
        <f t="shared" si="10"/>
        <v>0.23199999999999998</v>
      </c>
      <c r="N47" s="1074">
        <f t="shared" si="10"/>
        <v>0.27800000000000002</v>
      </c>
      <c r="O47" s="1074">
        <f t="shared" si="10"/>
        <v>0.25099999999999995</v>
      </c>
      <c r="P47" s="1074">
        <f t="shared" si="10"/>
        <v>0.30400000000000005</v>
      </c>
      <c r="Q47" s="487">
        <f>Q50*10/Q43</f>
        <v>4.1509401847142996E-2</v>
      </c>
    </row>
    <row r="48" spans="2:17">
      <c r="B48" s="197">
        <f t="shared" si="8"/>
        <v>15</v>
      </c>
      <c r="C48" s="199" t="s">
        <v>434</v>
      </c>
      <c r="D48" s="202" t="s">
        <v>443</v>
      </c>
      <c r="E48" s="1074">
        <v>85.880027599999991</v>
      </c>
      <c r="F48" s="1074">
        <v>74.775340400000005</v>
      </c>
      <c r="G48" s="1074">
        <v>86.048775800000001</v>
      </c>
      <c r="H48" s="1074">
        <v>86.048775899999995</v>
      </c>
      <c r="I48" s="1074">
        <v>77.962785699999998</v>
      </c>
      <c r="J48" s="1074">
        <v>74.05856390000001</v>
      </c>
      <c r="K48" s="1074">
        <v>72.348069900000013</v>
      </c>
      <c r="L48" s="1074">
        <v>80.322839500000001</v>
      </c>
      <c r="M48" s="1074">
        <v>93.3614709</v>
      </c>
      <c r="N48" s="1074">
        <v>96.795781200000008</v>
      </c>
      <c r="O48" s="1074">
        <v>79.140995899999993</v>
      </c>
      <c r="P48" s="1074">
        <v>76.603514200000006</v>
      </c>
      <c r="Q48" s="487">
        <f>SUM(E48:P48)</f>
        <v>983.34694089999994</v>
      </c>
    </row>
    <row r="49" spans="2:19">
      <c r="B49" s="197">
        <f t="shared" si="8"/>
        <v>16</v>
      </c>
      <c r="C49" s="199" t="s">
        <v>435</v>
      </c>
      <c r="D49" s="202" t="s">
        <v>443</v>
      </c>
      <c r="E49" s="1074">
        <v>209.95217960000002</v>
      </c>
      <c r="F49" s="1074">
        <v>188.2652363</v>
      </c>
      <c r="G49" s="1074">
        <v>216.4963592</v>
      </c>
      <c r="H49" s="1074">
        <v>201.74531019999998</v>
      </c>
      <c r="I49" s="1074">
        <v>190.81545320000001</v>
      </c>
      <c r="J49" s="1074">
        <v>172.68374899999998</v>
      </c>
      <c r="K49" s="1074">
        <v>180.11593000000002</v>
      </c>
      <c r="L49" s="1074">
        <v>182.72462060000001</v>
      </c>
      <c r="M49" s="1074">
        <v>181.21655939999999</v>
      </c>
      <c r="N49" s="1074">
        <v>209.87015299999999</v>
      </c>
      <c r="O49" s="1074">
        <v>166.14020789999998</v>
      </c>
      <c r="P49" s="1074">
        <v>170.23471050000001</v>
      </c>
      <c r="Q49" s="487">
        <f>SUM(E49:P49)</f>
        <v>2270.2604689</v>
      </c>
    </row>
    <row r="50" spans="2:19">
      <c r="B50" s="197">
        <f t="shared" si="8"/>
        <v>17</v>
      </c>
      <c r="C50" s="199" t="s">
        <v>482</v>
      </c>
      <c r="D50" s="202" t="s">
        <v>443</v>
      </c>
      <c r="E50" s="1074">
        <v>-31.407940631999999</v>
      </c>
      <c r="F50" s="1074">
        <v>-26.692052399999998</v>
      </c>
      <c r="G50" s="1074">
        <v>-30.519567600000002</v>
      </c>
      <c r="H50" s="1074">
        <v>-18.5431673</v>
      </c>
      <c r="I50" s="1074">
        <v>11.520932999999999</v>
      </c>
      <c r="J50" s="1074">
        <v>19.595649142900001</v>
      </c>
      <c r="K50" s="1074">
        <v>24.031640259</v>
      </c>
      <c r="L50" s="1074">
        <v>25.167730762299996</v>
      </c>
      <c r="M50" s="1074">
        <v>11.332140641599999</v>
      </c>
      <c r="N50" s="1074">
        <v>15.726119283200001</v>
      </c>
      <c r="O50" s="1074">
        <v>11.240213527199998</v>
      </c>
      <c r="P50" s="1074">
        <v>13.949151476800001</v>
      </c>
      <c r="Q50" s="487">
        <f>SUM(E50:P50)</f>
        <v>25.400850161000001</v>
      </c>
    </row>
    <row r="51" spans="2:19">
      <c r="B51" s="197">
        <f t="shared" si="8"/>
        <v>18</v>
      </c>
      <c r="C51" s="199" t="s">
        <v>436</v>
      </c>
      <c r="D51" s="202" t="s">
        <v>443</v>
      </c>
      <c r="E51" s="487"/>
      <c r="F51" s="487"/>
      <c r="G51" s="487"/>
      <c r="H51" s="487"/>
      <c r="I51" s="487"/>
      <c r="J51" s="487"/>
      <c r="K51" s="487"/>
      <c r="L51" s="487"/>
      <c r="M51" s="487"/>
      <c r="N51" s="487"/>
      <c r="O51" s="487"/>
      <c r="P51" s="487"/>
      <c r="Q51" s="487"/>
    </row>
    <row r="52" spans="2:19">
      <c r="B52" s="197">
        <f t="shared" si="8"/>
        <v>19</v>
      </c>
      <c r="C52" s="199" t="s">
        <v>821</v>
      </c>
      <c r="D52" s="202" t="s">
        <v>443</v>
      </c>
      <c r="E52" s="487"/>
      <c r="F52" s="487"/>
      <c r="G52" s="487"/>
      <c r="H52" s="487"/>
      <c r="I52" s="487"/>
      <c r="J52" s="487"/>
      <c r="K52" s="487"/>
      <c r="L52" s="487"/>
      <c r="M52" s="487"/>
      <c r="N52" s="487"/>
      <c r="O52" s="487"/>
      <c r="P52" s="487"/>
      <c r="Q52" s="487"/>
    </row>
    <row r="53" spans="2:19">
      <c r="B53" s="197">
        <f t="shared" si="8"/>
        <v>20</v>
      </c>
      <c r="C53" s="488" t="s">
        <v>999</v>
      </c>
      <c r="D53" s="489" t="s">
        <v>443</v>
      </c>
      <c r="E53" s="487">
        <v>1.0937333333333333E-3</v>
      </c>
      <c r="F53" s="487">
        <v>1.0937333333333333E-3</v>
      </c>
      <c r="G53" s="487">
        <v>1.0937333333333333E-3</v>
      </c>
      <c r="H53" s="487">
        <v>1.0937333333333333E-3</v>
      </c>
      <c r="I53" s="487">
        <v>1.0937333333333333E-3</v>
      </c>
      <c r="J53" s="487">
        <v>1.0937333333333333E-3</v>
      </c>
      <c r="K53" s="487">
        <v>1.0937333333333333E-3</v>
      </c>
      <c r="L53" s="487">
        <v>1.0937333333333333E-3</v>
      </c>
      <c r="M53" s="487">
        <v>1.0937333333333333E-3</v>
      </c>
      <c r="N53" s="487">
        <v>1.0937333333333333E-3</v>
      </c>
      <c r="O53" s="487">
        <v>1.0937333333333333E-3</v>
      </c>
      <c r="P53" s="487">
        <v>1.0937333333333333E-3</v>
      </c>
      <c r="Q53" s="487">
        <f>SUM(E53:P53)</f>
        <v>1.3124799999999997E-2</v>
      </c>
    </row>
    <row r="54" spans="2:19">
      <c r="B54" s="197">
        <f t="shared" si="8"/>
        <v>21</v>
      </c>
      <c r="C54" s="200" t="s">
        <v>437</v>
      </c>
      <c r="D54" s="202" t="s">
        <v>443</v>
      </c>
      <c r="E54" s="354">
        <f t="shared" ref="E54:Q54" si="11">SUM(E48:E53)</f>
        <v>264.42536030133334</v>
      </c>
      <c r="F54" s="354">
        <f t="shared" si="11"/>
        <v>236.34961803333331</v>
      </c>
      <c r="G54" s="354">
        <f t="shared" si="11"/>
        <v>272.02666113333333</v>
      </c>
      <c r="H54" s="354">
        <f t="shared" si="11"/>
        <v>269.2520125333333</v>
      </c>
      <c r="I54" s="354">
        <f t="shared" si="11"/>
        <v>280.30026563333337</v>
      </c>
      <c r="J54" s="354">
        <f t="shared" si="11"/>
        <v>266.33905577623335</v>
      </c>
      <c r="K54" s="354">
        <f t="shared" si="11"/>
        <v>276.49673389233334</v>
      </c>
      <c r="L54" s="354">
        <f t="shared" si="11"/>
        <v>288.21628459563334</v>
      </c>
      <c r="M54" s="354">
        <f t="shared" si="11"/>
        <v>285.91126467493336</v>
      </c>
      <c r="N54" s="354">
        <f t="shared" si="11"/>
        <v>322.39314721653329</v>
      </c>
      <c r="O54" s="354">
        <f t="shared" si="11"/>
        <v>256.5225110605333</v>
      </c>
      <c r="P54" s="354">
        <f t="shared" si="11"/>
        <v>260.78846991013336</v>
      </c>
      <c r="Q54" s="354">
        <f t="shared" si="11"/>
        <v>3279.0213847609998</v>
      </c>
    </row>
    <row r="55" spans="2:19">
      <c r="B55" s="197">
        <f t="shared" si="8"/>
        <v>22</v>
      </c>
      <c r="C55" s="201" t="s">
        <v>438</v>
      </c>
      <c r="D55" s="202"/>
      <c r="E55" s="487"/>
      <c r="F55" s="487"/>
      <c r="G55" s="487"/>
      <c r="H55" s="487"/>
      <c r="I55" s="487"/>
      <c r="J55" s="487"/>
      <c r="K55" s="487"/>
      <c r="L55" s="487"/>
      <c r="M55" s="487"/>
      <c r="N55" s="487"/>
      <c r="O55" s="487"/>
      <c r="P55" s="487"/>
      <c r="Q55" s="487"/>
    </row>
    <row r="56" spans="2:19">
      <c r="B56" s="197"/>
      <c r="C56" s="199" t="s">
        <v>421</v>
      </c>
      <c r="D56" s="202" t="s">
        <v>443</v>
      </c>
      <c r="E56" s="487"/>
      <c r="F56" s="487"/>
      <c r="G56" s="487"/>
      <c r="H56" s="487"/>
      <c r="I56" s="487"/>
      <c r="J56" s="487"/>
      <c r="K56" s="487"/>
      <c r="L56" s="487"/>
      <c r="M56" s="487"/>
      <c r="N56" s="487"/>
      <c r="O56" s="487"/>
      <c r="P56" s="487"/>
      <c r="Q56" s="487">
        <f t="shared" ref="Q56" si="12">SUM(E56:P56)</f>
        <v>0</v>
      </c>
    </row>
    <row r="57" spans="2:19">
      <c r="B57" s="202">
        <f>B55+1</f>
        <v>23</v>
      </c>
      <c r="C57" s="203" t="s">
        <v>352</v>
      </c>
      <c r="D57" s="202" t="s">
        <v>443</v>
      </c>
      <c r="E57" s="487">
        <f t="shared" ref="E57:P57" si="13">SUM(E54:E56)</f>
        <v>264.42536030133334</v>
      </c>
      <c r="F57" s="487">
        <f t="shared" si="13"/>
        <v>236.34961803333331</v>
      </c>
      <c r="G57" s="487">
        <f t="shared" si="13"/>
        <v>272.02666113333333</v>
      </c>
      <c r="H57" s="487">
        <f t="shared" si="13"/>
        <v>269.2520125333333</v>
      </c>
      <c r="I57" s="487">
        <f t="shared" si="13"/>
        <v>280.30026563333337</v>
      </c>
      <c r="J57" s="487">
        <f t="shared" si="13"/>
        <v>266.33905577623335</v>
      </c>
      <c r="K57" s="487">
        <f t="shared" si="13"/>
        <v>276.49673389233334</v>
      </c>
      <c r="L57" s="487">
        <f t="shared" si="13"/>
        <v>288.21628459563334</v>
      </c>
      <c r="M57" s="487">
        <f t="shared" si="13"/>
        <v>285.91126467493336</v>
      </c>
      <c r="N57" s="487">
        <f t="shared" si="13"/>
        <v>322.39314721653329</v>
      </c>
      <c r="O57" s="487">
        <f t="shared" si="13"/>
        <v>256.5225110605333</v>
      </c>
      <c r="P57" s="487">
        <f t="shared" si="13"/>
        <v>260.78846991013336</v>
      </c>
      <c r="Q57" s="354">
        <f>SUM(E57:P57)</f>
        <v>3279.0213847610003</v>
      </c>
    </row>
    <row r="58" spans="2:19">
      <c r="B58" s="202">
        <f>B57+1</f>
        <v>24</v>
      </c>
      <c r="C58" s="203" t="s">
        <v>444</v>
      </c>
      <c r="D58" s="202" t="s">
        <v>443</v>
      </c>
      <c r="E58" s="487">
        <f t="shared" ref="E58:P58" si="14">E57</f>
        <v>264.42536030133334</v>
      </c>
      <c r="F58" s="487">
        <f t="shared" si="14"/>
        <v>236.34961803333331</v>
      </c>
      <c r="G58" s="487">
        <f t="shared" si="14"/>
        <v>272.02666113333333</v>
      </c>
      <c r="H58" s="487">
        <f t="shared" si="14"/>
        <v>269.2520125333333</v>
      </c>
      <c r="I58" s="487">
        <f t="shared" si="14"/>
        <v>280.30026563333337</v>
      </c>
      <c r="J58" s="487">
        <f t="shared" si="14"/>
        <v>266.33905577623335</v>
      </c>
      <c r="K58" s="487">
        <f t="shared" si="14"/>
        <v>276.49673389233334</v>
      </c>
      <c r="L58" s="487">
        <f t="shared" si="14"/>
        <v>288.21628459563334</v>
      </c>
      <c r="M58" s="487">
        <f t="shared" si="14"/>
        <v>285.91126467493336</v>
      </c>
      <c r="N58" s="487">
        <f t="shared" si="14"/>
        <v>322.39314721653329</v>
      </c>
      <c r="O58" s="487">
        <f t="shared" si="14"/>
        <v>256.5225110605333</v>
      </c>
      <c r="P58" s="487">
        <f t="shared" si="14"/>
        <v>260.78846991013336</v>
      </c>
      <c r="Q58" s="354">
        <f>SUM(E58:P58)</f>
        <v>3279.0213847610003</v>
      </c>
      <c r="R58" s="469">
        <f>'F9'!N22-Q58</f>
        <v>0</v>
      </c>
      <c r="S58" s="469"/>
    </row>
  </sheetData>
  <pageMargins left="0.7" right="0.7" top="0.75" bottom="0.75" header="0.3" footer="0.3"/>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2:O56"/>
  <sheetViews>
    <sheetView showGridLines="0" view="pageBreakPreview" zoomScale="70" zoomScaleNormal="80" zoomScaleSheetLayoutView="70" workbookViewId="0">
      <selection activeCell="Q42" sqref="Q42"/>
    </sheetView>
  </sheetViews>
  <sheetFormatPr defaultColWidth="8.6328125" defaultRowHeight="13"/>
  <cols>
    <col min="1" max="1" width="8.6328125" style="94"/>
    <col min="2" max="2" width="13.6328125" style="94" customWidth="1"/>
    <col min="3" max="3" width="14" style="94" customWidth="1"/>
    <col min="4" max="4" width="10.54296875" style="94" customWidth="1"/>
    <col min="5" max="5" width="12.36328125" style="94" customWidth="1"/>
    <col min="6" max="6" width="13.36328125" style="94" customWidth="1"/>
    <col min="7" max="9" width="10" style="94" customWidth="1"/>
    <col min="10" max="11" width="11.453125" style="94" customWidth="1"/>
    <col min="12" max="12" width="14.54296875" style="94" customWidth="1"/>
    <col min="13" max="13" width="11.453125" style="94" customWidth="1"/>
    <col min="14" max="14" width="10" style="94" customWidth="1"/>
    <col min="15" max="16384" width="8.6328125" style="94"/>
  </cols>
  <sheetData>
    <row r="2" spans="2:15" ht="14">
      <c r="B2" s="1682" t="str">
        <f>Index!B2</f>
        <v xml:space="preserve">      Maharashtra State Power Generation Company Ltd.</v>
      </c>
      <c r="C2" s="1682"/>
      <c r="D2" s="1682"/>
      <c r="E2" s="1682"/>
      <c r="F2" s="1682"/>
      <c r="G2" s="1682"/>
      <c r="H2" s="1682"/>
      <c r="I2" s="1682"/>
      <c r="J2" s="1682"/>
      <c r="K2" s="1682"/>
      <c r="L2" s="1682"/>
      <c r="M2" s="1682"/>
      <c r="N2" s="1682"/>
    </row>
    <row r="3" spans="2:15" ht="14">
      <c r="B3" s="1682" t="str">
        <f>Index!B3</f>
        <v>MYT Petition Formats for Bhusawal Units 4&amp;5</v>
      </c>
      <c r="C3" s="1682"/>
      <c r="D3" s="1682"/>
      <c r="E3" s="1682"/>
      <c r="F3" s="1682"/>
      <c r="G3" s="1682"/>
      <c r="H3" s="1682"/>
      <c r="I3" s="1682"/>
      <c r="J3" s="1682"/>
      <c r="K3" s="1682"/>
      <c r="L3" s="1682"/>
      <c r="M3" s="1682"/>
      <c r="N3" s="1682"/>
    </row>
    <row r="4" spans="2:15" ht="14">
      <c r="B4" s="1874" t="s">
        <v>424</v>
      </c>
      <c r="C4" s="1874"/>
      <c r="D4" s="1874"/>
      <c r="E4" s="1874"/>
      <c r="F4" s="1874"/>
      <c r="G4" s="1874"/>
      <c r="H4" s="1874"/>
      <c r="I4" s="1874"/>
      <c r="J4" s="1874"/>
      <c r="K4" s="1874"/>
      <c r="L4" s="1874"/>
      <c r="M4" s="1874"/>
      <c r="N4" s="1874"/>
    </row>
    <row r="5" spans="2:15" ht="14">
      <c r="B5" s="88"/>
      <c r="C5" s="88"/>
      <c r="D5" s="88"/>
      <c r="E5" s="88"/>
      <c r="F5" s="88"/>
      <c r="G5" s="88"/>
      <c r="H5" s="88"/>
      <c r="I5" s="88"/>
      <c r="J5" s="88"/>
      <c r="K5" s="88"/>
      <c r="L5" s="88"/>
      <c r="M5" s="88"/>
      <c r="N5" s="88"/>
    </row>
    <row r="6" spans="2:15" ht="14">
      <c r="B6" s="88"/>
      <c r="C6" s="88"/>
      <c r="D6" s="88"/>
      <c r="E6" s="88"/>
      <c r="F6" s="88"/>
      <c r="G6" s="88"/>
      <c r="H6" s="88"/>
      <c r="I6" s="88"/>
      <c r="J6" s="88"/>
      <c r="K6" s="88"/>
      <c r="L6" s="88"/>
      <c r="M6" s="88"/>
      <c r="N6" s="88"/>
    </row>
    <row r="7" spans="2:15" ht="14">
      <c r="B7" s="68" t="s">
        <v>988</v>
      </c>
      <c r="N7" s="115"/>
    </row>
    <row r="8" spans="2:15" ht="14">
      <c r="B8" s="68"/>
      <c r="N8" s="115" t="s">
        <v>10</v>
      </c>
    </row>
    <row r="9" spans="2:15" s="116" customFormat="1" ht="33" customHeight="1">
      <c r="B9" s="1871" t="s">
        <v>279</v>
      </c>
      <c r="C9" s="1721" t="s">
        <v>295</v>
      </c>
      <c r="D9" s="1721"/>
      <c r="E9" s="1721"/>
      <c r="F9" s="1721"/>
      <c r="G9" s="1719" t="s">
        <v>296</v>
      </c>
      <c r="H9" s="1719"/>
      <c r="I9" s="1719"/>
      <c r="J9" s="1872" t="s">
        <v>297</v>
      </c>
      <c r="K9" s="1872"/>
      <c r="L9" s="1872"/>
      <c r="M9" s="1872"/>
      <c r="N9" s="1872"/>
    </row>
    <row r="10" spans="2:15" ht="72" customHeight="1">
      <c r="B10" s="1871"/>
      <c r="C10" s="302" t="s">
        <v>348</v>
      </c>
      <c r="D10" s="302" t="s">
        <v>346</v>
      </c>
      <c r="E10" s="302" t="s">
        <v>709</v>
      </c>
      <c r="F10" s="302" t="s">
        <v>347</v>
      </c>
      <c r="G10" s="302" t="s">
        <v>298</v>
      </c>
      <c r="H10" s="302" t="s">
        <v>710</v>
      </c>
      <c r="I10" s="302" t="s">
        <v>299</v>
      </c>
      <c r="J10" s="302" t="s">
        <v>300</v>
      </c>
      <c r="K10" s="302" t="s">
        <v>301</v>
      </c>
      <c r="L10" s="302" t="s">
        <v>711</v>
      </c>
      <c r="M10" s="302" t="s">
        <v>712</v>
      </c>
      <c r="N10" s="303" t="s">
        <v>272</v>
      </c>
    </row>
    <row r="11" spans="2:15" ht="14.25" customHeight="1">
      <c r="B11" s="110"/>
      <c r="C11" s="111"/>
      <c r="D11" s="111"/>
      <c r="E11" s="111"/>
      <c r="F11" s="111"/>
      <c r="G11" s="111"/>
      <c r="H11" s="111"/>
      <c r="I11" s="111"/>
      <c r="J11" s="111"/>
      <c r="K11" s="111"/>
      <c r="L11" s="111"/>
      <c r="M11" s="111"/>
      <c r="N11" s="112"/>
    </row>
    <row r="12" spans="2:15" ht="14.25" customHeight="1">
      <c r="B12" s="148" t="s">
        <v>748</v>
      </c>
      <c r="C12" s="331">
        <f ca="1">'F1'!S27-'F1'!S11</f>
        <v>1111.930630301712</v>
      </c>
      <c r="D12" s="331">
        <f>'F2.2'!S157</f>
        <v>4.3876318399505845</v>
      </c>
      <c r="E12" s="113"/>
      <c r="F12" s="113"/>
      <c r="G12" s="331">
        <f>'F2.2'!S37</f>
        <v>6998.8397713863424</v>
      </c>
      <c r="H12" s="455">
        <v>1</v>
      </c>
      <c r="I12" s="113"/>
      <c r="J12" s="331">
        <f ca="1">C12</f>
        <v>1111.930630301712</v>
      </c>
      <c r="K12" s="331">
        <f>G12*D12/10</f>
        <v>3070.8332223647185</v>
      </c>
      <c r="L12" s="331"/>
      <c r="M12" s="331"/>
      <c r="N12" s="329">
        <f ca="1">SUM(J12:M12)</f>
        <v>4182.7638526664305</v>
      </c>
    </row>
    <row r="13" spans="2:15" ht="14.25" customHeight="1">
      <c r="B13" s="107"/>
      <c r="C13" s="113"/>
      <c r="D13" s="113"/>
      <c r="E13" s="113"/>
      <c r="F13" s="113"/>
      <c r="G13" s="113"/>
      <c r="H13" s="113"/>
      <c r="I13" s="113"/>
      <c r="J13" s="113"/>
      <c r="K13" s="113"/>
      <c r="L13" s="113"/>
      <c r="M13" s="113"/>
      <c r="N13" s="329">
        <f>SUM(J13:M13)</f>
        <v>0</v>
      </c>
    </row>
    <row r="14" spans="2:15" ht="14">
      <c r="B14" s="107" t="s">
        <v>272</v>
      </c>
      <c r="C14" s="352"/>
      <c r="D14" s="352"/>
      <c r="E14" s="352"/>
      <c r="F14" s="352"/>
      <c r="G14" s="352">
        <f>SUM(G12:G13)</f>
        <v>6998.8397713863424</v>
      </c>
      <c r="H14" s="352"/>
      <c r="I14" s="352"/>
      <c r="J14" s="352">
        <f ca="1">SUM(J12:J13)</f>
        <v>1111.930630301712</v>
      </c>
      <c r="K14" s="352">
        <f>SUM(K12:K13)</f>
        <v>3070.8332223647185</v>
      </c>
      <c r="L14" s="352">
        <f>SUM(L12:L13)</f>
        <v>0</v>
      </c>
      <c r="M14" s="352">
        <f>SUM(M12:M13)</f>
        <v>0</v>
      </c>
      <c r="N14" s="352">
        <f ca="1">SUM(N12:N13)</f>
        <v>4182.7638526664305</v>
      </c>
      <c r="O14" s="333"/>
    </row>
    <row r="17" spans="2:14" ht="2.75" customHeight="1"/>
    <row r="18" spans="2:14" ht="14">
      <c r="B18" s="68" t="s">
        <v>989</v>
      </c>
    </row>
    <row r="19" spans="2:14" ht="14">
      <c r="B19" s="68"/>
      <c r="N19" s="115" t="s">
        <v>10</v>
      </c>
    </row>
    <row r="20" spans="2:14" ht="13.25" customHeight="1">
      <c r="B20" s="1871" t="s">
        <v>279</v>
      </c>
      <c r="C20" s="1721" t="s">
        <v>295</v>
      </c>
      <c r="D20" s="1721"/>
      <c r="E20" s="1721"/>
      <c r="F20" s="1721"/>
      <c r="G20" s="1719" t="s">
        <v>296</v>
      </c>
      <c r="H20" s="1719"/>
      <c r="I20" s="1719"/>
      <c r="J20" s="1872" t="s">
        <v>297</v>
      </c>
      <c r="K20" s="1872"/>
      <c r="L20" s="1872"/>
      <c r="M20" s="1872"/>
      <c r="N20" s="1872"/>
    </row>
    <row r="21" spans="2:14" ht="69" customHeight="1">
      <c r="B21" s="1871"/>
      <c r="C21" s="302" t="s">
        <v>348</v>
      </c>
      <c r="D21" s="302" t="s">
        <v>346</v>
      </c>
      <c r="E21" s="302" t="s">
        <v>709</v>
      </c>
      <c r="F21" s="302" t="s">
        <v>347</v>
      </c>
      <c r="G21" s="302" t="s">
        <v>298</v>
      </c>
      <c r="H21" s="302" t="s">
        <v>710</v>
      </c>
      <c r="I21" s="302" t="s">
        <v>299</v>
      </c>
      <c r="J21" s="302" t="s">
        <v>300</v>
      </c>
      <c r="K21" s="302" t="s">
        <v>301</v>
      </c>
      <c r="L21" s="302" t="s">
        <v>711</v>
      </c>
      <c r="M21" s="302" t="s">
        <v>712</v>
      </c>
      <c r="N21" s="303" t="s">
        <v>272</v>
      </c>
    </row>
    <row r="22" spans="2:14">
      <c r="B22" s="110"/>
      <c r="C22" s="111"/>
      <c r="D22" s="111"/>
      <c r="E22" s="111"/>
      <c r="F22" s="111"/>
      <c r="G22" s="111"/>
      <c r="H22" s="111"/>
      <c r="I22" s="111"/>
      <c r="J22" s="111"/>
      <c r="K22" s="111"/>
      <c r="L22" s="111"/>
      <c r="M22" s="111"/>
      <c r="N22" s="112"/>
    </row>
    <row r="23" spans="2:14" ht="14">
      <c r="B23" s="148" t="s">
        <v>748</v>
      </c>
      <c r="C23" s="330">
        <f ca="1">'F1'!T27-'F1'!T11</f>
        <v>944.97382223751947</v>
      </c>
      <c r="D23" s="330">
        <f>'F2.2'!$T$157</f>
        <v>4.6070095423016246</v>
      </c>
      <c r="E23" s="330"/>
      <c r="F23" s="113"/>
      <c r="G23" s="331">
        <f>'F2.2'!$T$37</f>
        <v>6998.9739419412272</v>
      </c>
      <c r="H23" s="455">
        <v>1</v>
      </c>
      <c r="I23" s="113"/>
      <c r="J23" s="331">
        <f ca="1">C23</f>
        <v>944.97382223751947</v>
      </c>
      <c r="K23" s="331">
        <f>G23*D23/10</f>
        <v>3224.4339736843649</v>
      </c>
      <c r="L23" s="331"/>
      <c r="M23" s="331"/>
      <c r="N23" s="329">
        <f ca="1">SUM(J23:M23)</f>
        <v>4169.4077959218848</v>
      </c>
    </row>
    <row r="24" spans="2:14" ht="14">
      <c r="B24" s="107"/>
      <c r="C24" s="113"/>
      <c r="D24" s="113"/>
      <c r="E24" s="113"/>
      <c r="F24" s="113"/>
      <c r="G24" s="113"/>
      <c r="H24" s="113"/>
      <c r="I24" s="113"/>
      <c r="J24" s="113"/>
      <c r="K24" s="113"/>
      <c r="L24" s="113"/>
      <c r="M24" s="113"/>
      <c r="N24" s="329">
        <f>SUM(J24:M24)</f>
        <v>0</v>
      </c>
    </row>
    <row r="25" spans="2:14" ht="14">
      <c r="B25" s="107" t="s">
        <v>272</v>
      </c>
      <c r="C25" s="352"/>
      <c r="D25" s="352"/>
      <c r="E25" s="352"/>
      <c r="F25" s="352"/>
      <c r="G25" s="352">
        <f>SUM(G23:G24)</f>
        <v>6998.9739419412272</v>
      </c>
      <c r="H25" s="352"/>
      <c r="I25" s="352"/>
      <c r="J25" s="352">
        <f ca="1">SUM(J23:J24)</f>
        <v>944.97382223751947</v>
      </c>
      <c r="K25" s="352">
        <f>SUM(K23:K24)</f>
        <v>3224.4339736843649</v>
      </c>
      <c r="L25" s="352">
        <f>SUM(L23:L24)</f>
        <v>0</v>
      </c>
      <c r="M25" s="352">
        <f>SUM(M23:M24)</f>
        <v>0</v>
      </c>
      <c r="N25" s="352">
        <f ca="1">SUM(N23:N24)</f>
        <v>4169.4077959218848</v>
      </c>
    </row>
    <row r="29" spans="2:14" ht="14">
      <c r="B29" s="68" t="s">
        <v>990</v>
      </c>
    </row>
    <row r="30" spans="2:14" ht="14">
      <c r="B30" s="68"/>
      <c r="N30" s="115" t="s">
        <v>10</v>
      </c>
    </row>
    <row r="31" spans="2:14" ht="29.75" customHeight="1">
      <c r="B31" s="1871" t="s">
        <v>279</v>
      </c>
      <c r="C31" s="1721" t="s">
        <v>295</v>
      </c>
      <c r="D31" s="1721"/>
      <c r="E31" s="1721"/>
      <c r="F31" s="1721"/>
      <c r="G31" s="1719" t="s">
        <v>296</v>
      </c>
      <c r="H31" s="1719"/>
      <c r="I31" s="1719"/>
      <c r="J31" s="1872" t="s">
        <v>297</v>
      </c>
      <c r="K31" s="1872"/>
      <c r="L31" s="1872"/>
      <c r="M31" s="1872"/>
      <c r="N31" s="1872"/>
    </row>
    <row r="32" spans="2:14" ht="65.25" customHeight="1">
      <c r="B32" s="1871"/>
      <c r="C32" s="302" t="s">
        <v>348</v>
      </c>
      <c r="D32" s="302" t="s">
        <v>346</v>
      </c>
      <c r="E32" s="302" t="s">
        <v>709</v>
      </c>
      <c r="F32" s="302" t="s">
        <v>347</v>
      </c>
      <c r="G32" s="302" t="s">
        <v>298</v>
      </c>
      <c r="H32" s="302" t="s">
        <v>710</v>
      </c>
      <c r="I32" s="302" t="s">
        <v>299</v>
      </c>
      <c r="J32" s="302" t="s">
        <v>300</v>
      </c>
      <c r="K32" s="302" t="s">
        <v>301</v>
      </c>
      <c r="L32" s="302" t="s">
        <v>711</v>
      </c>
      <c r="M32" s="302" t="s">
        <v>712</v>
      </c>
      <c r="N32" s="303" t="s">
        <v>272</v>
      </c>
    </row>
    <row r="33" spans="2:14">
      <c r="B33" s="110"/>
      <c r="C33" s="111"/>
      <c r="D33" s="111"/>
      <c r="E33" s="111"/>
      <c r="F33" s="111"/>
      <c r="G33" s="111"/>
      <c r="H33" s="111"/>
      <c r="I33" s="111"/>
      <c r="J33" s="111"/>
      <c r="K33" s="111"/>
      <c r="L33" s="111"/>
      <c r="M33" s="111"/>
      <c r="N33" s="112"/>
    </row>
    <row r="34" spans="2:14" ht="14">
      <c r="B34" s="148" t="s">
        <v>748</v>
      </c>
      <c r="C34" s="331">
        <f ca="1">'F1'!U27-'F1'!U11</f>
        <v>1398.265455159562</v>
      </c>
      <c r="D34" s="331">
        <f>'F2.2'!$U$157</f>
        <v>4.8999120886333039</v>
      </c>
      <c r="E34" s="331"/>
      <c r="F34" s="113"/>
      <c r="G34" s="331">
        <f>'F2.2'!$U$37</f>
        <v>6909.625338427084</v>
      </c>
      <c r="H34" s="455">
        <v>1</v>
      </c>
      <c r="I34" s="113"/>
      <c r="J34" s="331">
        <f ca="1">C34</f>
        <v>1398.265455159562</v>
      </c>
      <c r="K34" s="331">
        <f>G34*D34/10</f>
        <v>3385.6556723685853</v>
      </c>
      <c r="L34" s="331"/>
      <c r="M34" s="331"/>
      <c r="N34" s="329">
        <f ca="1">SUM(J34:M34)</f>
        <v>4783.9211275281468</v>
      </c>
    </row>
    <row r="35" spans="2:14" ht="14">
      <c r="B35" s="107"/>
      <c r="C35" s="113"/>
      <c r="D35" s="113"/>
      <c r="E35" s="113"/>
      <c r="F35" s="113"/>
      <c r="G35" s="113"/>
      <c r="H35" s="113"/>
      <c r="I35" s="113"/>
      <c r="J35" s="113"/>
      <c r="K35" s="113"/>
      <c r="L35" s="113"/>
      <c r="M35" s="113"/>
      <c r="N35" s="329">
        <f>SUM(J35:M35)</f>
        <v>0</v>
      </c>
    </row>
    <row r="36" spans="2:14" ht="14">
      <c r="B36" s="107" t="s">
        <v>272</v>
      </c>
      <c r="C36" s="352"/>
      <c r="D36" s="352"/>
      <c r="E36" s="352"/>
      <c r="F36" s="352"/>
      <c r="G36" s="352">
        <f>SUM(G34:G35)</f>
        <v>6909.625338427084</v>
      </c>
      <c r="H36" s="352"/>
      <c r="I36" s="352"/>
      <c r="J36" s="352">
        <f ca="1">SUM(J34:J35)</f>
        <v>1398.265455159562</v>
      </c>
      <c r="K36" s="352">
        <f>SUM(K34:K35)</f>
        <v>3385.6556723685853</v>
      </c>
      <c r="L36" s="352">
        <f>SUM(L34:L35)</f>
        <v>0</v>
      </c>
      <c r="M36" s="352">
        <f>SUM(M34:M35)</f>
        <v>0</v>
      </c>
      <c r="N36" s="352">
        <f ca="1">SUM(N34:N35)</f>
        <v>4783.9211275281468</v>
      </c>
    </row>
    <row r="37" spans="2:14" ht="14">
      <c r="B37" s="238"/>
      <c r="C37" s="78"/>
      <c r="D37" s="78"/>
      <c r="E37" s="78"/>
      <c r="F37" s="78"/>
      <c r="G37" s="78"/>
      <c r="H37" s="78"/>
      <c r="I37" s="78"/>
      <c r="J37" s="78"/>
      <c r="K37" s="78"/>
      <c r="L37" s="78"/>
      <c r="M37" s="78"/>
      <c r="N37" s="78"/>
    </row>
    <row r="38" spans="2:14" ht="14">
      <c r="B38" s="238"/>
      <c r="C38" s="78"/>
      <c r="D38" s="78"/>
      <c r="E38" s="78"/>
      <c r="F38" s="78"/>
      <c r="G38" s="78"/>
      <c r="H38" s="78"/>
      <c r="I38" s="78"/>
      <c r="J38" s="78"/>
      <c r="K38" s="78"/>
      <c r="L38" s="78"/>
      <c r="M38" s="78"/>
      <c r="N38" s="78"/>
    </row>
    <row r="39" spans="2:14" ht="14">
      <c r="B39" s="68" t="s">
        <v>991</v>
      </c>
    </row>
    <row r="40" spans="2:14" ht="14">
      <c r="B40" s="68"/>
      <c r="N40" s="115" t="s">
        <v>10</v>
      </c>
    </row>
    <row r="41" spans="2:14" ht="14">
      <c r="B41" s="1871" t="s">
        <v>279</v>
      </c>
      <c r="C41" s="1721" t="s">
        <v>295</v>
      </c>
      <c r="D41" s="1721"/>
      <c r="E41" s="1721"/>
      <c r="F41" s="1721"/>
      <c r="G41" s="1719" t="s">
        <v>296</v>
      </c>
      <c r="H41" s="1719"/>
      <c r="I41" s="1719"/>
      <c r="J41" s="1872" t="s">
        <v>297</v>
      </c>
      <c r="K41" s="1872"/>
      <c r="L41" s="1872"/>
      <c r="M41" s="1872"/>
      <c r="N41" s="1872"/>
    </row>
    <row r="42" spans="2:14" ht="70">
      <c r="B42" s="1871"/>
      <c r="C42" s="746" t="s">
        <v>348</v>
      </c>
      <c r="D42" s="746" t="s">
        <v>346</v>
      </c>
      <c r="E42" s="746" t="s">
        <v>709</v>
      </c>
      <c r="F42" s="746" t="s">
        <v>347</v>
      </c>
      <c r="G42" s="746" t="s">
        <v>298</v>
      </c>
      <c r="H42" s="746" t="s">
        <v>710</v>
      </c>
      <c r="I42" s="746" t="s">
        <v>299</v>
      </c>
      <c r="J42" s="746" t="s">
        <v>300</v>
      </c>
      <c r="K42" s="746" t="s">
        <v>301</v>
      </c>
      <c r="L42" s="746" t="s">
        <v>711</v>
      </c>
      <c r="M42" s="746" t="s">
        <v>712</v>
      </c>
      <c r="N42" s="747" t="s">
        <v>272</v>
      </c>
    </row>
    <row r="43" spans="2:14">
      <c r="B43" s="110"/>
      <c r="C43" s="111"/>
      <c r="D43" s="111"/>
      <c r="E43" s="111"/>
      <c r="F43" s="111"/>
      <c r="G43" s="111"/>
      <c r="H43" s="111"/>
      <c r="I43" s="111"/>
      <c r="J43" s="111"/>
      <c r="K43" s="111"/>
      <c r="L43" s="111"/>
      <c r="M43" s="111"/>
      <c r="N43" s="112"/>
    </row>
    <row r="44" spans="2:14" ht="14">
      <c r="B44" s="148" t="s">
        <v>748</v>
      </c>
      <c r="C44" s="331">
        <f ca="1">'F1'!V27-'F1'!V11</f>
        <v>1443.5567387300475</v>
      </c>
      <c r="D44" s="331">
        <f>'F2.2'!$V$157</f>
        <v>5.1449037443114278</v>
      </c>
      <c r="E44" s="331"/>
      <c r="F44" s="113"/>
      <c r="G44" s="331">
        <f>'F2.2'!$V$37</f>
        <v>6909.7457545537109</v>
      </c>
      <c r="H44" s="455">
        <v>1</v>
      </c>
      <c r="I44" s="113"/>
      <c r="J44" s="331">
        <f ca="1">C44</f>
        <v>1443.5567387300475</v>
      </c>
      <c r="K44" s="331">
        <f>G44*D44/10</f>
        <v>3554.9976804843377</v>
      </c>
      <c r="L44" s="331"/>
      <c r="M44" s="331"/>
      <c r="N44" s="329">
        <f ca="1">SUM(J44:M44)</f>
        <v>4998.5544192143852</v>
      </c>
    </row>
    <row r="45" spans="2:14" ht="14">
      <c r="B45" s="107"/>
      <c r="C45" s="113"/>
      <c r="D45" s="113"/>
      <c r="E45" s="113"/>
      <c r="F45" s="113"/>
      <c r="G45" s="113"/>
      <c r="H45" s="113"/>
      <c r="I45" s="113"/>
      <c r="J45" s="113"/>
      <c r="K45" s="113"/>
      <c r="L45" s="113"/>
      <c r="M45" s="113"/>
      <c r="N45" s="329">
        <f>SUM(J45:M45)</f>
        <v>0</v>
      </c>
    </row>
    <row r="46" spans="2:14" ht="14">
      <c r="B46" s="107" t="s">
        <v>272</v>
      </c>
      <c r="C46" s="352"/>
      <c r="D46" s="352"/>
      <c r="E46" s="352"/>
      <c r="F46" s="352"/>
      <c r="G46" s="352">
        <f>SUM(G44:G45)</f>
        <v>6909.7457545537109</v>
      </c>
      <c r="H46" s="352"/>
      <c r="I46" s="352"/>
      <c r="J46" s="352">
        <f ca="1">SUM(J44:J45)</f>
        <v>1443.5567387300475</v>
      </c>
      <c r="K46" s="352">
        <f>SUM(K44:K45)</f>
        <v>3554.9976804843377</v>
      </c>
      <c r="L46" s="352">
        <f>SUM(L44:L45)</f>
        <v>0</v>
      </c>
      <c r="M46" s="352">
        <f>SUM(M44:M45)</f>
        <v>0</v>
      </c>
      <c r="N46" s="352">
        <f ca="1">SUM(N44:N45)</f>
        <v>4998.5544192143852</v>
      </c>
    </row>
    <row r="49" spans="2:14" ht="14">
      <c r="B49" s="68" t="s">
        <v>992</v>
      </c>
    </row>
    <row r="50" spans="2:14" ht="14">
      <c r="B50" s="68"/>
      <c r="N50" s="115" t="s">
        <v>10</v>
      </c>
    </row>
    <row r="51" spans="2:14" ht="14">
      <c r="B51" s="1871" t="s">
        <v>279</v>
      </c>
      <c r="C51" s="1721" t="s">
        <v>295</v>
      </c>
      <c r="D51" s="1721"/>
      <c r="E51" s="1721"/>
      <c r="F51" s="1721"/>
      <c r="G51" s="1719" t="s">
        <v>296</v>
      </c>
      <c r="H51" s="1719"/>
      <c r="I51" s="1719"/>
      <c r="J51" s="1872" t="s">
        <v>297</v>
      </c>
      <c r="K51" s="1872"/>
      <c r="L51" s="1872"/>
      <c r="M51" s="1872"/>
      <c r="N51" s="1872"/>
    </row>
    <row r="52" spans="2:14" ht="70">
      <c r="B52" s="1871"/>
      <c r="C52" s="746" t="s">
        <v>348</v>
      </c>
      <c r="D52" s="746" t="s">
        <v>346</v>
      </c>
      <c r="E52" s="746" t="s">
        <v>709</v>
      </c>
      <c r="F52" s="746" t="s">
        <v>347</v>
      </c>
      <c r="G52" s="746" t="s">
        <v>298</v>
      </c>
      <c r="H52" s="746" t="s">
        <v>710</v>
      </c>
      <c r="I52" s="746" t="s">
        <v>299</v>
      </c>
      <c r="J52" s="746" t="s">
        <v>300</v>
      </c>
      <c r="K52" s="746" t="s">
        <v>301</v>
      </c>
      <c r="L52" s="746" t="s">
        <v>711</v>
      </c>
      <c r="M52" s="746" t="s">
        <v>712</v>
      </c>
      <c r="N52" s="747" t="s">
        <v>272</v>
      </c>
    </row>
    <row r="53" spans="2:14">
      <c r="B53" s="110"/>
      <c r="C53" s="111"/>
      <c r="D53" s="111"/>
      <c r="E53" s="111"/>
      <c r="F53" s="111"/>
      <c r="G53" s="111"/>
      <c r="H53" s="111"/>
      <c r="I53" s="111"/>
      <c r="J53" s="111"/>
      <c r="K53" s="111"/>
      <c r="L53" s="111"/>
      <c r="M53" s="111"/>
      <c r="N53" s="112"/>
    </row>
    <row r="54" spans="2:14" ht="14">
      <c r="B54" s="148" t="s">
        <v>748</v>
      </c>
      <c r="C54" s="331">
        <f ca="1">'F1'!W27-'F1'!W11</f>
        <v>1486.4784140830857</v>
      </c>
      <c r="D54" s="331">
        <f>'F2.2'!$W$157</f>
        <v>5.402148931526999</v>
      </c>
      <c r="E54" s="331"/>
      <c r="F54" s="113"/>
      <c r="G54" s="331">
        <f>'F2.2'!$W$37</f>
        <v>6909.7457545537109</v>
      </c>
      <c r="H54" s="455">
        <v>1</v>
      </c>
      <c r="I54" s="113"/>
      <c r="J54" s="331">
        <f ca="1">C54</f>
        <v>1486.4784140830857</v>
      </c>
      <c r="K54" s="331">
        <f>G54*D54/10</f>
        <v>3732.7475645085551</v>
      </c>
      <c r="L54" s="331"/>
      <c r="M54" s="331"/>
      <c r="N54" s="329">
        <f ca="1">SUM(J54:M54)</f>
        <v>5219.2259785916413</v>
      </c>
    </row>
    <row r="55" spans="2:14" ht="14">
      <c r="B55" s="107"/>
      <c r="C55" s="113"/>
      <c r="D55" s="113"/>
      <c r="E55" s="113"/>
      <c r="F55" s="113"/>
      <c r="G55" s="113"/>
      <c r="H55" s="113"/>
      <c r="I55" s="113"/>
      <c r="J55" s="113"/>
      <c r="K55" s="113"/>
      <c r="L55" s="113"/>
      <c r="M55" s="113"/>
      <c r="N55" s="329">
        <f>SUM(J55:M55)</f>
        <v>0</v>
      </c>
    </row>
    <row r="56" spans="2:14" ht="14">
      <c r="B56" s="107" t="s">
        <v>272</v>
      </c>
      <c r="C56" s="352"/>
      <c r="D56" s="352"/>
      <c r="E56" s="352"/>
      <c r="F56" s="352"/>
      <c r="G56" s="352">
        <f>SUM(G54:G55)</f>
        <v>6909.7457545537109</v>
      </c>
      <c r="H56" s="352"/>
      <c r="I56" s="352"/>
      <c r="J56" s="352">
        <f ca="1">SUM(J54:J55)</f>
        <v>1486.4784140830857</v>
      </c>
      <c r="K56" s="352">
        <f>SUM(K54:K55)</f>
        <v>3732.7475645085551</v>
      </c>
      <c r="L56" s="352">
        <f>SUM(L54:L55)</f>
        <v>0</v>
      </c>
      <c r="M56" s="352">
        <f>SUM(M54:M55)</f>
        <v>0</v>
      </c>
      <c r="N56" s="352">
        <f ca="1">SUM(N54:N55)</f>
        <v>5219.2259785916413</v>
      </c>
    </row>
  </sheetData>
  <mergeCells count="23">
    <mergeCell ref="B20:B21"/>
    <mergeCell ref="C20:F20"/>
    <mergeCell ref="G20:I20"/>
    <mergeCell ref="J20:N20"/>
    <mergeCell ref="B31:B32"/>
    <mergeCell ref="C31:F31"/>
    <mergeCell ref="G31:I31"/>
    <mergeCell ref="J31:N31"/>
    <mergeCell ref="B2:N2"/>
    <mergeCell ref="B3:N3"/>
    <mergeCell ref="B4:N4"/>
    <mergeCell ref="B9:B10"/>
    <mergeCell ref="C9:F9"/>
    <mergeCell ref="G9:I9"/>
    <mergeCell ref="J9:N9"/>
    <mergeCell ref="B41:B42"/>
    <mergeCell ref="C41:F41"/>
    <mergeCell ref="G41:I41"/>
    <mergeCell ref="J41:N41"/>
    <mergeCell ref="B51:B52"/>
    <mergeCell ref="C51:F51"/>
    <mergeCell ref="G51:I51"/>
    <mergeCell ref="J51:N51"/>
  </mergeCells>
  <pageMargins left="0.70866141732283472" right="0.70866141732283472" top="0.74803149606299213" bottom="0.74803149606299213" header="0.31496062992125984" footer="0.31496062992125984"/>
  <pageSetup paperSize="9" scale="4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B2:N51"/>
  <sheetViews>
    <sheetView showGridLines="0" view="pageBreakPreview" zoomScale="80" zoomScaleNormal="80" zoomScaleSheetLayoutView="80" workbookViewId="0">
      <selection activeCell="Q42" sqref="Q42"/>
    </sheetView>
  </sheetViews>
  <sheetFormatPr defaultColWidth="8.6328125" defaultRowHeight="14"/>
  <cols>
    <col min="1" max="1" width="8.6328125" style="239"/>
    <col min="2" max="2" width="13.453125" style="239" customWidth="1"/>
    <col min="3" max="11" width="12.36328125" style="239" customWidth="1"/>
    <col min="12" max="12" width="14.6328125" style="239" customWidth="1"/>
    <col min="13" max="14" width="12.36328125" style="239" customWidth="1"/>
    <col min="15" max="16384" width="8.6328125" style="239"/>
  </cols>
  <sheetData>
    <row r="2" spans="2:14">
      <c r="B2" s="1682" t="str">
        <f>Index!B2</f>
        <v xml:space="preserve">      Maharashtra State Power Generation Company Ltd.</v>
      </c>
      <c r="C2" s="1682"/>
      <c r="D2" s="1682"/>
      <c r="E2" s="1682"/>
      <c r="F2" s="1682"/>
      <c r="G2" s="1682"/>
      <c r="H2" s="1682"/>
      <c r="I2" s="1682"/>
      <c r="J2" s="1682"/>
      <c r="K2" s="1682"/>
      <c r="L2" s="1682"/>
      <c r="M2" s="1682"/>
      <c r="N2" s="1682"/>
    </row>
    <row r="3" spans="2:14">
      <c r="B3" s="1682" t="str">
        <f>Index!B3</f>
        <v>MYT Petition Formats for Bhusawal Units 4&amp;5</v>
      </c>
      <c r="C3" s="1682"/>
      <c r="D3" s="1682"/>
      <c r="E3" s="1682"/>
      <c r="F3" s="1682"/>
      <c r="G3" s="1682"/>
      <c r="H3" s="1682"/>
      <c r="I3" s="1682"/>
      <c r="J3" s="1682"/>
      <c r="K3" s="1682"/>
      <c r="L3" s="1682"/>
      <c r="M3" s="1682"/>
      <c r="N3" s="1682"/>
    </row>
    <row r="4" spans="2:14">
      <c r="B4" s="1874" t="s">
        <v>425</v>
      </c>
      <c r="C4" s="1874"/>
      <c r="D4" s="1874"/>
      <c r="E4" s="1874"/>
      <c r="F4" s="1874"/>
      <c r="G4" s="1874"/>
      <c r="H4" s="1874"/>
      <c r="I4" s="1874"/>
      <c r="J4" s="1874"/>
      <c r="K4" s="1874"/>
      <c r="L4" s="1874"/>
      <c r="M4" s="1874"/>
      <c r="N4" s="1874"/>
    </row>
    <row r="5" spans="2:14">
      <c r="B5" s="235"/>
      <c r="C5" s="235"/>
      <c r="D5" s="235"/>
      <c r="E5" s="235"/>
      <c r="F5" s="235"/>
      <c r="G5" s="235"/>
      <c r="H5" s="235"/>
      <c r="I5" s="235"/>
      <c r="J5" s="235"/>
      <c r="K5" s="235"/>
      <c r="L5" s="235"/>
      <c r="M5" s="235"/>
      <c r="N5" s="235"/>
    </row>
    <row r="6" spans="2:14">
      <c r="B6" s="68" t="s">
        <v>947</v>
      </c>
    </row>
    <row r="7" spans="2:14">
      <c r="B7" s="68"/>
      <c r="N7" s="44" t="s">
        <v>10</v>
      </c>
    </row>
    <row r="8" spans="2:14" s="245" customFormat="1" ht="35.75" customHeight="1">
      <c r="B8" s="1687" t="s">
        <v>279</v>
      </c>
      <c r="C8" s="1721" t="s">
        <v>295</v>
      </c>
      <c r="D8" s="1721"/>
      <c r="E8" s="1721"/>
      <c r="F8" s="1721"/>
      <c r="G8" s="1719" t="s">
        <v>296</v>
      </c>
      <c r="H8" s="1719"/>
      <c r="I8" s="1719"/>
      <c r="J8" s="1872" t="s">
        <v>297</v>
      </c>
      <c r="K8" s="1872"/>
      <c r="L8" s="1872"/>
      <c r="M8" s="1872"/>
      <c r="N8" s="1872"/>
    </row>
    <row r="9" spans="2:14" ht="72" customHeight="1">
      <c r="B9" s="1687"/>
      <c r="C9" s="302" t="s">
        <v>348</v>
      </c>
      <c r="D9" s="302" t="s">
        <v>346</v>
      </c>
      <c r="E9" s="302" t="s">
        <v>709</v>
      </c>
      <c r="F9" s="302" t="s">
        <v>347</v>
      </c>
      <c r="G9" s="302" t="s">
        <v>298</v>
      </c>
      <c r="H9" s="302" t="s">
        <v>710</v>
      </c>
      <c r="I9" s="302" t="s">
        <v>299</v>
      </c>
      <c r="J9" s="302" t="s">
        <v>300</v>
      </c>
      <c r="K9" s="302" t="s">
        <v>301</v>
      </c>
      <c r="L9" s="302" t="s">
        <v>711</v>
      </c>
      <c r="M9" s="302" t="s">
        <v>712</v>
      </c>
      <c r="N9" s="303" t="s">
        <v>272</v>
      </c>
    </row>
    <row r="10" spans="2:14">
      <c r="B10" s="241"/>
      <c r="C10" s="242"/>
      <c r="D10" s="242"/>
      <c r="E10" s="242"/>
      <c r="F10" s="242"/>
      <c r="G10" s="242"/>
      <c r="H10" s="242"/>
      <c r="I10" s="242"/>
      <c r="J10" s="242"/>
      <c r="K10" s="242"/>
      <c r="L10" s="242"/>
      <c r="M10" s="242"/>
      <c r="N10" s="243"/>
    </row>
    <row r="11" spans="2:14">
      <c r="B11" s="148" t="s">
        <v>748</v>
      </c>
      <c r="C11" s="590">
        <f ca="1">'F9.2'!C12</f>
        <v>1111.930630301712</v>
      </c>
      <c r="D11" s="590">
        <f>'F9.2'!D12</f>
        <v>4.3876318399505845</v>
      </c>
      <c r="E11" s="590">
        <f>'F9.2'!E12</f>
        <v>0</v>
      </c>
      <c r="F11" s="590">
        <f>'F9.2'!F12</f>
        <v>0</v>
      </c>
      <c r="G11" s="590">
        <f>'F9.2'!G12</f>
        <v>6998.8397713863424</v>
      </c>
      <c r="H11" s="590">
        <f>'F9.2'!H12</f>
        <v>1</v>
      </c>
      <c r="I11" s="590">
        <f>'F9.2'!I12</f>
        <v>0</v>
      </c>
      <c r="J11" s="590">
        <f ca="1">'F9.2'!J12</f>
        <v>1111.930630301712</v>
      </c>
      <c r="K11" s="590">
        <f>'F9.2'!K12</f>
        <v>3070.8332223647185</v>
      </c>
      <c r="L11" s="590">
        <f>'F9.2'!L12</f>
        <v>0</v>
      </c>
      <c r="M11" s="590">
        <f>'F9.2'!M12</f>
        <v>0</v>
      </c>
      <c r="N11" s="305">
        <f ca="1">SUM(J11:M11)</f>
        <v>4182.7638526664305</v>
      </c>
    </row>
    <row r="12" spans="2:14">
      <c r="B12" s="107"/>
      <c r="C12" s="24"/>
      <c r="D12" s="24"/>
      <c r="E12" s="24"/>
      <c r="F12" s="24"/>
      <c r="G12" s="24"/>
      <c r="H12" s="24"/>
      <c r="I12" s="24"/>
      <c r="J12" s="24"/>
      <c r="K12" s="24"/>
      <c r="L12" s="24"/>
      <c r="M12" s="24"/>
      <c r="N12" s="24"/>
    </row>
    <row r="13" spans="2:14">
      <c r="B13" s="244" t="s">
        <v>272</v>
      </c>
      <c r="C13" s="332"/>
      <c r="D13" s="332"/>
      <c r="E13" s="332"/>
      <c r="F13" s="332"/>
      <c r="G13" s="332">
        <f>SUM(G11:G12)</f>
        <v>6998.8397713863424</v>
      </c>
      <c r="H13" s="332"/>
      <c r="I13" s="332"/>
      <c r="J13" s="332">
        <f ca="1">SUM(J11:J12)</f>
        <v>1111.930630301712</v>
      </c>
      <c r="K13" s="332">
        <f>SUM(K11:K12)</f>
        <v>3070.8332223647185</v>
      </c>
      <c r="L13" s="332">
        <f>SUM(L11:L12)</f>
        <v>0</v>
      </c>
      <c r="M13" s="332">
        <f>SUM(M11:M12)</f>
        <v>0</v>
      </c>
      <c r="N13" s="332">
        <f ca="1">SUM(N11:N12)</f>
        <v>4182.7638526664305</v>
      </c>
    </row>
    <row r="17" spans="2:14">
      <c r="B17" s="68" t="s">
        <v>948</v>
      </c>
      <c r="N17" s="240"/>
    </row>
    <row r="18" spans="2:14">
      <c r="B18" s="68"/>
      <c r="N18" s="44" t="s">
        <v>10</v>
      </c>
    </row>
    <row r="19" spans="2:14" ht="32" customHeight="1">
      <c r="B19" s="1687" t="s">
        <v>279</v>
      </c>
      <c r="C19" s="1721" t="s">
        <v>295</v>
      </c>
      <c r="D19" s="1721"/>
      <c r="E19" s="1721"/>
      <c r="F19" s="1721"/>
      <c r="G19" s="1719" t="s">
        <v>296</v>
      </c>
      <c r="H19" s="1719"/>
      <c r="I19" s="1719"/>
      <c r="J19" s="1872" t="s">
        <v>297</v>
      </c>
      <c r="K19" s="1872"/>
      <c r="L19" s="1872"/>
      <c r="M19" s="1872"/>
      <c r="N19" s="1872"/>
    </row>
    <row r="20" spans="2:14" ht="68.25" customHeight="1">
      <c r="B20" s="1687"/>
      <c r="C20" s="302" t="s">
        <v>348</v>
      </c>
      <c r="D20" s="302" t="s">
        <v>346</v>
      </c>
      <c r="E20" s="302" t="s">
        <v>709</v>
      </c>
      <c r="F20" s="302" t="s">
        <v>347</v>
      </c>
      <c r="G20" s="302" t="s">
        <v>298</v>
      </c>
      <c r="H20" s="302" t="s">
        <v>710</v>
      </c>
      <c r="I20" s="302" t="s">
        <v>299</v>
      </c>
      <c r="J20" s="302" t="s">
        <v>300</v>
      </c>
      <c r="K20" s="302" t="s">
        <v>301</v>
      </c>
      <c r="L20" s="302" t="s">
        <v>711</v>
      </c>
      <c r="M20" s="302" t="s">
        <v>712</v>
      </c>
      <c r="N20" s="303" t="s">
        <v>272</v>
      </c>
    </row>
    <row r="21" spans="2:14">
      <c r="B21" s="241"/>
      <c r="C21" s="242"/>
      <c r="D21" s="242"/>
      <c r="E21" s="242"/>
      <c r="F21" s="242"/>
      <c r="G21" s="242"/>
      <c r="H21" s="242"/>
      <c r="I21" s="242"/>
      <c r="J21" s="242"/>
      <c r="K21" s="242"/>
      <c r="L21" s="242"/>
      <c r="M21" s="242"/>
      <c r="N21" s="243"/>
    </row>
    <row r="22" spans="2:14">
      <c r="B22" s="148" t="s">
        <v>748</v>
      </c>
      <c r="C22" s="305">
        <f ca="1">'F9.2'!C23</f>
        <v>944.97382223751947</v>
      </c>
      <c r="D22" s="305">
        <f>'F9.2'!D23</f>
        <v>4.6070095423016246</v>
      </c>
      <c r="E22" s="305">
        <f>'F9.2'!E23</f>
        <v>0</v>
      </c>
      <c r="F22" s="305">
        <f>'F9.2'!F23</f>
        <v>0</v>
      </c>
      <c r="G22" s="305">
        <f>'F9.2'!G23</f>
        <v>6998.9739419412272</v>
      </c>
      <c r="H22" s="591">
        <f>'F9.2'!H23</f>
        <v>1</v>
      </c>
      <c r="I22" s="305">
        <f>'F9.2'!I23</f>
        <v>0</v>
      </c>
      <c r="J22" s="305">
        <f ca="1">'F9.2'!J23</f>
        <v>944.97382223751947</v>
      </c>
      <c r="K22" s="305">
        <f>'F9.2'!K23</f>
        <v>3224.4339736843649</v>
      </c>
      <c r="L22" s="305">
        <f>'F9.2'!L23</f>
        <v>0</v>
      </c>
      <c r="M22" s="305">
        <f>'F9.2'!M23</f>
        <v>0</v>
      </c>
      <c r="N22" s="305">
        <f ca="1">SUM(J22:M22)</f>
        <v>4169.4077959218848</v>
      </c>
    </row>
    <row r="23" spans="2:14">
      <c r="B23" s="107"/>
      <c r="C23" s="24"/>
      <c r="D23" s="24"/>
      <c r="E23" s="24"/>
      <c r="F23" s="24"/>
      <c r="G23" s="24"/>
      <c r="H23" s="24"/>
      <c r="I23" s="24"/>
      <c r="J23" s="24"/>
      <c r="K23" s="24"/>
      <c r="L23" s="24"/>
      <c r="M23" s="24"/>
      <c r="N23" s="24"/>
    </row>
    <row r="24" spans="2:14">
      <c r="B24" s="244" t="s">
        <v>272</v>
      </c>
      <c r="C24" s="332"/>
      <c r="D24" s="332"/>
      <c r="E24" s="332"/>
      <c r="F24" s="332"/>
      <c r="G24" s="332">
        <f>SUM(G22:G23)</f>
        <v>6998.9739419412272</v>
      </c>
      <c r="H24" s="332"/>
      <c r="I24" s="332"/>
      <c r="J24" s="332">
        <f ca="1">SUM(J22:J23)</f>
        <v>944.97382223751947</v>
      </c>
      <c r="K24" s="332">
        <f>SUM(K22:K23)</f>
        <v>3224.4339736843649</v>
      </c>
      <c r="L24" s="332">
        <f>SUM(L22:L23)</f>
        <v>0</v>
      </c>
      <c r="M24" s="332">
        <f>SUM(M22:M23)</f>
        <v>0</v>
      </c>
      <c r="N24" s="332">
        <f ca="1">SUM(N22:N23)</f>
        <v>4169.4077959218848</v>
      </c>
    </row>
    <row r="26" spans="2:14">
      <c r="B26" s="68" t="s">
        <v>949</v>
      </c>
      <c r="N26" s="240"/>
    </row>
    <row r="27" spans="2:14">
      <c r="B27" s="68"/>
      <c r="N27" s="44" t="s">
        <v>10</v>
      </c>
    </row>
    <row r="28" spans="2:14">
      <c r="B28" s="1687" t="s">
        <v>279</v>
      </c>
      <c r="C28" s="1721" t="s">
        <v>295</v>
      </c>
      <c r="D28" s="1721"/>
      <c r="E28" s="1721"/>
      <c r="F28" s="1721"/>
      <c r="G28" s="1719" t="s">
        <v>296</v>
      </c>
      <c r="H28" s="1719"/>
      <c r="I28" s="1719"/>
      <c r="J28" s="1872" t="s">
        <v>297</v>
      </c>
      <c r="K28" s="1872"/>
      <c r="L28" s="1872"/>
      <c r="M28" s="1872"/>
      <c r="N28" s="1872"/>
    </row>
    <row r="29" spans="2:14" ht="70">
      <c r="B29" s="1687"/>
      <c r="C29" s="746" t="s">
        <v>348</v>
      </c>
      <c r="D29" s="746" t="s">
        <v>346</v>
      </c>
      <c r="E29" s="746" t="s">
        <v>709</v>
      </c>
      <c r="F29" s="746" t="s">
        <v>347</v>
      </c>
      <c r="G29" s="746" t="s">
        <v>298</v>
      </c>
      <c r="H29" s="746" t="s">
        <v>710</v>
      </c>
      <c r="I29" s="746" t="s">
        <v>299</v>
      </c>
      <c r="J29" s="746" t="s">
        <v>300</v>
      </c>
      <c r="K29" s="746" t="s">
        <v>301</v>
      </c>
      <c r="L29" s="746" t="s">
        <v>711</v>
      </c>
      <c r="M29" s="746" t="s">
        <v>712</v>
      </c>
      <c r="N29" s="747" t="s">
        <v>272</v>
      </c>
    </row>
    <row r="30" spans="2:14">
      <c r="B30" s="241"/>
      <c r="C30" s="242"/>
      <c r="D30" s="242"/>
      <c r="E30" s="242"/>
      <c r="F30" s="242"/>
      <c r="G30" s="242"/>
      <c r="H30" s="242"/>
      <c r="I30" s="242"/>
      <c r="J30" s="242"/>
      <c r="K30" s="242"/>
      <c r="L30" s="242"/>
      <c r="M30" s="242"/>
      <c r="N30" s="243"/>
    </row>
    <row r="31" spans="2:14">
      <c r="B31" s="148" t="s">
        <v>748</v>
      </c>
      <c r="C31" s="305">
        <f ca="1">'F9.2'!C34</f>
        <v>1398.265455159562</v>
      </c>
      <c r="D31" s="305">
        <f>'F9.2'!D34</f>
        <v>4.8999120886333039</v>
      </c>
      <c r="E31" s="305">
        <f>'F9.2'!E34</f>
        <v>0</v>
      </c>
      <c r="F31" s="305">
        <f>'F9.2'!F34</f>
        <v>0</v>
      </c>
      <c r="G31" s="305">
        <f>'F9.2'!G34</f>
        <v>6909.625338427084</v>
      </c>
      <c r="H31" s="591">
        <f>'F9.2'!H34</f>
        <v>1</v>
      </c>
      <c r="I31" s="305">
        <f>'F9.2'!I34</f>
        <v>0</v>
      </c>
      <c r="J31" s="305">
        <f ca="1">'F9.2'!J34</f>
        <v>1398.265455159562</v>
      </c>
      <c r="K31" s="305">
        <f>'F9.2'!K34</f>
        <v>3385.6556723685853</v>
      </c>
      <c r="L31" s="305">
        <f>'F9.2'!L34</f>
        <v>0</v>
      </c>
      <c r="M31" s="305">
        <f>'F9.2'!M34</f>
        <v>0</v>
      </c>
      <c r="N31" s="305">
        <f ca="1">SUM(J31:M31)</f>
        <v>4783.9211275281468</v>
      </c>
    </row>
    <row r="32" spans="2:14">
      <c r="B32" s="107"/>
      <c r="C32" s="24"/>
      <c r="D32" s="24"/>
      <c r="E32" s="24"/>
      <c r="F32" s="24"/>
      <c r="G32" s="24"/>
      <c r="H32" s="24"/>
      <c r="I32" s="24"/>
      <c r="J32" s="24"/>
      <c r="K32" s="24"/>
      <c r="L32" s="24"/>
      <c r="M32" s="24"/>
      <c r="N32" s="24"/>
    </row>
    <row r="33" spans="2:14">
      <c r="B33" s="244" t="s">
        <v>272</v>
      </c>
      <c r="C33" s="332"/>
      <c r="D33" s="332"/>
      <c r="E33" s="332"/>
      <c r="F33" s="332"/>
      <c r="G33" s="332">
        <f>SUM(G31:G32)</f>
        <v>6909.625338427084</v>
      </c>
      <c r="H33" s="332"/>
      <c r="I33" s="332"/>
      <c r="J33" s="332">
        <f ca="1">SUM(J31:J32)</f>
        <v>1398.265455159562</v>
      </c>
      <c r="K33" s="332">
        <f>SUM(K31:K32)</f>
        <v>3385.6556723685853</v>
      </c>
      <c r="L33" s="332">
        <f>SUM(L31:L32)</f>
        <v>0</v>
      </c>
      <c r="M33" s="332">
        <f>SUM(M31:M32)</f>
        <v>0</v>
      </c>
      <c r="N33" s="332">
        <f ca="1">SUM(N31:N32)</f>
        <v>4783.9211275281468</v>
      </c>
    </row>
    <row r="35" spans="2:14">
      <c r="B35" s="68" t="s">
        <v>950</v>
      </c>
      <c r="N35" s="240"/>
    </row>
    <row r="36" spans="2:14">
      <c r="B36" s="68"/>
      <c r="N36" s="44" t="s">
        <v>10</v>
      </c>
    </row>
    <row r="37" spans="2:14">
      <c r="B37" s="1687" t="s">
        <v>279</v>
      </c>
      <c r="C37" s="1721" t="s">
        <v>295</v>
      </c>
      <c r="D37" s="1721"/>
      <c r="E37" s="1721"/>
      <c r="F37" s="1721"/>
      <c r="G37" s="1719" t="s">
        <v>296</v>
      </c>
      <c r="H37" s="1719"/>
      <c r="I37" s="1719"/>
      <c r="J37" s="1872" t="s">
        <v>297</v>
      </c>
      <c r="K37" s="1872"/>
      <c r="L37" s="1872"/>
      <c r="M37" s="1872"/>
      <c r="N37" s="1872"/>
    </row>
    <row r="38" spans="2:14" ht="70">
      <c r="B38" s="1687"/>
      <c r="C38" s="746" t="s">
        <v>348</v>
      </c>
      <c r="D38" s="746" t="s">
        <v>346</v>
      </c>
      <c r="E38" s="746" t="s">
        <v>709</v>
      </c>
      <c r="F38" s="746" t="s">
        <v>347</v>
      </c>
      <c r="G38" s="746" t="s">
        <v>298</v>
      </c>
      <c r="H38" s="746" t="s">
        <v>710</v>
      </c>
      <c r="I38" s="746" t="s">
        <v>299</v>
      </c>
      <c r="J38" s="746" t="s">
        <v>300</v>
      </c>
      <c r="K38" s="746" t="s">
        <v>301</v>
      </c>
      <c r="L38" s="746" t="s">
        <v>711</v>
      </c>
      <c r="M38" s="746" t="s">
        <v>712</v>
      </c>
      <c r="N38" s="747" t="s">
        <v>272</v>
      </c>
    </row>
    <row r="39" spans="2:14">
      <c r="B39" s="241"/>
      <c r="C39" s="242"/>
      <c r="D39" s="242"/>
      <c r="E39" s="242"/>
      <c r="F39" s="242"/>
      <c r="G39" s="242"/>
      <c r="H39" s="242"/>
      <c r="I39" s="242"/>
      <c r="J39" s="242"/>
      <c r="K39" s="242"/>
      <c r="L39" s="242"/>
      <c r="M39" s="242"/>
      <c r="N39" s="243"/>
    </row>
    <row r="40" spans="2:14">
      <c r="B40" s="148" t="s">
        <v>748</v>
      </c>
      <c r="C40" s="305">
        <f ca="1">'F9.2'!C44</f>
        <v>1443.5567387300475</v>
      </c>
      <c r="D40" s="305">
        <f>'F9.2'!D44</f>
        <v>5.1449037443114278</v>
      </c>
      <c r="E40" s="305">
        <f>'F9.2'!E44</f>
        <v>0</v>
      </c>
      <c r="F40" s="305">
        <f>'F9.2'!F44</f>
        <v>0</v>
      </c>
      <c r="G40" s="305">
        <f>'F9.2'!G44</f>
        <v>6909.7457545537109</v>
      </c>
      <c r="H40" s="591">
        <f>'F9.2'!H44</f>
        <v>1</v>
      </c>
      <c r="I40" s="305">
        <f>'F9.2'!I44</f>
        <v>0</v>
      </c>
      <c r="J40" s="305">
        <f ca="1">'F9.2'!J44</f>
        <v>1443.5567387300475</v>
      </c>
      <c r="K40" s="305">
        <f>'F9.2'!K44</f>
        <v>3554.9976804843377</v>
      </c>
      <c r="L40" s="305">
        <f>'F9.2'!L44</f>
        <v>0</v>
      </c>
      <c r="M40" s="305">
        <f>'F9.2'!M44</f>
        <v>0</v>
      </c>
      <c r="N40" s="305">
        <f ca="1">SUM(J40:M40)</f>
        <v>4998.5544192143852</v>
      </c>
    </row>
    <row r="41" spans="2:14">
      <c r="B41" s="107"/>
      <c r="C41" s="24"/>
      <c r="D41" s="24"/>
      <c r="E41" s="24"/>
      <c r="F41" s="24"/>
      <c r="G41" s="24"/>
      <c r="H41" s="24"/>
      <c r="I41" s="24"/>
      <c r="J41" s="24"/>
      <c r="K41" s="24"/>
      <c r="L41" s="24"/>
      <c r="M41" s="24"/>
      <c r="N41" s="24"/>
    </row>
    <row r="42" spans="2:14">
      <c r="B42" s="244" t="s">
        <v>272</v>
      </c>
      <c r="C42" s="332"/>
      <c r="D42" s="332"/>
      <c r="E42" s="332"/>
      <c r="F42" s="332"/>
      <c r="G42" s="332">
        <f>SUM(G40:G41)</f>
        <v>6909.7457545537109</v>
      </c>
      <c r="H42" s="332"/>
      <c r="I42" s="332"/>
      <c r="J42" s="332">
        <f ca="1">SUM(J40:J41)</f>
        <v>1443.5567387300475</v>
      </c>
      <c r="K42" s="332">
        <f>SUM(K40:K41)</f>
        <v>3554.9976804843377</v>
      </c>
      <c r="L42" s="332">
        <f>SUM(L40:L41)</f>
        <v>0</v>
      </c>
      <c r="M42" s="332">
        <f>SUM(M40:M41)</f>
        <v>0</v>
      </c>
      <c r="N42" s="332">
        <f ca="1">SUM(N40:N41)</f>
        <v>4998.5544192143852</v>
      </c>
    </row>
    <row r="44" spans="2:14">
      <c r="B44" s="68" t="s">
        <v>951</v>
      </c>
      <c r="N44" s="240"/>
    </row>
    <row r="45" spans="2:14">
      <c r="B45" s="68"/>
      <c r="N45" s="44" t="s">
        <v>10</v>
      </c>
    </row>
    <row r="46" spans="2:14">
      <c r="B46" s="1687" t="s">
        <v>279</v>
      </c>
      <c r="C46" s="1721" t="s">
        <v>295</v>
      </c>
      <c r="D46" s="1721"/>
      <c r="E46" s="1721"/>
      <c r="F46" s="1721"/>
      <c r="G46" s="1719" t="s">
        <v>296</v>
      </c>
      <c r="H46" s="1719"/>
      <c r="I46" s="1719"/>
      <c r="J46" s="1872" t="s">
        <v>297</v>
      </c>
      <c r="K46" s="1872"/>
      <c r="L46" s="1872"/>
      <c r="M46" s="1872"/>
      <c r="N46" s="1872"/>
    </row>
    <row r="47" spans="2:14" ht="70">
      <c r="B47" s="1687"/>
      <c r="C47" s="746" t="s">
        <v>348</v>
      </c>
      <c r="D47" s="746" t="s">
        <v>346</v>
      </c>
      <c r="E47" s="746" t="s">
        <v>709</v>
      </c>
      <c r="F47" s="746" t="s">
        <v>347</v>
      </c>
      <c r="G47" s="746" t="s">
        <v>298</v>
      </c>
      <c r="H47" s="746" t="s">
        <v>710</v>
      </c>
      <c r="I47" s="746" t="s">
        <v>299</v>
      </c>
      <c r="J47" s="746" t="s">
        <v>300</v>
      </c>
      <c r="K47" s="746" t="s">
        <v>301</v>
      </c>
      <c r="L47" s="746" t="s">
        <v>711</v>
      </c>
      <c r="M47" s="746" t="s">
        <v>712</v>
      </c>
      <c r="N47" s="747" t="s">
        <v>272</v>
      </c>
    </row>
    <row r="48" spans="2:14">
      <c r="B48" s="241"/>
      <c r="C48" s="242"/>
      <c r="D48" s="242"/>
      <c r="E48" s="242"/>
      <c r="F48" s="242"/>
      <c r="G48" s="242"/>
      <c r="H48" s="242"/>
      <c r="I48" s="242"/>
      <c r="J48" s="242"/>
      <c r="K48" s="242"/>
      <c r="L48" s="242"/>
      <c r="M48" s="242"/>
      <c r="N48" s="243"/>
    </row>
    <row r="49" spans="2:14">
      <c r="B49" s="148" t="s">
        <v>748</v>
      </c>
      <c r="C49" s="305">
        <f ca="1">'F9.2'!C54</f>
        <v>1486.4784140830857</v>
      </c>
      <c r="D49" s="305">
        <f>'F9.2'!D54</f>
        <v>5.402148931526999</v>
      </c>
      <c r="E49" s="305">
        <f>'F9.2'!E54</f>
        <v>0</v>
      </c>
      <c r="F49" s="305">
        <f>'F9.2'!F54</f>
        <v>0</v>
      </c>
      <c r="G49" s="305">
        <f>'F9.2'!G54</f>
        <v>6909.7457545537109</v>
      </c>
      <c r="H49" s="591">
        <f>'F9.2'!H54</f>
        <v>1</v>
      </c>
      <c r="I49" s="305">
        <f>'F9.2'!I54</f>
        <v>0</v>
      </c>
      <c r="J49" s="305">
        <f ca="1">'F9.2'!J54</f>
        <v>1486.4784140830857</v>
      </c>
      <c r="K49" s="305">
        <f>'F9.2'!K54</f>
        <v>3732.7475645085551</v>
      </c>
      <c r="L49" s="305">
        <f>'F9.2'!L54</f>
        <v>0</v>
      </c>
      <c r="M49" s="305">
        <f>'F9.2'!M54</f>
        <v>0</v>
      </c>
      <c r="N49" s="305">
        <f ca="1">'F9.2'!N54</f>
        <v>5219.2259785916413</v>
      </c>
    </row>
    <row r="50" spans="2:14">
      <c r="B50" s="107"/>
      <c r="C50" s="24"/>
      <c r="D50" s="24"/>
      <c r="E50" s="24"/>
      <c r="F50" s="24"/>
      <c r="G50" s="24"/>
      <c r="H50" s="24"/>
      <c r="I50" s="24"/>
      <c r="J50" s="24"/>
      <c r="K50" s="24"/>
      <c r="L50" s="24"/>
      <c r="M50" s="24"/>
      <c r="N50" s="24"/>
    </row>
    <row r="51" spans="2:14">
      <c r="B51" s="244" t="s">
        <v>272</v>
      </c>
      <c r="C51" s="332"/>
      <c r="D51" s="332"/>
      <c r="E51" s="332"/>
      <c r="F51" s="332"/>
      <c r="G51" s="332">
        <f>SUM(G49:G50)</f>
        <v>6909.7457545537109</v>
      </c>
      <c r="H51" s="332"/>
      <c r="I51" s="332"/>
      <c r="J51" s="332">
        <f ca="1">SUM(J49:J50)</f>
        <v>1486.4784140830857</v>
      </c>
      <c r="K51" s="332">
        <f>SUM(K49:K50)</f>
        <v>3732.7475645085551</v>
      </c>
      <c r="L51" s="332">
        <f>SUM(L49:L50)</f>
        <v>0</v>
      </c>
      <c r="M51" s="332">
        <f>SUM(M49:M50)</f>
        <v>0</v>
      </c>
      <c r="N51" s="332">
        <f ca="1">SUM(N49:N50)</f>
        <v>5219.2259785916413</v>
      </c>
    </row>
  </sheetData>
  <mergeCells count="23">
    <mergeCell ref="B19:B20"/>
    <mergeCell ref="C19:F19"/>
    <mergeCell ref="G19:I19"/>
    <mergeCell ref="J19:N19"/>
    <mergeCell ref="B2:N2"/>
    <mergeCell ref="B3:N3"/>
    <mergeCell ref="B4:N4"/>
    <mergeCell ref="B8:B9"/>
    <mergeCell ref="C8:F8"/>
    <mergeCell ref="G8:I8"/>
    <mergeCell ref="J8:N8"/>
    <mergeCell ref="B46:B47"/>
    <mergeCell ref="C46:F46"/>
    <mergeCell ref="G46:I46"/>
    <mergeCell ref="J46:N46"/>
    <mergeCell ref="B28:B29"/>
    <mergeCell ref="C28:F28"/>
    <mergeCell ref="G28:I28"/>
    <mergeCell ref="J28:N28"/>
    <mergeCell ref="B37:B38"/>
    <mergeCell ref="C37:F37"/>
    <mergeCell ref="G37:I37"/>
    <mergeCell ref="J37:N37"/>
  </mergeCells>
  <pageMargins left="0.7" right="0.7" top="0.75" bottom="0.75" header="0.3" footer="0.3"/>
  <pageSetup paperSize="9" scale="4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2:X29"/>
  <sheetViews>
    <sheetView showGridLines="0" view="pageBreakPreview" zoomScale="60" zoomScaleNormal="75" workbookViewId="0">
      <selection activeCell="Q42" sqref="Q42"/>
    </sheetView>
  </sheetViews>
  <sheetFormatPr defaultColWidth="9.36328125" defaultRowHeight="14"/>
  <cols>
    <col min="1" max="2" width="6.36328125" style="14" customWidth="1"/>
    <col min="3" max="3" width="53.6328125" style="14" bestFit="1" customWidth="1"/>
    <col min="4" max="4" width="14.6328125" style="14" bestFit="1" customWidth="1"/>
    <col min="5" max="5" width="15.36328125" style="14" bestFit="1" customWidth="1"/>
    <col min="6" max="9" width="18.6328125" style="14" customWidth="1"/>
    <col min="10" max="10" width="14.6328125" style="14" bestFit="1" customWidth="1"/>
    <col min="11" max="11" width="14.453125" style="14" customWidth="1"/>
    <col min="12" max="12" width="17.36328125" style="14" customWidth="1"/>
    <col min="13" max="18" width="15.6328125" style="14" customWidth="1"/>
    <col min="19" max="23" width="18.54296875" style="14" customWidth="1"/>
    <col min="24" max="24" width="15.6328125" style="14" customWidth="1"/>
    <col min="25" max="16384" width="9.36328125" style="14"/>
  </cols>
  <sheetData>
    <row r="2" spans="2:24">
      <c r="C2" s="117"/>
      <c r="D2" s="117"/>
      <c r="E2" s="117"/>
      <c r="F2" s="117"/>
      <c r="G2" s="117"/>
      <c r="H2" s="117"/>
      <c r="I2" s="117"/>
      <c r="J2" s="117"/>
      <c r="K2" s="84" t="str">
        <f>Index!B2</f>
        <v xml:space="preserve">      Maharashtra State Power Generation Company Ltd.</v>
      </c>
      <c r="L2" s="210"/>
      <c r="M2" s="117"/>
      <c r="N2" s="117"/>
      <c r="O2" s="117"/>
      <c r="P2" s="117"/>
      <c r="Q2" s="117"/>
      <c r="R2" s="117"/>
      <c r="S2" s="117"/>
      <c r="T2" s="117"/>
      <c r="U2" s="117"/>
      <c r="V2" s="117"/>
      <c r="W2" s="117"/>
      <c r="X2" s="117"/>
    </row>
    <row r="3" spans="2:24" s="5" customFormat="1">
      <c r="C3" s="117"/>
      <c r="D3" s="117"/>
      <c r="E3" s="117"/>
      <c r="F3" s="117"/>
      <c r="G3" s="117"/>
      <c r="H3" s="117"/>
      <c r="I3" s="117"/>
      <c r="J3" s="117"/>
      <c r="K3" s="338" t="str">
        <f>Index!B3</f>
        <v>MYT Petition Formats for Bhusawal Units 4&amp;5</v>
      </c>
      <c r="L3" s="89"/>
      <c r="M3" s="117"/>
      <c r="N3" s="117"/>
      <c r="O3" s="117"/>
      <c r="P3" s="117"/>
      <c r="Q3" s="117"/>
      <c r="R3" s="117"/>
      <c r="S3" s="117"/>
      <c r="T3" s="117"/>
      <c r="U3" s="117"/>
      <c r="V3" s="117"/>
      <c r="W3" s="117"/>
      <c r="X3" s="117"/>
    </row>
    <row r="4" spans="2:24" s="5" customFormat="1">
      <c r="C4" s="117"/>
      <c r="D4" s="117"/>
      <c r="E4" s="117"/>
      <c r="F4" s="117"/>
      <c r="G4" s="117"/>
      <c r="H4" s="117"/>
      <c r="I4" s="117"/>
      <c r="J4" s="117"/>
      <c r="K4" s="85" t="s">
        <v>325</v>
      </c>
      <c r="L4" s="211"/>
      <c r="M4" s="117"/>
      <c r="N4" s="117"/>
      <c r="O4" s="117"/>
      <c r="P4" s="117"/>
      <c r="Q4" s="117"/>
      <c r="R4" s="117"/>
      <c r="S4" s="117"/>
      <c r="T4" s="117"/>
      <c r="U4" s="117"/>
      <c r="V4" s="117"/>
      <c r="W4" s="117"/>
      <c r="X4" s="117"/>
    </row>
    <row r="6" spans="2:24">
      <c r="S6" s="22" t="s">
        <v>10</v>
      </c>
    </row>
    <row r="7" spans="2:24" ht="15" customHeight="1">
      <c r="B7" s="1676" t="s">
        <v>341</v>
      </c>
      <c r="C7" s="1676" t="s">
        <v>37</v>
      </c>
      <c r="D7" s="1678" t="s">
        <v>509</v>
      </c>
      <c r="E7" s="1679"/>
      <c r="F7" s="1680"/>
      <c r="G7" s="1678" t="s">
        <v>510</v>
      </c>
      <c r="H7" s="1679"/>
      <c r="I7" s="1680"/>
      <c r="J7" s="1678" t="s">
        <v>511</v>
      </c>
      <c r="K7" s="1679"/>
      <c r="L7" s="1679"/>
      <c r="M7" s="1679"/>
      <c r="N7" s="1680"/>
      <c r="O7" s="1681" t="s">
        <v>946</v>
      </c>
      <c r="P7" s="1681"/>
      <c r="Q7" s="1681"/>
      <c r="R7" s="1681"/>
      <c r="S7" s="1681"/>
      <c r="T7" s="1676" t="s">
        <v>27</v>
      </c>
    </row>
    <row r="8" spans="2:24" ht="43.5" customHeight="1">
      <c r="B8" s="1720"/>
      <c r="C8" s="1720"/>
      <c r="D8" s="288" t="s">
        <v>945</v>
      </c>
      <c r="E8" s="289" t="s">
        <v>79</v>
      </c>
      <c r="F8" s="289" t="s">
        <v>452</v>
      </c>
      <c r="G8" s="288" t="s">
        <v>945</v>
      </c>
      <c r="H8" s="289" t="s">
        <v>79</v>
      </c>
      <c r="I8" s="289" t="s">
        <v>452</v>
      </c>
      <c r="J8" s="289" t="s">
        <v>945</v>
      </c>
      <c r="K8" s="289" t="s">
        <v>445</v>
      </c>
      <c r="L8" s="289" t="s">
        <v>449</v>
      </c>
      <c r="M8" s="289" t="s">
        <v>80</v>
      </c>
      <c r="N8" s="289" t="s">
        <v>453</v>
      </c>
      <c r="O8" s="702" t="s">
        <v>947</v>
      </c>
      <c r="P8" s="702" t="s">
        <v>948</v>
      </c>
      <c r="Q8" s="702" t="s">
        <v>949</v>
      </c>
      <c r="R8" s="702" t="s">
        <v>950</v>
      </c>
      <c r="S8" s="702" t="s">
        <v>951</v>
      </c>
      <c r="T8" s="1676"/>
    </row>
    <row r="9" spans="2:24" ht="19.5" customHeight="1">
      <c r="B9" s="1720"/>
      <c r="C9" s="1720"/>
      <c r="D9" s="289" t="s">
        <v>81</v>
      </c>
      <c r="E9" s="289" t="s">
        <v>82</v>
      </c>
      <c r="F9" s="289" t="s">
        <v>644</v>
      </c>
      <c r="G9" s="289" t="s">
        <v>392</v>
      </c>
      <c r="H9" s="289" t="s">
        <v>410</v>
      </c>
      <c r="I9" s="289" t="s">
        <v>457</v>
      </c>
      <c r="J9" s="289" t="s">
        <v>411</v>
      </c>
      <c r="K9" s="289" t="s">
        <v>412</v>
      </c>
      <c r="L9" s="289" t="s">
        <v>557</v>
      </c>
      <c r="M9" s="289" t="s">
        <v>645</v>
      </c>
      <c r="N9" s="289" t="s">
        <v>963</v>
      </c>
      <c r="O9" s="692" t="s">
        <v>21</v>
      </c>
      <c r="P9" s="692" t="s">
        <v>21</v>
      </c>
      <c r="Q9" s="692" t="s">
        <v>21</v>
      </c>
      <c r="R9" s="692" t="s">
        <v>21</v>
      </c>
      <c r="S9" s="692" t="s">
        <v>21</v>
      </c>
      <c r="T9" s="1677"/>
    </row>
    <row r="10" spans="2:24" s="314" customFormat="1">
      <c r="B10" s="241"/>
      <c r="C10" s="830"/>
      <c r="D10" s="120"/>
      <c r="E10" s="120"/>
      <c r="F10" s="120"/>
      <c r="G10" s="120"/>
      <c r="H10" s="120"/>
      <c r="I10" s="120"/>
      <c r="J10" s="119"/>
      <c r="K10" s="120"/>
      <c r="L10" s="120"/>
      <c r="M10" s="119"/>
      <c r="N10" s="119"/>
      <c r="O10" s="119"/>
      <c r="P10" s="119"/>
      <c r="Q10" s="119"/>
      <c r="R10" s="119"/>
      <c r="S10" s="119"/>
      <c r="T10" s="119"/>
    </row>
    <row r="11" spans="2:24" s="314" customFormat="1">
      <c r="B11" s="241">
        <v>1</v>
      </c>
      <c r="C11" s="828" t="s">
        <v>1024</v>
      </c>
      <c r="D11" s="829"/>
      <c r="E11" s="359">
        <v>0</v>
      </c>
      <c r="F11" s="326">
        <f>E11-D11</f>
        <v>0</v>
      </c>
      <c r="G11" s="359"/>
      <c r="H11" s="359">
        <v>0</v>
      </c>
      <c r="I11" s="326">
        <f>H11-G11</f>
        <v>0</v>
      </c>
      <c r="J11" s="318"/>
      <c r="K11" s="359">
        <v>0</v>
      </c>
      <c r="L11" s="359">
        <v>0</v>
      </c>
      <c r="M11" s="318">
        <f>K11+L11</f>
        <v>0</v>
      </c>
      <c r="N11" s="318">
        <f>M11-J11</f>
        <v>0</v>
      </c>
      <c r="O11" s="318"/>
      <c r="P11" s="318"/>
      <c r="Q11" s="318"/>
      <c r="R11" s="318"/>
      <c r="S11" s="318"/>
      <c r="T11" s="318"/>
    </row>
    <row r="12" spans="2:24" s="314" customFormat="1">
      <c r="B12" s="450">
        <v>2</v>
      </c>
      <c r="C12" s="827" t="s">
        <v>1025</v>
      </c>
      <c r="D12" s="359"/>
      <c r="E12" s="359">
        <v>0</v>
      </c>
      <c r="F12" s="326">
        <f t="shared" ref="F12:F26" si="0">E12-D12</f>
        <v>0</v>
      </c>
      <c r="G12" s="359"/>
      <c r="H12" s="359">
        <v>0.12409132952507201</v>
      </c>
      <c r="I12" s="326">
        <f t="shared" ref="I12:I26" si="1">H12-G12</f>
        <v>0.12409132952507201</v>
      </c>
      <c r="J12" s="318"/>
      <c r="K12" s="359">
        <v>3.3149307999023221E-2</v>
      </c>
      <c r="L12" s="359">
        <v>3.3149307999023221E-2</v>
      </c>
      <c r="M12" s="318">
        <f>K12+L12</f>
        <v>6.6298615998046442E-2</v>
      </c>
      <c r="N12" s="318">
        <f>M12-J12</f>
        <v>6.6298615998046442E-2</v>
      </c>
      <c r="O12" s="318"/>
      <c r="P12" s="318"/>
      <c r="Q12" s="318"/>
      <c r="R12" s="318"/>
      <c r="S12" s="318"/>
      <c r="T12" s="318"/>
    </row>
    <row r="13" spans="2:24" s="314" customFormat="1">
      <c r="B13" s="450">
        <v>3</v>
      </c>
      <c r="C13" s="827" t="s">
        <v>1026</v>
      </c>
      <c r="D13" s="359"/>
      <c r="E13" s="359">
        <v>0</v>
      </c>
      <c r="F13" s="326">
        <f t="shared" si="0"/>
        <v>0</v>
      </c>
      <c r="G13" s="359"/>
      <c r="H13" s="359">
        <v>0</v>
      </c>
      <c r="I13" s="326">
        <f t="shared" si="1"/>
        <v>0</v>
      </c>
      <c r="J13" s="318"/>
      <c r="K13" s="359">
        <v>0</v>
      </c>
      <c r="L13" s="359">
        <v>0</v>
      </c>
      <c r="M13" s="318">
        <f>K13+L13</f>
        <v>0</v>
      </c>
      <c r="N13" s="318">
        <f>M13-J13</f>
        <v>0</v>
      </c>
      <c r="O13" s="318"/>
      <c r="P13" s="318"/>
      <c r="Q13" s="318"/>
      <c r="R13" s="318"/>
      <c r="S13" s="318"/>
      <c r="T13" s="318"/>
    </row>
    <row r="14" spans="2:24" s="314" customFormat="1">
      <c r="B14" s="450">
        <v>4</v>
      </c>
      <c r="C14" s="827" t="s">
        <v>723</v>
      </c>
      <c r="D14" s="359"/>
      <c r="E14" s="359">
        <v>12.507619601219481</v>
      </c>
      <c r="F14" s="710"/>
      <c r="G14" s="359"/>
      <c r="H14" s="359">
        <v>17.4109706483335</v>
      </c>
      <c r="I14" s="710"/>
      <c r="J14" s="318"/>
      <c r="K14" s="359">
        <v>6.86623204099243</v>
      </c>
      <c r="L14" s="359">
        <v>6.86623204099243</v>
      </c>
      <c r="M14" s="318">
        <f>K14+L14</f>
        <v>13.73246408198486</v>
      </c>
      <c r="N14" s="318">
        <f>M14-J14</f>
        <v>13.73246408198486</v>
      </c>
      <c r="O14" s="712"/>
      <c r="P14" s="712"/>
      <c r="Q14" s="712"/>
      <c r="R14" s="712"/>
      <c r="S14" s="712"/>
      <c r="T14" s="318"/>
    </row>
    <row r="15" spans="2:24" s="314" customFormat="1">
      <c r="B15" s="450">
        <v>5</v>
      </c>
      <c r="C15" s="827" t="s">
        <v>728</v>
      </c>
      <c r="D15" s="359"/>
      <c r="E15" s="359">
        <v>0</v>
      </c>
      <c r="F15" s="710"/>
      <c r="G15" s="359"/>
      <c r="H15" s="359">
        <v>0</v>
      </c>
      <c r="I15" s="710"/>
      <c r="J15" s="318"/>
      <c r="K15" s="359">
        <v>0</v>
      </c>
      <c r="L15" s="359">
        <v>0</v>
      </c>
      <c r="M15" s="318">
        <f>K15+L15</f>
        <v>0</v>
      </c>
      <c r="N15" s="318">
        <f>M15-J15</f>
        <v>0</v>
      </c>
      <c r="O15" s="712"/>
      <c r="P15" s="712"/>
      <c r="Q15" s="712"/>
      <c r="R15" s="712"/>
      <c r="S15" s="712"/>
      <c r="T15" s="318"/>
    </row>
    <row r="16" spans="2:24" s="314" customFormat="1">
      <c r="B16" s="450">
        <v>6</v>
      </c>
      <c r="C16" s="827" t="s">
        <v>724</v>
      </c>
      <c r="D16" s="359"/>
      <c r="E16" s="359">
        <v>0</v>
      </c>
      <c r="F16" s="710"/>
      <c r="G16" s="359"/>
      <c r="H16" s="359">
        <v>0</v>
      </c>
      <c r="I16" s="710"/>
      <c r="J16" s="318"/>
      <c r="K16" s="359">
        <v>0</v>
      </c>
      <c r="L16" s="359">
        <v>0</v>
      </c>
      <c r="M16" s="318"/>
      <c r="N16" s="318"/>
      <c r="O16" s="712"/>
      <c r="P16" s="712"/>
      <c r="Q16" s="712"/>
      <c r="R16" s="712"/>
      <c r="S16" s="712"/>
      <c r="T16" s="318"/>
    </row>
    <row r="17" spans="2:20" s="314" customFormat="1">
      <c r="B17" s="450">
        <v>7</v>
      </c>
      <c r="C17" s="827" t="s">
        <v>725</v>
      </c>
      <c r="D17" s="359"/>
      <c r="E17" s="359">
        <v>0</v>
      </c>
      <c r="F17" s="710"/>
      <c r="G17" s="359"/>
      <c r="H17" s="359">
        <v>0</v>
      </c>
      <c r="I17" s="710"/>
      <c r="J17" s="318"/>
      <c r="K17" s="359">
        <v>0</v>
      </c>
      <c r="L17" s="359">
        <v>0</v>
      </c>
      <c r="M17" s="318"/>
      <c r="N17" s="318"/>
      <c r="O17" s="712"/>
      <c r="P17" s="712"/>
      <c r="Q17" s="712"/>
      <c r="R17" s="712"/>
      <c r="S17" s="712"/>
      <c r="T17" s="318"/>
    </row>
    <row r="18" spans="2:20" s="314" customFormat="1">
      <c r="B18" s="450">
        <v>8</v>
      </c>
      <c r="C18" s="827" t="s">
        <v>1021</v>
      </c>
      <c r="D18" s="451"/>
      <c r="E18" s="359">
        <v>1.7062354196961369</v>
      </c>
      <c r="F18" s="710"/>
      <c r="G18" s="359"/>
      <c r="H18" s="359">
        <v>1.33178210912353</v>
      </c>
      <c r="I18" s="710"/>
      <c r="J18" s="318"/>
      <c r="K18" s="359">
        <v>0</v>
      </c>
      <c r="L18" s="359">
        <v>0</v>
      </c>
      <c r="M18" s="318">
        <f t="shared" ref="M18:M26" si="2">K18+L18</f>
        <v>0</v>
      </c>
      <c r="N18" s="318">
        <f t="shared" ref="N18:N26" si="3">M18-J18</f>
        <v>0</v>
      </c>
      <c r="O18" s="712"/>
      <c r="P18" s="712"/>
      <c r="Q18" s="712"/>
      <c r="R18" s="712"/>
      <c r="S18" s="712"/>
      <c r="T18" s="318"/>
    </row>
    <row r="19" spans="2:20" s="314" customFormat="1">
      <c r="B19" s="450">
        <v>9</v>
      </c>
      <c r="C19" s="827" t="s">
        <v>726</v>
      </c>
      <c r="D19" s="451"/>
      <c r="E19" s="359">
        <v>0</v>
      </c>
      <c r="F19" s="710"/>
      <c r="G19" s="359"/>
      <c r="H19" s="359">
        <v>0</v>
      </c>
      <c r="I19" s="710"/>
      <c r="J19" s="318"/>
      <c r="K19" s="359">
        <v>1.4986380643327035E-3</v>
      </c>
      <c r="L19" s="359">
        <v>1.4986380643327035E-3</v>
      </c>
      <c r="M19" s="318">
        <f t="shared" si="2"/>
        <v>2.997276128665407E-3</v>
      </c>
      <c r="N19" s="318">
        <f t="shared" si="3"/>
        <v>2.997276128665407E-3</v>
      </c>
      <c r="O19" s="712"/>
      <c r="P19" s="712"/>
      <c r="Q19" s="712"/>
      <c r="R19" s="712"/>
      <c r="S19" s="712"/>
      <c r="T19" s="318"/>
    </row>
    <row r="20" spans="2:20" s="314" customFormat="1">
      <c r="B20" s="450">
        <v>10</v>
      </c>
      <c r="C20" s="827" t="s">
        <v>727</v>
      </c>
      <c r="D20" s="451"/>
      <c r="E20" s="451">
        <v>18.070562736124867</v>
      </c>
      <c r="F20" s="710"/>
      <c r="G20" s="451"/>
      <c r="H20" s="451">
        <v>20.051829502640597</v>
      </c>
      <c r="I20" s="710"/>
      <c r="J20" s="318"/>
      <c r="K20" s="451">
        <v>8.3915778589704715</v>
      </c>
      <c r="L20" s="451">
        <v>8.3915778589704715</v>
      </c>
      <c r="M20" s="318">
        <f t="shared" si="2"/>
        <v>16.783155717940943</v>
      </c>
      <c r="N20" s="318">
        <f t="shared" si="3"/>
        <v>16.783155717940943</v>
      </c>
      <c r="O20" s="712"/>
      <c r="P20" s="712"/>
      <c r="Q20" s="712"/>
      <c r="R20" s="712"/>
      <c r="S20" s="712"/>
      <c r="T20" s="318"/>
    </row>
    <row r="21" spans="2:20" s="314" customFormat="1">
      <c r="B21" s="450">
        <v>11</v>
      </c>
      <c r="C21" s="827" t="s">
        <v>1027</v>
      </c>
      <c r="D21" s="451"/>
      <c r="E21" s="359">
        <v>0</v>
      </c>
      <c r="F21" s="710">
        <f t="shared" si="0"/>
        <v>0</v>
      </c>
      <c r="G21" s="359"/>
      <c r="H21" s="359">
        <v>0</v>
      </c>
      <c r="I21" s="710">
        <f t="shared" si="1"/>
        <v>0</v>
      </c>
      <c r="J21" s="318"/>
      <c r="K21" s="359">
        <v>0</v>
      </c>
      <c r="L21" s="359">
        <v>0</v>
      </c>
      <c r="M21" s="318">
        <f t="shared" si="2"/>
        <v>0</v>
      </c>
      <c r="N21" s="318">
        <f t="shared" si="3"/>
        <v>0</v>
      </c>
      <c r="O21" s="712"/>
      <c r="P21" s="712"/>
      <c r="Q21" s="712"/>
      <c r="R21" s="712"/>
      <c r="S21" s="712"/>
      <c r="T21" s="318"/>
    </row>
    <row r="22" spans="2:20" s="314" customFormat="1">
      <c r="B22" s="450">
        <v>12</v>
      </c>
      <c r="C22" s="827" t="s">
        <v>731</v>
      </c>
      <c r="D22" s="451"/>
      <c r="E22" s="359">
        <v>0</v>
      </c>
      <c r="F22" s="710">
        <f t="shared" si="0"/>
        <v>0</v>
      </c>
      <c r="G22" s="359"/>
      <c r="H22" s="359">
        <v>0</v>
      </c>
      <c r="I22" s="710">
        <f t="shared" si="1"/>
        <v>0</v>
      </c>
      <c r="J22" s="318"/>
      <c r="K22" s="359">
        <v>0</v>
      </c>
      <c r="L22" s="359">
        <v>0</v>
      </c>
      <c r="M22" s="318">
        <f t="shared" si="2"/>
        <v>0</v>
      </c>
      <c r="N22" s="318">
        <f t="shared" si="3"/>
        <v>0</v>
      </c>
      <c r="O22" s="712"/>
      <c r="P22" s="712"/>
      <c r="Q22" s="712"/>
      <c r="R22" s="712"/>
      <c r="S22" s="712"/>
      <c r="T22" s="318"/>
    </row>
    <row r="23" spans="2:20" s="314" customFormat="1">
      <c r="B23" s="450">
        <v>13</v>
      </c>
      <c r="C23" s="827" t="s">
        <v>732</v>
      </c>
      <c r="D23" s="359"/>
      <c r="E23" s="359">
        <v>1.2897526352645321E-4</v>
      </c>
      <c r="F23" s="710">
        <f t="shared" si="0"/>
        <v>1.2897526352645321E-4</v>
      </c>
      <c r="G23" s="359"/>
      <c r="H23" s="359">
        <v>0</v>
      </c>
      <c r="I23" s="710">
        <f t="shared" si="1"/>
        <v>0</v>
      </c>
      <c r="J23" s="318"/>
      <c r="K23" s="359">
        <v>0</v>
      </c>
      <c r="L23" s="359">
        <v>0</v>
      </c>
      <c r="M23" s="318">
        <f t="shared" si="2"/>
        <v>0</v>
      </c>
      <c r="N23" s="318">
        <f t="shared" si="3"/>
        <v>0</v>
      </c>
      <c r="O23" s="712"/>
      <c r="P23" s="712"/>
      <c r="Q23" s="712"/>
      <c r="R23" s="712"/>
      <c r="S23" s="712"/>
      <c r="T23" s="318"/>
    </row>
    <row r="24" spans="2:20" s="314" customFormat="1">
      <c r="B24" s="450">
        <v>14</v>
      </c>
      <c r="C24" s="827" t="s">
        <v>733</v>
      </c>
      <c r="D24" s="359"/>
      <c r="E24" s="359">
        <v>0</v>
      </c>
      <c r="F24" s="710"/>
      <c r="G24" s="359"/>
      <c r="H24" s="359">
        <v>0</v>
      </c>
      <c r="I24" s="710"/>
      <c r="J24" s="318"/>
      <c r="K24" s="359">
        <v>0</v>
      </c>
      <c r="L24" s="359">
        <v>0</v>
      </c>
      <c r="M24" s="318"/>
      <c r="N24" s="318"/>
      <c r="O24" s="712"/>
      <c r="P24" s="712"/>
      <c r="Q24" s="712"/>
      <c r="R24" s="712"/>
      <c r="S24" s="712"/>
      <c r="T24" s="318"/>
    </row>
    <row r="25" spans="2:20" s="314" customFormat="1">
      <c r="B25" s="450">
        <v>15</v>
      </c>
      <c r="C25" s="828" t="s">
        <v>1028</v>
      </c>
      <c r="D25" s="359"/>
      <c r="E25" s="359">
        <v>0</v>
      </c>
      <c r="F25" s="710"/>
      <c r="G25" s="359"/>
      <c r="H25" s="359">
        <v>0</v>
      </c>
      <c r="I25" s="710"/>
      <c r="J25" s="318"/>
      <c r="K25" s="359">
        <v>0</v>
      </c>
      <c r="L25" s="359">
        <v>0</v>
      </c>
      <c r="M25" s="318"/>
      <c r="N25" s="318"/>
      <c r="O25" s="712"/>
      <c r="P25" s="712"/>
      <c r="Q25" s="712"/>
      <c r="R25" s="712"/>
      <c r="S25" s="712"/>
      <c r="T25" s="318"/>
    </row>
    <row r="26" spans="2:20" s="314" customFormat="1">
      <c r="B26" s="450">
        <v>16</v>
      </c>
      <c r="C26" s="828" t="s">
        <v>1020</v>
      </c>
      <c r="D26" s="359"/>
      <c r="E26" s="359">
        <v>2.8354618039782862</v>
      </c>
      <c r="F26" s="326">
        <f t="shared" si="0"/>
        <v>2.8354618039782862</v>
      </c>
      <c r="G26" s="359"/>
      <c r="H26" s="359">
        <v>0.88835689149975106</v>
      </c>
      <c r="I26" s="326">
        <f t="shared" si="1"/>
        <v>0.88835689149975106</v>
      </c>
      <c r="J26" s="318"/>
      <c r="K26" s="359">
        <v>0.27378772746273999</v>
      </c>
      <c r="L26" s="359">
        <v>0.27378772746273999</v>
      </c>
      <c r="M26" s="318">
        <f t="shared" si="2"/>
        <v>0.54757545492547999</v>
      </c>
      <c r="N26" s="318">
        <f t="shared" si="3"/>
        <v>0.54757545492547999</v>
      </c>
      <c r="O26" s="318"/>
      <c r="P26" s="318"/>
      <c r="Q26" s="318"/>
      <c r="R26" s="318"/>
      <c r="S26" s="318"/>
      <c r="T26" s="318"/>
    </row>
    <row r="27" spans="2:20" s="589" customFormat="1">
      <c r="B27" s="500"/>
      <c r="C27" s="501" t="s">
        <v>3</v>
      </c>
      <c r="D27" s="451">
        <v>31.454819047390089</v>
      </c>
      <c r="E27" s="451">
        <f>SUM(E11:E26)</f>
        <v>35.120008536282299</v>
      </c>
      <c r="F27" s="451">
        <f>SUM(F11:F26)</f>
        <v>2.8355907792418127</v>
      </c>
      <c r="G27" s="859">
        <v>31.454819047390089</v>
      </c>
      <c r="H27" s="859">
        <f>SUM(H10:H26)-H13</f>
        <v>39.807030481122453</v>
      </c>
      <c r="I27" s="859">
        <f t="shared" ref="I27" si="4">SUM(I11:I26)</f>
        <v>1.0124482210248231</v>
      </c>
      <c r="J27" s="859">
        <v>31.454819047390089</v>
      </c>
      <c r="K27" s="451">
        <f t="shared" ref="K27:N27" si="5">SUM(K11:K26)</f>
        <v>15.566245573488997</v>
      </c>
      <c r="L27" s="451">
        <f>SUM(L10:L26)-L13</f>
        <v>15.566245573488997</v>
      </c>
      <c r="M27" s="451">
        <f t="shared" si="5"/>
        <v>31.132491146977994</v>
      </c>
      <c r="N27" s="451">
        <f t="shared" si="5"/>
        <v>31.132491146977994</v>
      </c>
      <c r="O27" s="859">
        <v>39.807030481122453</v>
      </c>
      <c r="P27" s="859">
        <v>39.807030481122453</v>
      </c>
      <c r="Q27" s="859">
        <v>39.807030481122453</v>
      </c>
      <c r="R27" s="859">
        <v>39.807030481122453</v>
      </c>
      <c r="S27" s="859">
        <v>39.807030481122453</v>
      </c>
      <c r="T27" s="360"/>
    </row>
    <row r="29" spans="2:20">
      <c r="B29" s="14" t="s">
        <v>955</v>
      </c>
    </row>
  </sheetData>
  <mergeCells count="7">
    <mergeCell ref="T7:T9"/>
    <mergeCell ref="B7:B9"/>
    <mergeCell ref="C7:C9"/>
    <mergeCell ref="J7:N7"/>
    <mergeCell ref="D7:F7"/>
    <mergeCell ref="G7:I7"/>
    <mergeCell ref="O7:S7"/>
  </mergeCells>
  <pageMargins left="1.02" right="0.25" top="1" bottom="1" header="0.25" footer="0.25"/>
  <pageSetup paperSize="9" scale="39" orientation="landscape" r:id="rId1"/>
  <headerFooter alignWithMargins="0">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1:T28"/>
  <sheetViews>
    <sheetView showGridLines="0" zoomScale="75" zoomScaleNormal="75" zoomScaleSheetLayoutView="80" workbookViewId="0">
      <pane xSplit="3" ySplit="9" topLeftCell="E20" activePane="bottomRight" state="frozen"/>
      <selection activeCell="Q42" sqref="Q42"/>
      <selection pane="topRight" activeCell="Q42" sqref="Q42"/>
      <selection pane="bottomLeft" activeCell="Q42" sqref="Q42"/>
      <selection pane="bottomRight" activeCell="Q42" sqref="Q42"/>
    </sheetView>
  </sheetViews>
  <sheetFormatPr defaultColWidth="9.36328125" defaultRowHeight="14"/>
  <cols>
    <col min="1" max="1" width="4.36328125" style="5" customWidth="1"/>
    <col min="2" max="2" width="6.36328125" style="5" customWidth="1"/>
    <col min="3" max="3" width="61.6328125" style="5" customWidth="1"/>
    <col min="4" max="9" width="14.36328125" style="5" customWidth="1"/>
    <col min="10" max="10" width="16.453125" style="5" customWidth="1"/>
    <col min="11" max="20" width="15.6328125" style="5" customWidth="1"/>
    <col min="21" max="16384" width="9.36328125" style="5"/>
  </cols>
  <sheetData>
    <row r="1" spans="2:20">
      <c r="B1" s="53"/>
    </row>
    <row r="2" spans="2:20">
      <c r="B2" s="1683" t="str">
        <f>Index!B2</f>
        <v xml:space="preserve">      Maharashtra State Power Generation Company Ltd.</v>
      </c>
      <c r="C2" s="1875"/>
      <c r="D2" s="1875"/>
      <c r="E2" s="1875"/>
      <c r="F2" s="1875"/>
      <c r="G2" s="1875"/>
      <c r="H2" s="1875"/>
      <c r="I2" s="1875"/>
      <c r="J2" s="1875"/>
      <c r="K2" s="1875"/>
      <c r="L2" s="1875"/>
      <c r="M2" s="1875"/>
      <c r="N2" s="1875"/>
      <c r="O2" s="1875"/>
      <c r="P2" s="1875"/>
      <c r="Q2" s="1875"/>
      <c r="R2" s="1875"/>
      <c r="S2" s="1875"/>
      <c r="T2" s="1875"/>
    </row>
    <row r="3" spans="2:20">
      <c r="B3" s="1683" t="str">
        <f>Index!B3</f>
        <v>MYT Petition Formats for Bhusawal Units 4&amp;5</v>
      </c>
      <c r="C3" s="1875"/>
      <c r="D3" s="1875"/>
      <c r="E3" s="1875"/>
      <c r="F3" s="1875"/>
      <c r="G3" s="1875"/>
      <c r="H3" s="1875"/>
      <c r="I3" s="1875"/>
      <c r="J3" s="1875"/>
      <c r="K3" s="1875"/>
      <c r="L3" s="1875"/>
      <c r="M3" s="1875"/>
      <c r="N3" s="1875"/>
      <c r="O3" s="1875"/>
      <c r="P3" s="1875"/>
      <c r="Q3" s="1875"/>
      <c r="R3" s="1875"/>
      <c r="S3" s="1875"/>
      <c r="T3" s="1875"/>
    </row>
    <row r="4" spans="2:20" s="79" customFormat="1">
      <c r="B4" s="1707" t="s">
        <v>322</v>
      </c>
      <c r="C4" s="1876"/>
      <c r="D4" s="1876"/>
      <c r="E4" s="1876"/>
      <c r="F4" s="1876"/>
      <c r="G4" s="1876"/>
      <c r="H4" s="1876"/>
      <c r="I4" s="1876"/>
      <c r="J4" s="1876"/>
      <c r="K4" s="1876"/>
      <c r="L4" s="1876"/>
      <c r="M4" s="1876"/>
      <c r="N4" s="1876"/>
      <c r="O4" s="1876"/>
      <c r="P4" s="1876"/>
      <c r="Q4" s="1876"/>
      <c r="R4" s="1876"/>
      <c r="S4" s="1876"/>
      <c r="T4" s="1876"/>
    </row>
    <row r="5" spans="2:20">
      <c r="B5" s="19"/>
      <c r="C5" s="19"/>
    </row>
    <row r="6" spans="2:20">
      <c r="C6" s="63"/>
      <c r="K6" s="63"/>
      <c r="M6" s="6"/>
      <c r="N6" s="6"/>
      <c r="S6" s="22" t="s">
        <v>10</v>
      </c>
    </row>
    <row r="7" spans="2:20" s="35" customFormat="1" ht="17.25" customHeight="1">
      <c r="B7" s="1788" t="s">
        <v>341</v>
      </c>
      <c r="C7" s="1788" t="s">
        <v>37</v>
      </c>
      <c r="D7" s="1678" t="s">
        <v>509</v>
      </c>
      <c r="E7" s="1679"/>
      <c r="F7" s="1680"/>
      <c r="G7" s="1678" t="s">
        <v>510</v>
      </c>
      <c r="H7" s="1679"/>
      <c r="I7" s="1680"/>
      <c r="J7" s="1678" t="s">
        <v>511</v>
      </c>
      <c r="K7" s="1679"/>
      <c r="L7" s="1679"/>
      <c r="M7" s="1679"/>
      <c r="N7" s="1680"/>
      <c r="O7" s="1681" t="s">
        <v>946</v>
      </c>
      <c r="P7" s="1681"/>
      <c r="Q7" s="1681"/>
      <c r="R7" s="1681"/>
      <c r="S7" s="1681"/>
      <c r="T7" s="1676" t="s">
        <v>27</v>
      </c>
    </row>
    <row r="8" spans="2:20" s="36" customFormat="1" ht="49.25" customHeight="1">
      <c r="B8" s="1877"/>
      <c r="C8" s="1877"/>
      <c r="D8" s="288" t="s">
        <v>945</v>
      </c>
      <c r="E8" s="289" t="s">
        <v>79</v>
      </c>
      <c r="F8" s="289" t="s">
        <v>452</v>
      </c>
      <c r="G8" s="288" t="s">
        <v>945</v>
      </c>
      <c r="H8" s="289" t="s">
        <v>79</v>
      </c>
      <c r="I8" s="289" t="s">
        <v>452</v>
      </c>
      <c r="J8" s="289" t="s">
        <v>945</v>
      </c>
      <c r="K8" s="289" t="s">
        <v>445</v>
      </c>
      <c r="L8" s="289" t="s">
        <v>449</v>
      </c>
      <c r="M8" s="289" t="s">
        <v>80</v>
      </c>
      <c r="N8" s="289" t="s">
        <v>453</v>
      </c>
      <c r="O8" s="702" t="s">
        <v>947</v>
      </c>
      <c r="P8" s="702" t="s">
        <v>948</v>
      </c>
      <c r="Q8" s="702" t="s">
        <v>949</v>
      </c>
      <c r="R8" s="702" t="s">
        <v>950</v>
      </c>
      <c r="S8" s="702" t="s">
        <v>951</v>
      </c>
      <c r="T8" s="1676"/>
    </row>
    <row r="9" spans="2:20" s="6" customFormat="1">
      <c r="B9" s="1877"/>
      <c r="C9" s="1877"/>
      <c r="D9" s="289" t="s">
        <v>81</v>
      </c>
      <c r="E9" s="289" t="s">
        <v>82</v>
      </c>
      <c r="F9" s="289" t="s">
        <v>644</v>
      </c>
      <c r="G9" s="289" t="s">
        <v>392</v>
      </c>
      <c r="H9" s="289" t="s">
        <v>410</v>
      </c>
      <c r="I9" s="289" t="s">
        <v>457</v>
      </c>
      <c r="J9" s="289" t="s">
        <v>411</v>
      </c>
      <c r="K9" s="289" t="s">
        <v>412</v>
      </c>
      <c r="L9" s="289" t="s">
        <v>557</v>
      </c>
      <c r="M9" s="289" t="s">
        <v>645</v>
      </c>
      <c r="N9" s="289" t="s">
        <v>506</v>
      </c>
      <c r="O9" s="692" t="s">
        <v>21</v>
      </c>
      <c r="P9" s="692" t="s">
        <v>21</v>
      </c>
      <c r="Q9" s="692" t="s">
        <v>21</v>
      </c>
      <c r="R9" s="692" t="s">
        <v>21</v>
      </c>
      <c r="S9" s="692" t="s">
        <v>21</v>
      </c>
      <c r="T9" s="1677"/>
    </row>
    <row r="10" spans="2:20" s="6" customFormat="1" ht="15.75" customHeight="1">
      <c r="B10" s="95">
        <v>1</v>
      </c>
      <c r="C10" s="833" t="s">
        <v>476</v>
      </c>
      <c r="D10" s="305"/>
      <c r="E10" s="305"/>
      <c r="F10" s="305"/>
      <c r="G10" s="305"/>
      <c r="H10" s="305"/>
      <c r="I10" s="305"/>
      <c r="J10" s="305"/>
      <c r="K10" s="853"/>
      <c r="L10" s="853"/>
      <c r="M10" s="305">
        <f>K10+L10</f>
        <v>0</v>
      </c>
      <c r="N10" s="305"/>
      <c r="O10" s="853"/>
      <c r="P10" s="853"/>
      <c r="Q10" s="853"/>
      <c r="R10" s="853"/>
      <c r="S10" s="853"/>
      <c r="T10" s="24"/>
    </row>
    <row r="11" spans="2:20" s="6" customFormat="1" ht="15.75" customHeight="1">
      <c r="B11" s="95">
        <f>B10+1</f>
        <v>2</v>
      </c>
      <c r="C11" s="834" t="s">
        <v>475</v>
      </c>
      <c r="D11" s="305"/>
      <c r="E11" s="305">
        <v>2.7603752504132202</v>
      </c>
      <c r="F11" s="305"/>
      <c r="G11" s="305"/>
      <c r="H11" s="305">
        <v>4.3301712413223101E-2</v>
      </c>
      <c r="I11" s="305"/>
      <c r="J11" s="305"/>
      <c r="K11" s="853">
        <v>2.165085620661155E-2</v>
      </c>
      <c r="L11" s="853">
        <v>2.165085620661155E-2</v>
      </c>
      <c r="M11" s="305">
        <f t="shared" ref="M11:M21" si="0">K11+L11</f>
        <v>4.3301712413223101E-2</v>
      </c>
      <c r="N11" s="305"/>
      <c r="O11" s="853"/>
      <c r="P11" s="853"/>
      <c r="Q11" s="853"/>
      <c r="R11" s="853"/>
      <c r="S11" s="853"/>
      <c r="T11" s="24"/>
    </row>
    <row r="12" spans="2:20" s="6" customFormat="1" ht="15.75" customHeight="1">
      <c r="B12" s="95">
        <f t="shared" ref="B12:B20" si="1">B11+1</f>
        <v>3</v>
      </c>
      <c r="C12" s="835" t="s">
        <v>328</v>
      </c>
      <c r="D12" s="305"/>
      <c r="E12" s="305"/>
      <c r="F12" s="305"/>
      <c r="G12" s="305"/>
      <c r="H12" s="305"/>
      <c r="I12" s="305"/>
      <c r="J12" s="305"/>
      <c r="K12" s="853"/>
      <c r="L12" s="853"/>
      <c r="M12" s="305">
        <f t="shared" si="0"/>
        <v>0</v>
      </c>
      <c r="N12" s="305"/>
      <c r="O12" s="853"/>
      <c r="P12" s="853"/>
      <c r="Q12" s="853"/>
      <c r="R12" s="853"/>
      <c r="S12" s="853"/>
      <c r="T12" s="24"/>
    </row>
    <row r="13" spans="2:20" s="6" customFormat="1" ht="15.75" customHeight="1">
      <c r="B13" s="95">
        <f t="shared" si="1"/>
        <v>4</v>
      </c>
      <c r="C13" s="835" t="s">
        <v>302</v>
      </c>
      <c r="D13" s="305"/>
      <c r="E13" s="305"/>
      <c r="F13" s="305"/>
      <c r="G13" s="305"/>
      <c r="H13" s="305"/>
      <c r="I13" s="305"/>
      <c r="J13" s="305"/>
      <c r="K13" s="853"/>
      <c r="L13" s="853"/>
      <c r="M13" s="305">
        <f t="shared" si="0"/>
        <v>0</v>
      </c>
      <c r="N13" s="305"/>
      <c r="O13" s="853"/>
      <c r="P13" s="853"/>
      <c r="Q13" s="853"/>
      <c r="R13" s="853"/>
      <c r="S13" s="853"/>
      <c r="T13" s="24"/>
    </row>
    <row r="14" spans="2:20" s="6" customFormat="1" ht="15.75" customHeight="1">
      <c r="B14" s="95">
        <f t="shared" si="1"/>
        <v>5</v>
      </c>
      <c r="C14" s="835" t="s">
        <v>477</v>
      </c>
      <c r="D14" s="305"/>
      <c r="E14" s="305"/>
      <c r="F14" s="305"/>
      <c r="G14" s="305"/>
      <c r="H14" s="305"/>
      <c r="I14" s="305"/>
      <c r="J14" s="305"/>
      <c r="K14" s="853"/>
      <c r="L14" s="853"/>
      <c r="M14" s="305">
        <f t="shared" si="0"/>
        <v>0</v>
      </c>
      <c r="N14" s="305"/>
      <c r="O14" s="853"/>
      <c r="P14" s="853"/>
      <c r="Q14" s="853"/>
      <c r="R14" s="853"/>
      <c r="S14" s="853"/>
      <c r="T14" s="24"/>
    </row>
    <row r="15" spans="2:20" s="6" customFormat="1" ht="56">
      <c r="B15" s="95">
        <f t="shared" si="1"/>
        <v>6</v>
      </c>
      <c r="C15" s="835" t="s">
        <v>349</v>
      </c>
      <c r="D15" s="305"/>
      <c r="E15" s="305">
        <v>1.99871014049587</v>
      </c>
      <c r="F15" s="305"/>
      <c r="G15" s="305"/>
      <c r="H15" s="305">
        <v>2.2385670917355398</v>
      </c>
      <c r="I15" s="305"/>
      <c r="J15" s="305"/>
      <c r="K15" s="853">
        <v>1.1192835458677699</v>
      </c>
      <c r="L15" s="853">
        <v>1.1192835458677699</v>
      </c>
      <c r="M15" s="305">
        <f t="shared" si="0"/>
        <v>2.2385670917355398</v>
      </c>
      <c r="N15" s="305"/>
      <c r="O15" s="853"/>
      <c r="P15" s="853"/>
      <c r="Q15" s="853"/>
      <c r="R15" s="853"/>
      <c r="S15" s="853"/>
      <c r="T15" s="24"/>
    </row>
    <row r="16" spans="2:20" s="6" customFormat="1">
      <c r="B16" s="95">
        <f t="shared" si="1"/>
        <v>7</v>
      </c>
      <c r="C16" s="836" t="s">
        <v>783</v>
      </c>
      <c r="D16" s="305"/>
      <c r="E16" s="305">
        <v>0.51875057355371901</v>
      </c>
      <c r="F16" s="305"/>
      <c r="G16" s="305"/>
      <c r="H16" s="305">
        <v>0.46838607241300301</v>
      </c>
      <c r="I16" s="305"/>
      <c r="J16" s="305"/>
      <c r="K16" s="853">
        <v>0.2341930362065015</v>
      </c>
      <c r="L16" s="853">
        <v>0.2341930362065015</v>
      </c>
      <c r="M16" s="305">
        <f t="shared" si="0"/>
        <v>0.46838607241300301</v>
      </c>
      <c r="N16" s="305"/>
      <c r="O16" s="853"/>
      <c r="P16" s="853"/>
      <c r="Q16" s="853"/>
      <c r="R16" s="853"/>
      <c r="S16" s="853"/>
      <c r="T16" s="24"/>
    </row>
    <row r="17" spans="2:20" ht="15.75" customHeight="1">
      <c r="B17" s="95">
        <f>B16+1</f>
        <v>8</v>
      </c>
      <c r="C17" s="836" t="s">
        <v>303</v>
      </c>
      <c r="D17" s="305"/>
      <c r="E17" s="305"/>
      <c r="F17" s="305"/>
      <c r="G17" s="305"/>
      <c r="H17" s="305"/>
      <c r="I17" s="305"/>
      <c r="J17" s="305"/>
      <c r="K17" s="853"/>
      <c r="L17" s="853"/>
      <c r="M17" s="305">
        <f t="shared" si="0"/>
        <v>0</v>
      </c>
      <c r="N17" s="305"/>
      <c r="O17" s="853"/>
      <c r="P17" s="853"/>
      <c r="Q17" s="853"/>
      <c r="R17" s="853"/>
      <c r="S17" s="853"/>
      <c r="T17" s="24"/>
    </row>
    <row r="18" spans="2:20" ht="15.75" customHeight="1">
      <c r="B18" s="95">
        <f t="shared" si="1"/>
        <v>9</v>
      </c>
      <c r="C18" s="836" t="s">
        <v>304</v>
      </c>
      <c r="D18" s="305"/>
      <c r="E18" s="305"/>
      <c r="F18" s="305"/>
      <c r="G18" s="305"/>
      <c r="H18" s="305"/>
      <c r="I18" s="305"/>
      <c r="J18" s="305"/>
      <c r="K18" s="853"/>
      <c r="L18" s="853"/>
      <c r="M18" s="305">
        <f t="shared" si="0"/>
        <v>0</v>
      </c>
      <c r="N18" s="305"/>
      <c r="O18" s="853"/>
      <c r="P18" s="853"/>
      <c r="Q18" s="853"/>
      <c r="R18" s="853"/>
      <c r="S18" s="853"/>
      <c r="T18" s="24"/>
    </row>
    <row r="19" spans="2:20" ht="15.75" customHeight="1">
      <c r="B19" s="95">
        <f t="shared" si="1"/>
        <v>10</v>
      </c>
      <c r="C19" s="835" t="s">
        <v>329</v>
      </c>
      <c r="D19" s="305"/>
      <c r="E19" s="305"/>
      <c r="F19" s="305"/>
      <c r="G19" s="305"/>
      <c r="H19" s="305"/>
      <c r="I19" s="305"/>
      <c r="J19" s="305"/>
      <c r="K19" s="853"/>
      <c r="L19" s="853"/>
      <c r="M19" s="305">
        <f t="shared" si="0"/>
        <v>0</v>
      </c>
      <c r="N19" s="305"/>
      <c r="O19" s="853"/>
      <c r="P19" s="853"/>
      <c r="Q19" s="853"/>
      <c r="R19" s="853"/>
      <c r="S19" s="853"/>
      <c r="T19" s="24"/>
    </row>
    <row r="20" spans="2:20" ht="15.75" customHeight="1">
      <c r="B20" s="95">
        <f t="shared" si="1"/>
        <v>11</v>
      </c>
      <c r="C20" s="836" t="s">
        <v>773</v>
      </c>
      <c r="D20" s="305"/>
      <c r="E20" s="305">
        <v>0</v>
      </c>
      <c r="F20" s="305"/>
      <c r="G20" s="305"/>
      <c r="H20" s="305">
        <v>0</v>
      </c>
      <c r="I20" s="305"/>
      <c r="J20" s="305"/>
      <c r="K20" s="853">
        <v>0</v>
      </c>
      <c r="L20" s="853">
        <v>0</v>
      </c>
      <c r="M20" s="305">
        <f t="shared" si="0"/>
        <v>0</v>
      </c>
      <c r="N20" s="305"/>
      <c r="O20" s="853"/>
      <c r="P20" s="853"/>
      <c r="Q20" s="853"/>
      <c r="R20" s="853"/>
      <c r="S20" s="853"/>
      <c r="T20" s="24"/>
    </row>
    <row r="21" spans="2:20" ht="15.75" customHeight="1">
      <c r="B21" s="95">
        <f t="shared" ref="B21:B26" si="2">+B20+1</f>
        <v>12</v>
      </c>
      <c r="C21" s="836" t="s">
        <v>789</v>
      </c>
      <c r="D21" s="305"/>
      <c r="E21" s="305"/>
      <c r="F21" s="305"/>
      <c r="G21" s="305"/>
      <c r="H21" s="305"/>
      <c r="I21" s="305"/>
      <c r="J21" s="305"/>
      <c r="K21" s="853"/>
      <c r="L21" s="853"/>
      <c r="M21" s="305">
        <f t="shared" si="0"/>
        <v>0</v>
      </c>
      <c r="N21" s="305"/>
      <c r="O21" s="853"/>
      <c r="P21" s="853"/>
      <c r="Q21" s="853"/>
      <c r="R21" s="853"/>
      <c r="S21" s="853"/>
      <c r="T21" s="24"/>
    </row>
    <row r="22" spans="2:20" s="11" customFormat="1" ht="67.5" customHeight="1">
      <c r="B22" s="95">
        <f t="shared" si="2"/>
        <v>13</v>
      </c>
      <c r="C22" s="833" t="s">
        <v>774</v>
      </c>
      <c r="D22" s="305"/>
      <c r="E22" s="305">
        <v>0.44196564968594998</v>
      </c>
      <c r="F22" s="305"/>
      <c r="G22" s="305"/>
      <c r="H22" s="305">
        <v>0.63283876155752095</v>
      </c>
      <c r="I22" s="305"/>
      <c r="J22" s="305"/>
      <c r="K22" s="853">
        <v>0.31641938077876047</v>
      </c>
      <c r="L22" s="853">
        <v>0.31641938077876047</v>
      </c>
      <c r="M22" s="305">
        <f>K22+L22</f>
        <v>0.63283876155752095</v>
      </c>
      <c r="N22" s="305"/>
      <c r="O22" s="853"/>
      <c r="P22" s="853"/>
      <c r="Q22" s="853"/>
      <c r="R22" s="853"/>
      <c r="S22" s="853"/>
      <c r="T22" s="119"/>
    </row>
    <row r="23" spans="2:20" s="11" customFormat="1" ht="15.75" customHeight="1">
      <c r="B23" s="95">
        <f t="shared" si="2"/>
        <v>14</v>
      </c>
      <c r="C23" s="836" t="s">
        <v>771</v>
      </c>
      <c r="D23" s="305"/>
      <c r="E23" s="305">
        <v>0.69075875978582002</v>
      </c>
      <c r="F23" s="305"/>
      <c r="G23" s="305"/>
      <c r="H23" s="305">
        <v>0.70290346229925604</v>
      </c>
      <c r="I23" s="305"/>
      <c r="J23" s="305"/>
      <c r="K23" s="853">
        <v>0.35145173114962802</v>
      </c>
      <c r="L23" s="853">
        <v>0.35145173114962802</v>
      </c>
      <c r="M23" s="305">
        <f t="shared" ref="M23:M25" si="3">K23+L23</f>
        <v>0.70290346229925604</v>
      </c>
      <c r="N23" s="305"/>
      <c r="O23" s="853"/>
      <c r="P23" s="853"/>
      <c r="Q23" s="853"/>
      <c r="R23" s="853"/>
      <c r="S23" s="853"/>
      <c r="T23" s="119"/>
    </row>
    <row r="24" spans="2:20" s="11" customFormat="1" ht="15.75" customHeight="1">
      <c r="B24" s="95">
        <f t="shared" si="2"/>
        <v>15</v>
      </c>
      <c r="C24" s="836" t="s">
        <v>798</v>
      </c>
      <c r="D24" s="305"/>
      <c r="E24" s="305">
        <v>5.9023129669420998E-2</v>
      </c>
      <c r="F24" s="305"/>
      <c r="G24" s="305"/>
      <c r="H24" s="305">
        <v>0</v>
      </c>
      <c r="I24" s="305"/>
      <c r="J24" s="305"/>
      <c r="K24" s="853">
        <v>0</v>
      </c>
      <c r="L24" s="853">
        <v>0</v>
      </c>
      <c r="M24" s="305">
        <f t="shared" si="3"/>
        <v>0</v>
      </c>
      <c r="N24" s="305"/>
      <c r="O24" s="853"/>
      <c r="P24" s="853"/>
      <c r="Q24" s="853"/>
      <c r="R24" s="853"/>
      <c r="S24" s="853"/>
      <c r="T24" s="119"/>
    </row>
    <row r="25" spans="2:20" s="11" customFormat="1" ht="15.75" customHeight="1">
      <c r="B25" s="95">
        <f t="shared" si="2"/>
        <v>16</v>
      </c>
      <c r="C25" s="836" t="s">
        <v>799</v>
      </c>
      <c r="D25" s="305"/>
      <c r="E25" s="305">
        <v>0</v>
      </c>
      <c r="F25" s="305"/>
      <c r="G25" s="305"/>
      <c r="H25" s="305">
        <v>-0.15051446280991701</v>
      </c>
      <c r="I25" s="305"/>
      <c r="J25" s="305"/>
      <c r="K25" s="853">
        <v>-7.5257231404958505E-2</v>
      </c>
      <c r="L25" s="853">
        <v>-7.5257231404958505E-2</v>
      </c>
      <c r="M25" s="305">
        <f t="shared" si="3"/>
        <v>-0.15051446280991701</v>
      </c>
      <c r="N25" s="305"/>
      <c r="O25" s="853"/>
      <c r="P25" s="853"/>
      <c r="Q25" s="853"/>
      <c r="R25" s="853"/>
      <c r="S25" s="853"/>
      <c r="T25" s="119"/>
    </row>
    <row r="26" spans="2:20" s="1" customFormat="1">
      <c r="B26" s="95">
        <f t="shared" si="2"/>
        <v>17</v>
      </c>
      <c r="C26" s="73" t="s">
        <v>272</v>
      </c>
      <c r="D26" s="324">
        <v>18.996218114380166</v>
      </c>
      <c r="E26" s="324">
        <f>SUM(E10:E25)</f>
        <v>6.4695835036040004</v>
      </c>
      <c r="F26" s="305">
        <f t="shared" ref="F26" si="4">E26-D26</f>
        <v>-12.526634610776167</v>
      </c>
      <c r="G26" s="860">
        <v>7.7821512877304109</v>
      </c>
      <c r="H26" s="860">
        <f>SUM(H10:H25)</f>
        <v>3.9354826376086258</v>
      </c>
      <c r="I26" s="853">
        <f t="shared" ref="I26" si="5">H26-G26</f>
        <v>-3.846668650121785</v>
      </c>
      <c r="J26" s="860">
        <v>7.7821512877304109</v>
      </c>
      <c r="K26" s="324">
        <f>SUM(K10:K25)</f>
        <v>1.9677413188043129</v>
      </c>
      <c r="L26" s="324">
        <f>SUM(L10:L25)</f>
        <v>1.9677413188043129</v>
      </c>
      <c r="M26" s="305">
        <f>K26+L26</f>
        <v>3.9354826376086258</v>
      </c>
      <c r="N26" s="305">
        <f>M26-J26</f>
        <v>-3.846668650121785</v>
      </c>
      <c r="O26" s="860">
        <v>3.9354826376086258</v>
      </c>
      <c r="P26" s="860">
        <v>3.9354826376086258</v>
      </c>
      <c r="Q26" s="860">
        <v>3.9354826376086258</v>
      </c>
      <c r="R26" s="860">
        <v>3.9354826376086258</v>
      </c>
      <c r="S26" s="860">
        <v>3.9354826376086258</v>
      </c>
      <c r="T26" s="24"/>
    </row>
    <row r="27" spans="2:20" s="1" customFormat="1">
      <c r="B27" s="5"/>
      <c r="C27" s="36"/>
    </row>
    <row r="28" spans="2:20">
      <c r="B28" s="7" t="s">
        <v>680</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B1:L31"/>
  <sheetViews>
    <sheetView showGridLines="0" zoomScale="75" zoomScaleNormal="75" zoomScaleSheetLayoutView="70" workbookViewId="0">
      <selection activeCell="F2" sqref="F2:F3"/>
    </sheetView>
  </sheetViews>
  <sheetFormatPr defaultColWidth="8.6328125" defaultRowHeight="14"/>
  <cols>
    <col min="1" max="1" width="6.90625" style="14" customWidth="1"/>
    <col min="2" max="2" width="6.54296875" style="98" customWidth="1"/>
    <col min="3" max="3" width="49" style="14" customWidth="1"/>
    <col min="4" max="5" width="14.08984375" style="14" customWidth="1"/>
    <col min="6" max="7" width="12.90625" style="14" customWidth="1"/>
    <col min="8" max="20" width="13.90625" style="14" customWidth="1"/>
    <col min="21" max="16384" width="8.6328125" style="14"/>
  </cols>
  <sheetData>
    <row r="1" spans="2:11">
      <c r="C1" s="1398"/>
      <c r="D1" s="1398"/>
      <c r="E1" s="1398"/>
    </row>
    <row r="2" spans="2:11">
      <c r="C2" s="1398"/>
      <c r="D2" s="1398"/>
      <c r="E2" s="1398"/>
      <c r="F2" s="1396" t="str">
        <f>Index!B2</f>
        <v xml:space="preserve">      Maharashtra State Power Generation Company Ltd.</v>
      </c>
      <c r="G2" s="1396"/>
    </row>
    <row r="3" spans="2:11">
      <c r="C3" s="1398"/>
      <c r="D3" s="1398"/>
      <c r="E3" s="1398"/>
      <c r="F3" s="1396" t="str">
        <f>Index!B3</f>
        <v>MYT Petition Formats for Bhusawal Units 4&amp;5</v>
      </c>
      <c r="G3" s="1397"/>
    </row>
    <row r="4" spans="2:11">
      <c r="C4" s="1398"/>
      <c r="D4" s="1398"/>
      <c r="E4" s="1398"/>
      <c r="F4" s="130" t="s">
        <v>1806</v>
      </c>
      <c r="G4" s="130"/>
    </row>
    <row r="6" spans="2:11" ht="28">
      <c r="B6" s="1394" t="s">
        <v>341</v>
      </c>
      <c r="C6" s="1394" t="s">
        <v>37</v>
      </c>
      <c r="D6" s="1395" t="s">
        <v>574</v>
      </c>
      <c r="E6" s="1395" t="s">
        <v>509</v>
      </c>
      <c r="F6" s="1395" t="s">
        <v>510</v>
      </c>
      <c r="G6" s="1394" t="s">
        <v>1807</v>
      </c>
    </row>
    <row r="7" spans="2:11">
      <c r="B7" s="99">
        <v>1</v>
      </c>
      <c r="C7" s="1399" t="s">
        <v>575</v>
      </c>
      <c r="D7" s="1400" t="s">
        <v>81</v>
      </c>
      <c r="E7" s="24"/>
      <c r="F7" s="24"/>
      <c r="G7" s="24"/>
    </row>
    <row r="8" spans="2:11">
      <c r="B8" s="99">
        <f>B7+1</f>
        <v>2</v>
      </c>
      <c r="C8" s="1399" t="s">
        <v>522</v>
      </c>
      <c r="D8" s="1400" t="s">
        <v>82</v>
      </c>
      <c r="E8" s="24"/>
      <c r="F8" s="24"/>
      <c r="G8" s="24"/>
    </row>
    <row r="9" spans="2:11">
      <c r="B9" s="99">
        <f>B8+1</f>
        <v>3</v>
      </c>
      <c r="C9" s="1399" t="s">
        <v>1808</v>
      </c>
      <c r="D9" s="1400" t="s">
        <v>524</v>
      </c>
      <c r="E9" s="24"/>
      <c r="F9" s="24"/>
      <c r="G9" s="24"/>
    </row>
    <row r="10" spans="2:11">
      <c r="B10" s="99"/>
      <c r="C10" s="1401"/>
      <c r="D10" s="1401"/>
      <c r="E10" s="24"/>
      <c r="F10" s="24"/>
      <c r="G10" s="24"/>
    </row>
    <row r="11" spans="2:11">
      <c r="B11" s="99">
        <v>4</v>
      </c>
      <c r="C11" s="1399" t="s">
        <v>576</v>
      </c>
      <c r="D11" s="1400" t="s">
        <v>392</v>
      </c>
      <c r="E11" s="24"/>
      <c r="F11" s="24"/>
      <c r="G11" s="24"/>
    </row>
    <row r="12" spans="2:11">
      <c r="B12" s="99">
        <v>5</v>
      </c>
      <c r="C12" s="1399" t="s">
        <v>697</v>
      </c>
      <c r="D12" s="1400" t="s">
        <v>393</v>
      </c>
      <c r="E12" s="24"/>
      <c r="F12" s="24"/>
      <c r="G12" s="24"/>
    </row>
    <row r="13" spans="2:11">
      <c r="B13" s="99">
        <v>6</v>
      </c>
      <c r="C13" s="1399" t="s">
        <v>698</v>
      </c>
      <c r="D13" s="1400" t="s">
        <v>699</v>
      </c>
      <c r="E13" s="24"/>
      <c r="F13" s="24"/>
      <c r="G13" s="24"/>
    </row>
    <row r="14" spans="2:11">
      <c r="B14" s="99">
        <v>7</v>
      </c>
      <c r="C14" s="1401" t="s">
        <v>523</v>
      </c>
      <c r="D14" s="1402" t="s">
        <v>700</v>
      </c>
      <c r="E14" s="24"/>
      <c r="F14" s="24"/>
      <c r="G14" s="24"/>
    </row>
    <row r="15" spans="2:11">
      <c r="C15" s="1403"/>
      <c r="D15" s="1404"/>
    </row>
    <row r="16" spans="2:11" ht="49.65" customHeight="1">
      <c r="C16" s="1862" t="s">
        <v>1809</v>
      </c>
      <c r="D16" s="1862"/>
      <c r="E16" s="1862"/>
      <c r="F16" s="1862"/>
      <c r="G16" s="1862"/>
      <c r="H16" s="1862"/>
      <c r="I16" s="1862"/>
      <c r="J16" s="1862"/>
      <c r="K16" s="1862"/>
    </row>
    <row r="17" spans="2:12">
      <c r="C17" s="14" t="s">
        <v>1810</v>
      </c>
    </row>
    <row r="18" spans="2:12">
      <c r="C18" s="14" t="s">
        <v>1811</v>
      </c>
    </row>
    <row r="20" spans="2:12">
      <c r="C20" s="1405"/>
      <c r="D20" s="1405"/>
      <c r="E20" s="1405"/>
      <c r="F20" s="1406"/>
      <c r="G20" s="1406"/>
      <c r="H20" s="1406"/>
      <c r="I20" s="1406"/>
      <c r="J20" s="1406"/>
      <c r="K20" s="1406"/>
      <c r="L20" s="1406"/>
    </row>
    <row r="22" spans="2:12">
      <c r="B22" s="1878" t="s">
        <v>1812</v>
      </c>
      <c r="C22" s="1878"/>
      <c r="D22" s="1878"/>
      <c r="E22" s="1878"/>
      <c r="F22" s="1878"/>
      <c r="G22" s="1878"/>
      <c r="H22" s="1878"/>
      <c r="I22" s="1878"/>
      <c r="J22" s="220"/>
      <c r="K22" s="220"/>
    </row>
    <row r="23" spans="2:12">
      <c r="B23" s="14"/>
    </row>
    <row r="24" spans="2:12" ht="28">
      <c r="B24" s="1394" t="s">
        <v>341</v>
      </c>
      <c r="C24" s="1394" t="s">
        <v>37</v>
      </c>
      <c r="D24" s="1395" t="s">
        <v>574</v>
      </c>
      <c r="E24" s="1395" t="s">
        <v>947</v>
      </c>
      <c r="F24" s="1395" t="s">
        <v>948</v>
      </c>
      <c r="G24" s="1394" t="s">
        <v>949</v>
      </c>
      <c r="H24" s="1394" t="s">
        <v>950</v>
      </c>
      <c r="I24" s="1394" t="s">
        <v>951</v>
      </c>
    </row>
    <row r="25" spans="2:12">
      <c r="B25" s="99">
        <v>1</v>
      </c>
      <c r="C25" s="1399" t="s">
        <v>1813</v>
      </c>
      <c r="D25" s="1400" t="s">
        <v>81</v>
      </c>
      <c r="E25" s="1399"/>
      <c r="F25" s="1407"/>
      <c r="G25" s="1407"/>
      <c r="H25" s="1399"/>
      <c r="I25" s="1407"/>
    </row>
    <row r="26" spans="2:12">
      <c r="B26" s="99"/>
      <c r="C26" s="1401"/>
      <c r="D26" s="1401"/>
      <c r="E26" s="1399"/>
      <c r="F26" s="1407"/>
      <c r="G26" s="1407"/>
      <c r="H26" s="1399"/>
      <c r="I26" s="1407"/>
    </row>
    <row r="27" spans="2:12">
      <c r="B27" s="99">
        <v>2</v>
      </c>
      <c r="C27" s="1399" t="s">
        <v>1814</v>
      </c>
      <c r="D27" s="1400" t="s">
        <v>82</v>
      </c>
      <c r="E27" s="1399"/>
      <c r="F27" s="1407"/>
      <c r="G27" s="1407"/>
      <c r="H27" s="1399"/>
      <c r="I27" s="1407"/>
    </row>
    <row r="28" spans="2:12">
      <c r="B28" s="99">
        <v>3</v>
      </c>
      <c r="C28" s="1401" t="s">
        <v>523</v>
      </c>
      <c r="D28" s="1402" t="s">
        <v>1815</v>
      </c>
      <c r="E28" s="1401"/>
      <c r="F28" s="1408"/>
      <c r="G28" s="1408"/>
      <c r="H28" s="1401"/>
      <c r="I28" s="1408"/>
    </row>
    <row r="29" spans="2:12" ht="29.4" customHeight="1">
      <c r="B29" s="14"/>
      <c r="C29" s="1406"/>
    </row>
    <row r="30" spans="2:12" ht="43.65" customHeight="1">
      <c r="B30" s="14"/>
      <c r="C30" s="1879" t="s">
        <v>1816</v>
      </c>
      <c r="D30" s="1862"/>
      <c r="E30" s="1862"/>
      <c r="F30" s="1862"/>
      <c r="G30" s="1862"/>
      <c r="H30" s="1862"/>
      <c r="I30" s="1862"/>
      <c r="J30" s="1862"/>
      <c r="K30" s="1862"/>
    </row>
    <row r="31" spans="2:12">
      <c r="B31" s="14"/>
      <c r="C31" s="14" t="s">
        <v>1817</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B1:R89"/>
  <sheetViews>
    <sheetView showGridLines="0" view="pageBreakPreview" zoomScale="75" zoomScaleNormal="75" zoomScaleSheetLayoutView="75" workbookViewId="0">
      <selection activeCell="M7" sqref="M7"/>
    </sheetView>
  </sheetViews>
  <sheetFormatPr defaultColWidth="9.36328125" defaultRowHeight="14"/>
  <cols>
    <col min="1" max="1" width="6.6328125" style="14" customWidth="1"/>
    <col min="2" max="2" width="7.36328125" style="14" customWidth="1"/>
    <col min="3" max="3" width="49" style="14" customWidth="1"/>
    <col min="4" max="4" width="10.36328125" style="14" bestFit="1" customWidth="1"/>
    <col min="5" max="5" width="11.6328125" style="14" customWidth="1"/>
    <col min="6" max="8" width="11" style="14" customWidth="1"/>
    <col min="9" max="9" width="14.453125" style="14" customWidth="1"/>
    <col min="10" max="10" width="13.6328125" style="14" customWidth="1"/>
    <col min="11" max="11" width="16" style="14" customWidth="1"/>
    <col min="12" max="12" width="21" style="14" customWidth="1"/>
    <col min="13" max="13" width="11.6328125" style="325" customWidth="1"/>
    <col min="14" max="14" width="11" style="14" customWidth="1"/>
    <col min="15" max="15" width="49.6328125" style="14" customWidth="1"/>
    <col min="16" max="16" width="16" style="14" customWidth="1"/>
    <col min="17" max="16384" width="9.36328125" style="14"/>
  </cols>
  <sheetData>
    <row r="1" spans="2:16">
      <c r="C1" s="80"/>
    </row>
    <row r="2" spans="2:16" ht="15.65" customHeight="1">
      <c r="B2" s="1682" t="str">
        <f>Index!B2</f>
        <v xml:space="preserve">      Maharashtra State Power Generation Company Ltd.</v>
      </c>
      <c r="C2" s="1682"/>
      <c r="D2" s="1682"/>
      <c r="E2" s="1682"/>
      <c r="F2" s="1682"/>
      <c r="G2" s="1682"/>
      <c r="H2" s="1682"/>
      <c r="I2" s="1682"/>
      <c r="J2" s="1682"/>
      <c r="K2" s="1682"/>
      <c r="L2" s="1682"/>
      <c r="N2" s="33"/>
      <c r="O2" s="33"/>
      <c r="P2" s="33"/>
    </row>
    <row r="3" spans="2:16" s="5" customFormat="1" ht="15.65" customHeight="1">
      <c r="B3" s="1682" t="str">
        <f>Index!B3</f>
        <v>MYT Petition Formats for Bhusawal Units 4&amp;5</v>
      </c>
      <c r="C3" s="1682"/>
      <c r="D3" s="1682"/>
      <c r="E3" s="1682"/>
      <c r="F3" s="1682"/>
      <c r="G3" s="1682"/>
      <c r="H3" s="1682"/>
      <c r="I3" s="1682"/>
      <c r="J3" s="1682"/>
      <c r="K3" s="1682"/>
      <c r="L3" s="1682"/>
      <c r="M3" s="1417"/>
      <c r="N3" s="36"/>
      <c r="O3" s="36"/>
      <c r="P3" s="35"/>
    </row>
    <row r="4" spans="2:16" s="5" customFormat="1" ht="15.65" customHeight="1">
      <c r="B4" s="1880" t="s">
        <v>351</v>
      </c>
      <c r="C4" s="1880"/>
      <c r="D4" s="1880"/>
      <c r="E4" s="1880"/>
      <c r="F4" s="1880"/>
      <c r="G4" s="1880"/>
      <c r="H4" s="1880"/>
      <c r="I4" s="1880"/>
      <c r="J4" s="1880"/>
      <c r="K4" s="1880"/>
      <c r="L4" s="1880"/>
      <c r="M4" s="1418"/>
      <c r="N4" s="81"/>
      <c r="O4" s="81"/>
      <c r="P4" s="81"/>
    </row>
    <row r="5" spans="2:16">
      <c r="B5" s="33"/>
      <c r="C5" s="33"/>
      <c r="D5" s="33"/>
      <c r="E5" s="33"/>
      <c r="F5" s="33"/>
      <c r="G5" s="33"/>
      <c r="H5" s="33"/>
      <c r="I5" s="33"/>
      <c r="J5" s="33"/>
      <c r="K5" s="33"/>
      <c r="L5" s="33"/>
      <c r="N5" s="33"/>
      <c r="O5" s="33"/>
      <c r="P5" s="33"/>
    </row>
    <row r="6" spans="2:16">
      <c r="B6" s="82" t="s">
        <v>509</v>
      </c>
      <c r="N6" s="33"/>
      <c r="O6" s="33"/>
      <c r="P6" s="33"/>
    </row>
    <row r="7" spans="2:16">
      <c r="K7" s="21"/>
      <c r="L7" s="21" t="s">
        <v>10</v>
      </c>
      <c r="N7" s="33"/>
    </row>
    <row r="8" spans="2:16" ht="42">
      <c r="B8" s="186" t="s">
        <v>341</v>
      </c>
      <c r="C8" s="187" t="s">
        <v>37</v>
      </c>
      <c r="D8" s="304" t="s">
        <v>939</v>
      </c>
      <c r="E8" s="233" t="s">
        <v>768</v>
      </c>
      <c r="F8" s="233" t="s">
        <v>305</v>
      </c>
      <c r="G8" s="304" t="s">
        <v>740</v>
      </c>
      <c r="H8" s="304" t="s">
        <v>741</v>
      </c>
      <c r="I8" s="233" t="s">
        <v>409</v>
      </c>
      <c r="J8" s="233" t="s">
        <v>306</v>
      </c>
      <c r="K8" s="233" t="s">
        <v>307</v>
      </c>
      <c r="L8" s="233" t="s">
        <v>488</v>
      </c>
      <c r="N8" s="33"/>
    </row>
    <row r="9" spans="2:16">
      <c r="B9" s="24"/>
      <c r="C9" s="24"/>
      <c r="D9" s="24" t="s">
        <v>353</v>
      </c>
      <c r="E9" s="24" t="s">
        <v>354</v>
      </c>
      <c r="F9" s="24" t="s">
        <v>742</v>
      </c>
      <c r="G9" s="24" t="s">
        <v>743</v>
      </c>
      <c r="H9" s="24"/>
      <c r="I9" s="24"/>
      <c r="J9" s="24"/>
      <c r="K9" s="24"/>
      <c r="L9" s="24"/>
      <c r="N9" s="33"/>
    </row>
    <row r="10" spans="2:16">
      <c r="B10" s="241">
        <v>1</v>
      </c>
      <c r="C10" s="119" t="s">
        <v>83</v>
      </c>
      <c r="D10" s="497">
        <f>'F1'!F11</f>
        <v>2244.3775826234255</v>
      </c>
      <c r="E10" s="498">
        <f>'F1'!G11</f>
        <v>2861.4377086544614</v>
      </c>
      <c r="F10" s="497">
        <f>E10-D10</f>
        <v>617.06012603103591</v>
      </c>
      <c r="G10" s="497">
        <f>E10-D10</f>
        <v>617.06012603103591</v>
      </c>
      <c r="H10" s="499">
        <f>IF(G10&lt;0,2/3,1/3)*G10</f>
        <v>205.68670867701195</v>
      </c>
      <c r="I10" s="244"/>
      <c r="J10" s="244"/>
      <c r="K10" s="244"/>
      <c r="L10" s="318">
        <f>D10+H10</f>
        <v>2450.0642913004376</v>
      </c>
      <c r="N10" s="33"/>
    </row>
    <row r="11" spans="2:16">
      <c r="B11" s="241">
        <v>2</v>
      </c>
      <c r="C11" s="119" t="s">
        <v>935</v>
      </c>
      <c r="D11" s="337">
        <f>'F3'!F17-D12</f>
        <v>214.84421058897681</v>
      </c>
      <c r="E11" s="491">
        <f>'F3'!G17-E12</f>
        <v>258.41898474575959</v>
      </c>
      <c r="F11" s="497">
        <f>E11-D11</f>
        <v>43.57477415678278</v>
      </c>
      <c r="G11" s="497">
        <f>E11-D11</f>
        <v>43.57477415678278</v>
      </c>
      <c r="H11" s="499">
        <f>IF(G11&lt;0,2/3,1/3)*G11</f>
        <v>14.524924718927593</v>
      </c>
      <c r="I11" s="119"/>
      <c r="J11" s="119"/>
      <c r="K11" s="119"/>
      <c r="L11" s="318">
        <f>D11+H11</f>
        <v>229.3691353079044</v>
      </c>
      <c r="M11" s="615"/>
      <c r="N11" s="33"/>
    </row>
    <row r="12" spans="2:16">
      <c r="B12" s="241"/>
      <c r="C12" s="119" t="s">
        <v>871</v>
      </c>
      <c r="D12" s="491">
        <f>'F3'!F14</f>
        <v>0</v>
      </c>
      <c r="E12" s="491">
        <f>'F3'!G14</f>
        <v>0</v>
      </c>
      <c r="F12" s="497">
        <f>E12-D12</f>
        <v>0</v>
      </c>
      <c r="G12" s="497">
        <f>E12-D12</f>
        <v>0</v>
      </c>
      <c r="H12" s="499"/>
      <c r="I12" s="119"/>
      <c r="J12" s="119"/>
      <c r="K12" s="119"/>
      <c r="L12" s="318">
        <f>D12+H12</f>
        <v>0</v>
      </c>
      <c r="M12" s="615"/>
      <c r="N12" s="33"/>
    </row>
    <row r="13" spans="2:16">
      <c r="B13" s="241"/>
      <c r="C13" s="119" t="s">
        <v>872</v>
      </c>
      <c r="D13" s="337">
        <f>E13</f>
        <v>9.1935441000000004</v>
      </c>
      <c r="E13" s="491">
        <f>'F3.1'!E27</f>
        <v>9.1935441000000004</v>
      </c>
      <c r="F13" s="497"/>
      <c r="G13" s="497"/>
      <c r="H13" s="499"/>
      <c r="I13" s="119"/>
      <c r="J13" s="119"/>
      <c r="K13" s="119"/>
      <c r="L13" s="318">
        <f>E13</f>
        <v>9.1935441000000004</v>
      </c>
      <c r="N13" s="33"/>
      <c r="O13" s="33"/>
      <c r="P13" s="33"/>
    </row>
    <row r="14" spans="2:16">
      <c r="B14" s="241">
        <v>3</v>
      </c>
      <c r="C14" s="120" t="s">
        <v>85</v>
      </c>
      <c r="D14" s="337">
        <f>SUM('F1'!$F$15:$F$16)</f>
        <v>343.88076442445197</v>
      </c>
      <c r="E14" s="337">
        <f>SUM('F1'!$G$15:$G$16)</f>
        <v>343.88076442445197</v>
      </c>
      <c r="F14" s="497">
        <f>E14-D14</f>
        <v>0</v>
      </c>
      <c r="G14" s="497">
        <f t="shared" ref="G14:G23" si="0">E14-D14</f>
        <v>0</v>
      </c>
      <c r="H14" s="119"/>
      <c r="I14" s="119"/>
      <c r="J14" s="119"/>
      <c r="K14" s="119"/>
      <c r="L14" s="318">
        <f>E14</f>
        <v>343.88076442445197</v>
      </c>
      <c r="N14" s="33"/>
      <c r="O14" s="33"/>
      <c r="P14" s="33"/>
    </row>
    <row r="15" spans="2:16">
      <c r="B15" s="241">
        <v>4</v>
      </c>
      <c r="C15" s="119" t="s">
        <v>86</v>
      </c>
      <c r="D15" s="337">
        <f>'F1'!F17+'F1'!F18</f>
        <v>196.90678675846209</v>
      </c>
      <c r="E15" s="491">
        <f>'F1'!G17+'F1'!G18</f>
        <v>196.90678675846209</v>
      </c>
      <c r="F15" s="497">
        <f>E15-D15</f>
        <v>0</v>
      </c>
      <c r="G15" s="497">
        <f t="shared" si="0"/>
        <v>0</v>
      </c>
      <c r="H15" s="119"/>
      <c r="I15" s="119"/>
      <c r="J15" s="119"/>
      <c r="K15" s="119"/>
      <c r="L15" s="318">
        <f>E15</f>
        <v>196.90678675846209</v>
      </c>
      <c r="N15" s="33"/>
      <c r="O15" s="33"/>
      <c r="P15" s="33"/>
    </row>
    <row r="16" spans="2:16">
      <c r="B16" s="241">
        <v>5</v>
      </c>
      <c r="C16" s="502" t="s">
        <v>87</v>
      </c>
      <c r="D16" s="337">
        <f>'F1'!F19</f>
        <v>81.376351280661609</v>
      </c>
      <c r="E16" s="491">
        <f>'F1'!G19</f>
        <v>174.08206204458344</v>
      </c>
      <c r="F16" s="497">
        <f>E16-D16</f>
        <v>92.705710763921829</v>
      </c>
      <c r="G16" s="497">
        <f t="shared" si="0"/>
        <v>92.705710763921829</v>
      </c>
      <c r="H16" s="499">
        <f>IF(G16&lt;0,2/3,1/3)*G16</f>
        <v>30.901903587973941</v>
      </c>
      <c r="I16" s="119"/>
      <c r="J16" s="119"/>
      <c r="K16" s="119"/>
      <c r="L16" s="318">
        <f>D16+H16</f>
        <v>112.27825486863554</v>
      </c>
      <c r="N16" s="33"/>
      <c r="O16" s="33"/>
      <c r="P16" s="33"/>
    </row>
    <row r="17" spans="2:18">
      <c r="B17" s="241">
        <v>6</v>
      </c>
      <c r="C17" s="120" t="s">
        <v>88</v>
      </c>
      <c r="D17" s="337">
        <f>'F1'!F21</f>
        <v>35.120008536282299</v>
      </c>
      <c r="E17" s="491">
        <f>'F1'!G21</f>
        <v>35.120008536282299</v>
      </c>
      <c r="F17" s="497">
        <f>E17-D17</f>
        <v>0</v>
      </c>
      <c r="G17" s="497">
        <f t="shared" si="0"/>
        <v>0</v>
      </c>
      <c r="H17" s="119"/>
      <c r="I17" s="119"/>
      <c r="J17" s="119"/>
      <c r="K17" s="119"/>
      <c r="L17" s="318">
        <f>E17</f>
        <v>35.120008536282299</v>
      </c>
      <c r="N17" s="33"/>
      <c r="O17" s="33"/>
      <c r="P17" s="33"/>
    </row>
    <row r="18" spans="2:18">
      <c r="B18" s="241">
        <v>7</v>
      </c>
      <c r="C18" s="119" t="s">
        <v>89</v>
      </c>
      <c r="D18" s="337">
        <f>'F1'!F22</f>
        <v>0</v>
      </c>
      <c r="E18" s="491">
        <f>'F1'!G22</f>
        <v>0</v>
      </c>
      <c r="F18" s="497">
        <f>E18-D18</f>
        <v>0</v>
      </c>
      <c r="G18" s="497">
        <f t="shared" si="0"/>
        <v>0</v>
      </c>
      <c r="H18" s="119"/>
      <c r="I18" s="119"/>
      <c r="J18" s="119"/>
      <c r="K18" s="119"/>
      <c r="L18" s="318">
        <f>E18</f>
        <v>0</v>
      </c>
      <c r="N18" s="33"/>
      <c r="O18" s="33"/>
      <c r="P18" s="33"/>
    </row>
    <row r="19" spans="2:18">
      <c r="B19" s="241"/>
      <c r="C19" s="119"/>
      <c r="D19" s="119"/>
      <c r="E19" s="491"/>
      <c r="F19" s="497"/>
      <c r="G19" s="497">
        <f t="shared" si="0"/>
        <v>0</v>
      </c>
      <c r="H19" s="119"/>
      <c r="I19" s="119"/>
      <c r="J19" s="119"/>
      <c r="K19" s="119"/>
      <c r="L19" s="318"/>
      <c r="N19" s="33"/>
      <c r="O19" s="33"/>
      <c r="P19" s="33"/>
      <c r="Q19" s="611"/>
    </row>
    <row r="20" spans="2:18">
      <c r="B20" s="313">
        <v>8</v>
      </c>
      <c r="C20" s="244" t="s">
        <v>90</v>
      </c>
      <c r="D20" s="497">
        <f>SUM(D10:D19)</f>
        <v>3125.6992483122608</v>
      </c>
      <c r="E20" s="498">
        <f>SUM(E10:E19)</f>
        <v>3879.0398592640013</v>
      </c>
      <c r="F20" s="497">
        <f>E20-D20</f>
        <v>753.34061095174047</v>
      </c>
      <c r="G20" s="497">
        <f t="shared" si="0"/>
        <v>753.34061095174047</v>
      </c>
      <c r="H20" s="244"/>
      <c r="I20" s="244"/>
      <c r="J20" s="244"/>
      <c r="K20" s="244"/>
      <c r="L20" s="360">
        <f>SUM(L10:L19)</f>
        <v>3376.8127852961743</v>
      </c>
      <c r="M20" s="1419"/>
      <c r="N20" s="33"/>
      <c r="O20" s="33"/>
      <c r="P20" s="33"/>
    </row>
    <row r="21" spans="2:18">
      <c r="B21" s="241">
        <v>9</v>
      </c>
      <c r="C21" s="119" t="s">
        <v>91</v>
      </c>
      <c r="D21" s="337">
        <f>'F1'!F24+'F1'!F25</f>
        <v>183.55054033848677</v>
      </c>
      <c r="E21" s="491">
        <f>'F1'!G24+'F1'!G25</f>
        <v>183.55054033848677</v>
      </c>
      <c r="F21" s="497">
        <f>E21-D21</f>
        <v>0</v>
      </c>
      <c r="G21" s="497">
        <f t="shared" si="0"/>
        <v>0</v>
      </c>
      <c r="H21" s="244"/>
      <c r="I21" s="244"/>
      <c r="J21" s="244"/>
      <c r="K21" s="244"/>
      <c r="L21" s="318">
        <f>E21</f>
        <v>183.55054033848677</v>
      </c>
      <c r="N21" s="33"/>
      <c r="O21" s="33"/>
      <c r="P21" s="33"/>
    </row>
    <row r="22" spans="2:18">
      <c r="B22" s="241">
        <v>10</v>
      </c>
      <c r="C22" s="119" t="s">
        <v>92</v>
      </c>
      <c r="D22" s="337">
        <f>'F1'!F26</f>
        <v>6.4695835036040004</v>
      </c>
      <c r="E22" s="491">
        <f>'F1'!G26</f>
        <v>6.4695835036040004</v>
      </c>
      <c r="F22" s="497">
        <f>E22-D22</f>
        <v>0</v>
      </c>
      <c r="G22" s="497">
        <f t="shared" si="0"/>
        <v>0</v>
      </c>
      <c r="H22" s="119"/>
      <c r="I22" s="119"/>
      <c r="J22" s="119"/>
      <c r="K22" s="119"/>
      <c r="L22" s="318">
        <f>E22</f>
        <v>6.4695835036040004</v>
      </c>
      <c r="N22" s="33"/>
      <c r="O22" s="33"/>
      <c r="P22" s="33"/>
    </row>
    <row r="23" spans="2:18">
      <c r="B23" s="313">
        <v>11</v>
      </c>
      <c r="C23" s="244" t="s">
        <v>93</v>
      </c>
      <c r="D23" s="497">
        <f>D20+D21-D22</f>
        <v>3302.7802051471435</v>
      </c>
      <c r="E23" s="498">
        <f>E20+E21-E22</f>
        <v>4056.120816098884</v>
      </c>
      <c r="F23" s="497">
        <f>E23-D23</f>
        <v>753.34061095174047</v>
      </c>
      <c r="G23" s="497">
        <f t="shared" si="0"/>
        <v>753.34061095174047</v>
      </c>
      <c r="H23" s="244"/>
      <c r="I23" s="244"/>
      <c r="J23" s="244"/>
      <c r="K23" s="244"/>
      <c r="L23" s="360">
        <f>L20+L21-L22</f>
        <v>3553.893742131057</v>
      </c>
      <c r="M23" s="1420">
        <v>0</v>
      </c>
      <c r="N23" s="33"/>
      <c r="O23" s="33"/>
      <c r="P23" s="33"/>
    </row>
    <row r="24" spans="2:18" ht="15.5">
      <c r="B24" s="241">
        <v>12</v>
      </c>
      <c r="C24" s="839" t="s">
        <v>886</v>
      </c>
      <c r="D24" s="337">
        <v>123.71850970005107</v>
      </c>
      <c r="E24" s="491">
        <f>'AFC Reduction and AEC loss'!D8</f>
        <v>106.34968373446031</v>
      </c>
      <c r="F24" s="497"/>
      <c r="G24" s="497"/>
      <c r="H24" s="244"/>
      <c r="I24" s="244"/>
      <c r="J24" s="244"/>
      <c r="K24" s="244"/>
      <c r="L24" s="491">
        <f>E24</f>
        <v>106.34968373446031</v>
      </c>
      <c r="N24" s="33"/>
      <c r="O24" s="33"/>
      <c r="P24" s="33"/>
    </row>
    <row r="25" spans="2:18" ht="15">
      <c r="B25" s="313" t="s">
        <v>172</v>
      </c>
      <c r="C25" s="840" t="s">
        <v>1029</v>
      </c>
      <c r="D25" s="497"/>
      <c r="E25" s="498"/>
      <c r="F25" s="497"/>
      <c r="G25" s="497"/>
      <c r="H25" s="244"/>
      <c r="I25" s="244"/>
      <c r="J25" s="244"/>
      <c r="K25" s="244"/>
      <c r="L25" s="498">
        <f>L23-L24</f>
        <v>3447.5440583965965</v>
      </c>
      <c r="N25" s="33"/>
      <c r="O25" s="33"/>
      <c r="P25" s="33"/>
    </row>
    <row r="26" spans="2:18">
      <c r="B26" s="500"/>
      <c r="C26" s="501"/>
      <c r="D26" s="244"/>
      <c r="E26" s="498"/>
      <c r="F26" s="244"/>
      <c r="G26" s="244"/>
      <c r="H26" s="244"/>
      <c r="I26" s="244"/>
      <c r="J26" s="244"/>
      <c r="K26" s="244"/>
      <c r="L26" s="318"/>
      <c r="N26" s="33"/>
      <c r="O26" s="33"/>
      <c r="P26" s="33"/>
    </row>
    <row r="27" spans="2:18">
      <c r="B27" s="500" t="s">
        <v>185</v>
      </c>
      <c r="C27" s="501" t="s">
        <v>308</v>
      </c>
      <c r="D27" s="244"/>
      <c r="E27" s="498"/>
      <c r="F27" s="244"/>
      <c r="G27" s="244"/>
      <c r="H27" s="244"/>
      <c r="I27" s="244"/>
      <c r="J27" s="244"/>
      <c r="K27" s="244"/>
      <c r="L27" s="318"/>
      <c r="N27" s="33"/>
      <c r="O27" s="33"/>
      <c r="P27" s="33"/>
    </row>
    <row r="28" spans="2:18">
      <c r="B28" s="450">
        <v>11</v>
      </c>
      <c r="C28" s="120" t="s">
        <v>309</v>
      </c>
      <c r="D28" s="119"/>
      <c r="E28" s="491">
        <f>'F9'!N13</f>
        <v>3225.1970230970001</v>
      </c>
      <c r="F28" s="497">
        <f>E28-D28</f>
        <v>3225.1970230970001</v>
      </c>
      <c r="G28" s="497">
        <f>E28-D28</f>
        <v>3225.1970230970001</v>
      </c>
      <c r="H28" s="119"/>
      <c r="I28" s="119"/>
      <c r="J28" s="119"/>
      <c r="K28" s="119"/>
      <c r="L28" s="318">
        <f>E28</f>
        <v>3225.1970230970001</v>
      </c>
      <c r="N28" s="33"/>
      <c r="O28" s="33"/>
      <c r="P28" s="33"/>
    </row>
    <row r="29" spans="2:18">
      <c r="B29" s="450">
        <f>B28+1</f>
        <v>12</v>
      </c>
      <c r="C29" s="120" t="s">
        <v>869</v>
      </c>
      <c r="D29" s="119"/>
      <c r="E29" s="119"/>
      <c r="F29" s="119"/>
      <c r="G29" s="337">
        <f>'AFC Reduction and AEC loss'!$O$46</f>
        <v>8.6097124689434086</v>
      </c>
      <c r="H29" s="499">
        <f>IF(G29&lt;0,2/3,1/3)*G29</f>
        <v>2.8699041563144694</v>
      </c>
      <c r="I29" s="119"/>
      <c r="J29" s="119"/>
      <c r="K29" s="119"/>
      <c r="L29" s="318">
        <f>H29</f>
        <v>2.8699041563144694</v>
      </c>
      <c r="N29" s="33"/>
      <c r="O29" s="33"/>
      <c r="P29" s="33"/>
    </row>
    <row r="30" spans="2:18">
      <c r="B30" s="450">
        <f>B29+1</f>
        <v>13</v>
      </c>
      <c r="C30" s="501" t="s">
        <v>870</v>
      </c>
      <c r="D30" s="119"/>
      <c r="E30" s="119"/>
      <c r="F30" s="119"/>
      <c r="G30" s="119"/>
      <c r="H30" s="119"/>
      <c r="I30" s="119"/>
      <c r="J30" s="119"/>
      <c r="K30" s="119"/>
      <c r="L30" s="360">
        <f>SUM(L28:L29)</f>
        <v>3228.0669272533146</v>
      </c>
      <c r="M30" s="1420">
        <v>0</v>
      </c>
      <c r="N30" s="33"/>
      <c r="O30" s="33"/>
      <c r="P30" s="33"/>
    </row>
    <row r="31" spans="2:18">
      <c r="B31" s="500" t="s">
        <v>186</v>
      </c>
      <c r="C31" s="501" t="s">
        <v>317</v>
      </c>
      <c r="D31" s="497"/>
      <c r="E31" s="497"/>
      <c r="F31" s="497"/>
      <c r="G31" s="497"/>
      <c r="H31" s="497"/>
      <c r="I31" s="244"/>
      <c r="J31" s="244"/>
      <c r="K31" s="244"/>
      <c r="L31" s="360">
        <f>L25-L30</f>
        <v>219.47713114328189</v>
      </c>
      <c r="M31" s="1420">
        <v>-9.0949470177292824E-13</v>
      </c>
      <c r="N31" s="33"/>
      <c r="O31" s="33"/>
      <c r="P31" s="33"/>
      <c r="Q31" s="611"/>
      <c r="R31" s="611"/>
    </row>
    <row r="32" spans="2:18">
      <c r="B32" s="246"/>
      <c r="C32" s="247"/>
      <c r="D32" s="223"/>
      <c r="E32" s="223"/>
      <c r="F32" s="223"/>
      <c r="G32" s="223"/>
      <c r="H32" s="223"/>
      <c r="I32" s="223"/>
      <c r="J32" s="223"/>
      <c r="K32" s="223"/>
      <c r="L32" s="219"/>
      <c r="M32" s="325">
        <f>M31*10^7</f>
        <v>-9.0949470177292824E-6</v>
      </c>
      <c r="N32" s="33"/>
      <c r="O32" s="33"/>
      <c r="P32" s="33"/>
    </row>
    <row r="33" spans="2:16">
      <c r="B33" s="249" t="s">
        <v>601</v>
      </c>
      <c r="N33" s="33"/>
      <c r="O33" s="33"/>
      <c r="P33" s="33"/>
    </row>
    <row r="34" spans="2:16">
      <c r="B34" s="249"/>
      <c r="N34" s="33"/>
      <c r="O34" s="33"/>
      <c r="P34" s="33"/>
    </row>
    <row r="35" spans="2:16">
      <c r="B35" s="82" t="s">
        <v>510</v>
      </c>
      <c r="O35" s="33"/>
      <c r="P35" s="33"/>
    </row>
    <row r="36" spans="2:16">
      <c r="K36" s="21"/>
      <c r="L36" s="21" t="s">
        <v>10</v>
      </c>
      <c r="O36" s="33"/>
      <c r="P36" s="33"/>
    </row>
    <row r="37" spans="2:16" ht="42">
      <c r="B37" s="186" t="s">
        <v>341</v>
      </c>
      <c r="C37" s="187" t="s">
        <v>37</v>
      </c>
      <c r="D37" s="136" t="s">
        <v>25</v>
      </c>
      <c r="E37" s="87" t="s">
        <v>7</v>
      </c>
      <c r="F37" s="87" t="s">
        <v>305</v>
      </c>
      <c r="G37" s="304" t="s">
        <v>740</v>
      </c>
      <c r="H37" s="304" t="s">
        <v>741</v>
      </c>
      <c r="I37" s="136" t="s">
        <v>409</v>
      </c>
      <c r="J37" s="87" t="s">
        <v>306</v>
      </c>
      <c r="K37" s="87" t="s">
        <v>307</v>
      </c>
      <c r="L37" s="225" t="s">
        <v>488</v>
      </c>
      <c r="O37" s="33"/>
      <c r="P37" s="33"/>
    </row>
    <row r="38" spans="2:16">
      <c r="B38" s="119"/>
      <c r="C38" s="119"/>
      <c r="D38" s="119" t="s">
        <v>353</v>
      </c>
      <c r="E38" s="119" t="s">
        <v>354</v>
      </c>
      <c r="F38" s="119" t="s">
        <v>742</v>
      </c>
      <c r="G38" s="119" t="s">
        <v>743</v>
      </c>
      <c r="H38" s="119"/>
      <c r="I38" s="119"/>
      <c r="J38" s="119"/>
      <c r="K38" s="119"/>
      <c r="L38" s="119"/>
      <c r="O38" s="33"/>
      <c r="P38" s="33"/>
    </row>
    <row r="39" spans="2:16" s="22" customFormat="1">
      <c r="B39" s="241">
        <v>1</v>
      </c>
      <c r="C39" s="119" t="s">
        <v>83</v>
      </c>
      <c r="D39" s="498">
        <f>'F1'!J11</f>
        <v>2353.2059345800794</v>
      </c>
      <c r="E39" s="498">
        <f>'F1'!K11</f>
        <v>2580.3348862731868</v>
      </c>
      <c r="F39" s="498">
        <f>E39-D39</f>
        <v>227.12895169310741</v>
      </c>
      <c r="G39" s="498">
        <f>E39-D39</f>
        <v>227.12895169310741</v>
      </c>
      <c r="H39" s="499">
        <f>IF(G39&lt;0,2/3,1/3)*G39</f>
        <v>75.709650564369127</v>
      </c>
      <c r="I39" s="244"/>
      <c r="J39" s="244"/>
      <c r="K39" s="244"/>
      <c r="L39" s="318">
        <f>D39+H39</f>
        <v>2428.9155851444484</v>
      </c>
      <c r="M39" s="1419"/>
      <c r="O39" s="33"/>
      <c r="P39" s="33"/>
    </row>
    <row r="40" spans="2:16" s="314" customFormat="1">
      <c r="B40" s="241">
        <v>2</v>
      </c>
      <c r="C40" s="119" t="s">
        <v>934</v>
      </c>
      <c r="D40" s="491">
        <f>'F3'!J17-D41</f>
        <v>222.73448330491931</v>
      </c>
      <c r="E40" s="491">
        <f>'F3'!K17-E41</f>
        <v>294.21031957321401</v>
      </c>
      <c r="F40" s="498">
        <f>E40-D40</f>
        <v>71.475836268294699</v>
      </c>
      <c r="G40" s="498">
        <f>E40-D40</f>
        <v>71.475836268294699</v>
      </c>
      <c r="H40" s="499">
        <f>IF(G40&lt;0,2/3,1/3)*G40</f>
        <v>23.825278756098232</v>
      </c>
      <c r="I40" s="119"/>
      <c r="J40" s="119"/>
      <c r="K40" s="119"/>
      <c r="L40" s="318">
        <f>D40+H40</f>
        <v>246.55976206101755</v>
      </c>
      <c r="M40" s="615"/>
      <c r="N40" s="586"/>
      <c r="O40" s="33"/>
      <c r="P40" s="33"/>
    </row>
    <row r="41" spans="2:16" s="314" customFormat="1">
      <c r="B41" s="241"/>
      <c r="C41" s="119" t="s">
        <v>937</v>
      </c>
      <c r="D41" s="491">
        <f>'F3'!$J$14</f>
        <v>22.885196202284533</v>
      </c>
      <c r="E41" s="491">
        <f>'F3'!$K$14</f>
        <v>22.885196202284533</v>
      </c>
      <c r="F41" s="360">
        <f>E41-D41</f>
        <v>0</v>
      </c>
      <c r="G41" s="498">
        <f>E41-D41</f>
        <v>0</v>
      </c>
      <c r="H41" s="499">
        <f>IF(G41&lt;0,2/3,1/3)*G41</f>
        <v>0</v>
      </c>
      <c r="I41" s="119"/>
      <c r="J41" s="119"/>
      <c r="K41" s="119"/>
      <c r="L41" s="318">
        <f>D41+H41</f>
        <v>22.885196202284533</v>
      </c>
      <c r="M41" s="615"/>
      <c r="O41" s="33"/>
      <c r="P41" s="33"/>
    </row>
    <row r="42" spans="2:16" s="314" customFormat="1">
      <c r="B42" s="241"/>
      <c r="C42" s="119" t="s">
        <v>872</v>
      </c>
      <c r="D42" s="491">
        <f>E42</f>
        <v>20.111360491008533</v>
      </c>
      <c r="E42" s="491">
        <f>'F3.1'!G27</f>
        <v>20.111360491008533</v>
      </c>
      <c r="F42" s="498"/>
      <c r="G42" s="498"/>
      <c r="H42" s="491"/>
      <c r="I42" s="119"/>
      <c r="J42" s="119"/>
      <c r="K42" s="119"/>
      <c r="L42" s="318">
        <f>E42</f>
        <v>20.111360491008533</v>
      </c>
      <c r="M42" s="615"/>
      <c r="O42" s="33"/>
      <c r="P42" s="33"/>
    </row>
    <row r="43" spans="2:16" s="314" customFormat="1">
      <c r="B43" s="241">
        <v>3</v>
      </c>
      <c r="C43" s="120" t="s">
        <v>85</v>
      </c>
      <c r="D43" s="337">
        <f>SUM('F1'!$J$15:$J$16)</f>
        <v>344.77464696663731</v>
      </c>
      <c r="E43" s="337">
        <f>SUM('F1'!$K$15:$K$16)</f>
        <v>344.77464696663731</v>
      </c>
      <c r="F43" s="498">
        <f>E43-D43</f>
        <v>0</v>
      </c>
      <c r="G43" s="498">
        <f>E43-D43</f>
        <v>0</v>
      </c>
      <c r="H43" s="491"/>
      <c r="I43" s="119"/>
      <c r="J43" s="119"/>
      <c r="K43" s="119"/>
      <c r="L43" s="318">
        <f>E43</f>
        <v>344.77464696663731</v>
      </c>
      <c r="M43" s="615"/>
      <c r="O43" s="33"/>
      <c r="P43" s="33"/>
    </row>
    <row r="44" spans="2:16" s="314" customFormat="1">
      <c r="B44" s="241">
        <v>4</v>
      </c>
      <c r="C44" s="119" t="s">
        <v>86</v>
      </c>
      <c r="D44" s="491">
        <f>'F1'!J17+'F1'!J18</f>
        <v>164.11024418266283</v>
      </c>
      <c r="E44" s="491">
        <f>'F1'!K17+'F1'!K18</f>
        <v>164.11024418266283</v>
      </c>
      <c r="F44" s="579">
        <f>E44-D44</f>
        <v>0</v>
      </c>
      <c r="G44" s="498">
        <f>E44-D44</f>
        <v>0</v>
      </c>
      <c r="H44" s="491"/>
      <c r="I44" s="119"/>
      <c r="J44" s="119"/>
      <c r="K44" s="119"/>
      <c r="L44" s="318">
        <f>E44</f>
        <v>164.11024418266283</v>
      </c>
      <c r="M44" s="615"/>
      <c r="O44" s="33"/>
      <c r="P44" s="33"/>
    </row>
    <row r="45" spans="2:16" s="314" customFormat="1">
      <c r="B45" s="241">
        <v>5</v>
      </c>
      <c r="C45" s="120" t="s">
        <v>87</v>
      </c>
      <c r="D45" s="491">
        <f>'F1'!J19</f>
        <v>115.65641553478056</v>
      </c>
      <c r="E45" s="491">
        <f>'F1'!K19</f>
        <v>214.70842783599093</v>
      </c>
      <c r="F45" s="498">
        <f>E45-D45</f>
        <v>99.052012301210368</v>
      </c>
      <c r="G45" s="498">
        <f>E45-D45</f>
        <v>99.052012301210368</v>
      </c>
      <c r="H45" s="499">
        <f>IF(G45&lt;0,2/3,1/3)*G45</f>
        <v>33.017337433736785</v>
      </c>
      <c r="I45" s="119"/>
      <c r="J45" s="119"/>
      <c r="K45" s="119"/>
      <c r="L45" s="318">
        <f>D45+H45</f>
        <v>148.67375296851736</v>
      </c>
      <c r="M45" s="615"/>
      <c r="O45" s="33"/>
      <c r="P45" s="33"/>
    </row>
    <row r="46" spans="2:16" s="314" customFormat="1">
      <c r="B46" s="241">
        <v>6</v>
      </c>
      <c r="C46" s="120" t="s">
        <v>88</v>
      </c>
      <c r="D46" s="491">
        <f>'F1'!J21</f>
        <v>39.807030481122453</v>
      </c>
      <c r="E46" s="491">
        <f>'F1'!K21</f>
        <v>39.807030481122453</v>
      </c>
      <c r="F46" s="498">
        <f>E46-D46</f>
        <v>0</v>
      </c>
      <c r="G46" s="498">
        <f>E46-D46</f>
        <v>0</v>
      </c>
      <c r="H46" s="491"/>
      <c r="I46" s="119"/>
      <c r="J46" s="119"/>
      <c r="K46" s="119"/>
      <c r="L46" s="318">
        <f>E46</f>
        <v>39.807030481122453</v>
      </c>
      <c r="M46" s="615"/>
      <c r="O46" s="33"/>
      <c r="P46" s="33"/>
    </row>
    <row r="47" spans="2:16" s="314" customFormat="1">
      <c r="B47" s="241">
        <v>7</v>
      </c>
      <c r="C47" s="119" t="s">
        <v>89</v>
      </c>
      <c r="D47" s="491">
        <f>'F1'!J22</f>
        <v>0</v>
      </c>
      <c r="E47" s="491">
        <f>'F1'!K22</f>
        <v>0</v>
      </c>
      <c r="F47" s="498">
        <f>E47-D47</f>
        <v>0</v>
      </c>
      <c r="G47" s="498">
        <f>E47-D47</f>
        <v>0</v>
      </c>
      <c r="H47" s="491"/>
      <c r="I47" s="119"/>
      <c r="J47" s="119"/>
      <c r="K47" s="119"/>
      <c r="L47" s="318">
        <f>E47</f>
        <v>0</v>
      </c>
      <c r="M47" s="615"/>
      <c r="O47" s="33"/>
      <c r="P47" s="33"/>
    </row>
    <row r="48" spans="2:16" s="314" customFormat="1">
      <c r="B48" s="241"/>
      <c r="C48" s="119"/>
      <c r="D48" s="491"/>
      <c r="E48" s="491"/>
      <c r="F48" s="491"/>
      <c r="G48" s="491"/>
      <c r="H48" s="491"/>
      <c r="I48" s="119"/>
      <c r="J48" s="119"/>
      <c r="K48" s="119"/>
      <c r="L48" s="318"/>
      <c r="M48" s="615"/>
      <c r="O48" s="33"/>
      <c r="P48" s="33"/>
    </row>
    <row r="49" spans="2:16" s="314" customFormat="1">
      <c r="B49" s="313">
        <v>8</v>
      </c>
      <c r="C49" s="244" t="s">
        <v>90</v>
      </c>
      <c r="D49" s="491">
        <f>SUM(D39:D47)</f>
        <v>3283.2853117434947</v>
      </c>
      <c r="E49" s="491">
        <f>SUM(E39:E47)</f>
        <v>3680.942112006107</v>
      </c>
      <c r="F49" s="491">
        <f>SUM(F39:F47)</f>
        <v>397.65680026261248</v>
      </c>
      <c r="G49" s="498">
        <f>E49-D49</f>
        <v>397.65680026261225</v>
      </c>
      <c r="H49" s="491"/>
      <c r="I49" s="119"/>
      <c r="J49" s="119"/>
      <c r="K49" s="119"/>
      <c r="L49" s="360">
        <f>SUM(L39:L48)</f>
        <v>3415.8375784976988</v>
      </c>
      <c r="M49" s="1420"/>
      <c r="O49" s="33"/>
      <c r="P49" s="33"/>
    </row>
    <row r="50" spans="2:16" s="589" customFormat="1">
      <c r="B50" s="241">
        <v>9</v>
      </c>
      <c r="C50" s="119" t="s">
        <v>91</v>
      </c>
      <c r="D50" s="491">
        <f>'F1'!J24+'F1'!J25</f>
        <v>184.71932403665537</v>
      </c>
      <c r="E50" s="491">
        <f>'F1'!K24+'F1'!K25</f>
        <v>184.71932403665537</v>
      </c>
      <c r="F50" s="491">
        <f>E50-D50</f>
        <v>0</v>
      </c>
      <c r="G50" s="498">
        <f>E50-D50</f>
        <v>0</v>
      </c>
      <c r="H50" s="498"/>
      <c r="I50" s="244"/>
      <c r="J50" s="244"/>
      <c r="K50" s="244"/>
      <c r="L50" s="318">
        <f>E50</f>
        <v>184.71932403665537</v>
      </c>
      <c r="M50" s="325"/>
      <c r="O50" s="33"/>
      <c r="P50" s="33"/>
    </row>
    <row r="51" spans="2:16" s="314" customFormat="1">
      <c r="B51" s="241">
        <v>10</v>
      </c>
      <c r="C51" s="119" t="s">
        <v>92</v>
      </c>
      <c r="D51" s="491">
        <f>'F1'!J26</f>
        <v>3.9354826376086258</v>
      </c>
      <c r="E51" s="491">
        <f>'F1'!K26</f>
        <v>3.9354826376086258</v>
      </c>
      <c r="F51" s="491">
        <f>E51-D51</f>
        <v>0</v>
      </c>
      <c r="G51" s="498">
        <f>E51-D51</f>
        <v>0</v>
      </c>
      <c r="H51" s="491"/>
      <c r="I51" s="119"/>
      <c r="J51" s="119"/>
      <c r="K51" s="119"/>
      <c r="L51" s="318">
        <f>E51</f>
        <v>3.9354826376086258</v>
      </c>
      <c r="M51" s="325"/>
      <c r="O51" s="33"/>
      <c r="P51" s="33"/>
    </row>
    <row r="52" spans="2:16" s="589" customFormat="1">
      <c r="B52" s="313">
        <v>11</v>
      </c>
      <c r="C52" s="244" t="s">
        <v>93</v>
      </c>
      <c r="D52" s="498">
        <f>D49+D50-D51</f>
        <v>3464.0691531425418</v>
      </c>
      <c r="E52" s="498">
        <f>E49+E50-E51</f>
        <v>3861.7259534051541</v>
      </c>
      <c r="F52" s="498">
        <f>F49+F50-F51</f>
        <v>397.65680026261248</v>
      </c>
      <c r="G52" s="498">
        <f>E52-D52</f>
        <v>397.65680026261225</v>
      </c>
      <c r="H52" s="498"/>
      <c r="I52" s="244"/>
      <c r="J52" s="244"/>
      <c r="K52" s="244"/>
      <c r="L52" s="360">
        <f>L49+L50-L51</f>
        <v>3596.6214198967459</v>
      </c>
      <c r="M52" s="1420">
        <v>0</v>
      </c>
      <c r="O52" s="33"/>
      <c r="P52" s="33"/>
    </row>
    <row r="53" spans="2:16" s="589" customFormat="1" ht="15.5">
      <c r="B53" s="241">
        <v>12</v>
      </c>
      <c r="C53" s="839" t="s">
        <v>886</v>
      </c>
      <c r="D53" s="498">
        <v>0</v>
      </c>
      <c r="E53" s="498">
        <f>'AFC Reduction and AEC loss'!$E$8</f>
        <v>49.219856786104174</v>
      </c>
      <c r="F53" s="498"/>
      <c r="G53" s="498"/>
      <c r="H53" s="498"/>
      <c r="I53" s="244"/>
      <c r="J53" s="244"/>
      <c r="K53" s="244"/>
      <c r="L53" s="498">
        <f>E53</f>
        <v>49.219856786104174</v>
      </c>
      <c r="M53" s="325"/>
      <c r="O53" s="33"/>
      <c r="P53" s="33"/>
    </row>
    <row r="54" spans="2:16" s="589" customFormat="1" ht="15">
      <c r="B54" s="313" t="s">
        <v>172</v>
      </c>
      <c r="C54" s="840" t="s">
        <v>1029</v>
      </c>
      <c r="D54" s="498"/>
      <c r="E54" s="498"/>
      <c r="F54" s="498"/>
      <c r="G54" s="498"/>
      <c r="H54" s="498"/>
      <c r="I54" s="244"/>
      <c r="J54" s="244"/>
      <c r="K54" s="244"/>
      <c r="L54" s="498">
        <f>L52-L53</f>
        <v>3547.4015631106417</v>
      </c>
      <c r="M54" s="325"/>
      <c r="O54" s="33"/>
      <c r="P54" s="33"/>
    </row>
    <row r="55" spans="2:16" s="589" customFormat="1">
      <c r="B55" s="500"/>
      <c r="C55" s="501"/>
      <c r="D55" s="498"/>
      <c r="E55" s="498"/>
      <c r="F55" s="498"/>
      <c r="G55" s="498"/>
      <c r="H55" s="498"/>
      <c r="I55" s="244"/>
      <c r="J55" s="244"/>
      <c r="K55" s="244"/>
      <c r="L55" s="318"/>
      <c r="M55" s="325"/>
      <c r="O55" s="33"/>
      <c r="P55" s="33"/>
    </row>
    <row r="56" spans="2:16" s="589" customFormat="1">
      <c r="B56" s="500" t="s">
        <v>185</v>
      </c>
      <c r="C56" s="501" t="s">
        <v>308</v>
      </c>
      <c r="D56" s="498"/>
      <c r="E56" s="498"/>
      <c r="F56" s="498"/>
      <c r="G56" s="498"/>
      <c r="H56" s="498"/>
      <c r="I56" s="244"/>
      <c r="J56" s="244"/>
      <c r="K56" s="244"/>
      <c r="L56" s="318"/>
      <c r="M56" s="325"/>
      <c r="O56" s="33"/>
      <c r="P56" s="33"/>
    </row>
    <row r="57" spans="2:16" s="314" customFormat="1">
      <c r="B57" s="450">
        <v>11</v>
      </c>
      <c r="C57" s="120" t="s">
        <v>309</v>
      </c>
      <c r="D57" s="491"/>
      <c r="E57" s="491">
        <f>'F9'!N20</f>
        <v>3279.0213847609998</v>
      </c>
      <c r="F57" s="498">
        <f>E57-D57</f>
        <v>3279.0213847609998</v>
      </c>
      <c r="G57" s="498"/>
      <c r="H57" s="491"/>
      <c r="I57" s="119"/>
      <c r="J57" s="119"/>
      <c r="K57" s="119"/>
      <c r="L57" s="318">
        <f>E57</f>
        <v>3279.0213847609998</v>
      </c>
      <c r="M57" s="325"/>
      <c r="O57" s="33"/>
      <c r="P57" s="33"/>
    </row>
    <row r="58" spans="2:16" s="314" customFormat="1">
      <c r="B58" s="450">
        <f>B57+1</f>
        <v>12</v>
      </c>
      <c r="C58" s="120" t="s">
        <v>869</v>
      </c>
      <c r="D58" s="491"/>
      <c r="E58" s="491"/>
      <c r="F58" s="491"/>
      <c r="G58" s="337">
        <f>'AFC Reduction and AEC loss'!$O$47</f>
        <v>20.339166705455192</v>
      </c>
      <c r="H58" s="499">
        <f>IF(G58&lt;0,2/3,1/3)*G58</f>
        <v>6.7797222351517306</v>
      </c>
      <c r="I58" s="119"/>
      <c r="J58" s="119"/>
      <c r="K58" s="119"/>
      <c r="L58" s="318">
        <f>H58</f>
        <v>6.7797222351517306</v>
      </c>
      <c r="M58" s="325"/>
      <c r="O58" s="33"/>
      <c r="P58" s="33"/>
    </row>
    <row r="59" spans="2:16">
      <c r="B59" s="450">
        <f>B58+1</f>
        <v>13</v>
      </c>
      <c r="C59" s="501" t="s">
        <v>870</v>
      </c>
      <c r="D59" s="119"/>
      <c r="E59" s="119"/>
      <c r="F59" s="119"/>
      <c r="G59" s="119"/>
      <c r="H59" s="119"/>
      <c r="I59" s="119"/>
      <c r="J59" s="119"/>
      <c r="K59" s="119"/>
      <c r="L59" s="360">
        <f>SUM(L57:L58)</f>
        <v>3285.8011069961517</v>
      </c>
      <c r="M59" s="1420">
        <v>0</v>
      </c>
      <c r="O59" s="33"/>
      <c r="P59" s="33"/>
    </row>
    <row r="60" spans="2:16" s="22" customFormat="1">
      <c r="B60" s="118" t="s">
        <v>186</v>
      </c>
      <c r="C60" s="104" t="s">
        <v>317</v>
      </c>
      <c r="D60" s="312"/>
      <c r="E60" s="312"/>
      <c r="F60" s="312"/>
      <c r="G60" s="27"/>
      <c r="H60" s="312"/>
      <c r="I60" s="27"/>
      <c r="J60" s="27"/>
      <c r="K60" s="27"/>
      <c r="L60" s="360">
        <f>L54-L59</f>
        <v>261.60045611449004</v>
      </c>
      <c r="M60" s="1420">
        <v>-4.5474735088646412E-13</v>
      </c>
      <c r="O60" s="33"/>
      <c r="P60" s="33"/>
    </row>
    <row r="61" spans="2:16" s="22" customFormat="1">
      <c r="B61" s="246"/>
      <c r="C61" s="247"/>
      <c r="D61" s="223"/>
      <c r="E61" s="223"/>
      <c r="F61" s="223"/>
      <c r="G61" s="223"/>
      <c r="H61" s="223"/>
      <c r="I61" s="223"/>
      <c r="J61" s="223"/>
      <c r="K61" s="223"/>
      <c r="L61" s="320"/>
      <c r="M61" s="1419"/>
      <c r="O61" s="33"/>
      <c r="P61" s="33"/>
    </row>
    <row r="62" spans="2:16" s="22" customFormat="1">
      <c r="B62" s="249" t="s">
        <v>601</v>
      </c>
      <c r="C62" s="247"/>
      <c r="D62" s="223"/>
      <c r="E62" s="223"/>
      <c r="F62" s="223"/>
      <c r="G62" s="223"/>
      <c r="H62" s="223"/>
      <c r="I62" s="223"/>
      <c r="J62" s="223"/>
      <c r="K62" s="223"/>
      <c r="L62" s="219"/>
      <c r="M62" s="1419"/>
      <c r="O62" s="33"/>
      <c r="P62" s="33"/>
    </row>
    <row r="63" spans="2:16" s="22" customFormat="1">
      <c r="B63" s="249"/>
      <c r="C63" s="247"/>
      <c r="D63" s="223"/>
      <c r="E63" s="223"/>
      <c r="F63" s="223"/>
      <c r="G63" s="223"/>
      <c r="H63" s="223"/>
      <c r="I63" s="223"/>
      <c r="J63" s="223"/>
      <c r="K63" s="223"/>
      <c r="L63" s="219"/>
      <c r="M63" s="1419"/>
      <c r="O63" s="33"/>
      <c r="P63" s="33"/>
    </row>
    <row r="64" spans="2:16">
      <c r="B64" s="82"/>
      <c r="C64" s="64"/>
      <c r="D64" s="64"/>
      <c r="E64" s="64"/>
      <c r="F64" s="64"/>
      <c r="G64" s="64"/>
      <c r="H64" s="64"/>
      <c r="I64" s="64"/>
      <c r="J64" s="64"/>
      <c r="K64" s="64"/>
      <c r="L64" s="64"/>
      <c r="O64" s="33"/>
      <c r="P64" s="33"/>
    </row>
    <row r="65" spans="2:16">
      <c r="B65" s="64"/>
      <c r="C65" s="64"/>
      <c r="D65" s="64"/>
      <c r="E65" s="64"/>
      <c r="F65" s="64"/>
      <c r="G65" s="64"/>
      <c r="H65" s="64"/>
      <c r="I65" s="64"/>
      <c r="J65" s="64"/>
      <c r="K65" s="725"/>
      <c r="L65" s="725"/>
      <c r="O65" s="33"/>
      <c r="P65" s="33"/>
    </row>
    <row r="66" spans="2:16">
      <c r="B66" s="57"/>
      <c r="C66" s="726"/>
      <c r="D66" s="699"/>
      <c r="E66" s="699"/>
      <c r="F66" s="699"/>
      <c r="G66" s="699"/>
      <c r="H66" s="699"/>
      <c r="I66" s="699"/>
      <c r="J66" s="699"/>
      <c r="K66" s="699"/>
      <c r="L66" s="699"/>
      <c r="O66" s="33"/>
      <c r="P66" s="33"/>
    </row>
    <row r="67" spans="2:16">
      <c r="B67" s="64"/>
      <c r="C67" s="64"/>
      <c r="D67" s="64"/>
      <c r="E67" s="64"/>
      <c r="F67" s="64"/>
      <c r="G67" s="64"/>
      <c r="H67" s="64"/>
      <c r="I67" s="64"/>
      <c r="J67" s="64"/>
      <c r="K67" s="64"/>
      <c r="L67" s="64"/>
      <c r="O67" s="33"/>
      <c r="P67" s="33"/>
    </row>
    <row r="68" spans="2:16" s="22" customFormat="1">
      <c r="B68" s="713"/>
      <c r="C68" s="64"/>
      <c r="D68" s="714"/>
      <c r="E68" s="714"/>
      <c r="F68" s="714"/>
      <c r="G68" s="714"/>
      <c r="H68" s="715"/>
      <c r="I68" s="716"/>
      <c r="J68" s="716"/>
      <c r="K68" s="716"/>
      <c r="L68" s="323"/>
      <c r="M68" s="1419"/>
      <c r="O68" s="33"/>
      <c r="P68" s="33"/>
    </row>
    <row r="69" spans="2:16" s="314" customFormat="1">
      <c r="B69" s="713"/>
      <c r="C69" s="64"/>
      <c r="D69" s="717"/>
      <c r="E69" s="717"/>
      <c r="F69" s="717"/>
      <c r="G69" s="717"/>
      <c r="H69" s="715"/>
      <c r="I69" s="64"/>
      <c r="J69" s="64"/>
      <c r="K69" s="64"/>
      <c r="L69" s="323"/>
      <c r="M69" s="615">
        <f>SUM(L69:L70)-P80</f>
        <v>0</v>
      </c>
      <c r="O69" s="33"/>
      <c r="P69" s="33"/>
    </row>
    <row r="70" spans="2:16" s="314" customFormat="1">
      <c r="B70" s="713"/>
      <c r="C70" s="64"/>
      <c r="D70" s="717"/>
      <c r="E70" s="717"/>
      <c r="F70" s="717"/>
      <c r="G70" s="717"/>
      <c r="H70" s="715"/>
      <c r="I70" s="64"/>
      <c r="J70" s="64"/>
      <c r="K70" s="64"/>
      <c r="L70" s="323"/>
      <c r="M70" s="615"/>
      <c r="O70" s="33"/>
      <c r="P70" s="33"/>
    </row>
    <row r="71" spans="2:16">
      <c r="B71" s="713"/>
      <c r="C71" s="64"/>
      <c r="D71" s="717"/>
      <c r="E71" s="717"/>
      <c r="F71" s="717"/>
      <c r="G71" s="717"/>
      <c r="H71" s="715"/>
      <c r="I71" s="64"/>
      <c r="J71" s="64"/>
      <c r="K71" s="64"/>
      <c r="L71" s="323"/>
      <c r="O71" s="33"/>
      <c r="P71" s="33"/>
    </row>
    <row r="72" spans="2:16">
      <c r="B72" s="713"/>
      <c r="C72" s="718"/>
      <c r="D72" s="714"/>
      <c r="E72" s="717"/>
      <c r="F72" s="717"/>
      <c r="G72" s="717"/>
      <c r="H72" s="64"/>
      <c r="I72" s="64"/>
      <c r="J72" s="64"/>
      <c r="K72" s="64"/>
      <c r="L72" s="323"/>
      <c r="O72" s="33"/>
      <c r="P72" s="33"/>
    </row>
    <row r="73" spans="2:16">
      <c r="B73" s="713"/>
      <c r="C73" s="64"/>
      <c r="D73" s="714"/>
      <c r="E73" s="717"/>
      <c r="F73" s="717"/>
      <c r="G73" s="717"/>
      <c r="H73" s="64"/>
      <c r="I73" s="64"/>
      <c r="J73" s="64"/>
      <c r="K73" s="64"/>
      <c r="L73" s="323"/>
      <c r="O73" s="33"/>
      <c r="P73" s="33"/>
    </row>
    <row r="74" spans="2:16">
      <c r="B74" s="713"/>
      <c r="C74" s="718"/>
      <c r="D74" s="714"/>
      <c r="E74" s="717"/>
      <c r="F74" s="717"/>
      <c r="G74" s="717"/>
      <c r="H74" s="715"/>
      <c r="I74" s="64"/>
      <c r="J74" s="64"/>
      <c r="K74" s="64"/>
      <c r="L74" s="323"/>
      <c r="O74" s="33"/>
      <c r="P74" s="33"/>
    </row>
    <row r="75" spans="2:16">
      <c r="B75" s="713"/>
      <c r="C75" s="718"/>
      <c r="D75" s="714"/>
      <c r="E75" s="717"/>
      <c r="F75" s="717"/>
      <c r="G75" s="717"/>
      <c r="H75" s="717"/>
      <c r="I75" s="64"/>
      <c r="J75" s="64"/>
      <c r="K75" s="64"/>
      <c r="L75" s="323"/>
      <c r="O75" s="33"/>
      <c r="P75" s="33"/>
    </row>
    <row r="76" spans="2:16">
      <c r="B76" s="713"/>
      <c r="C76" s="64"/>
      <c r="D76" s="714"/>
      <c r="E76" s="717"/>
      <c r="F76" s="717"/>
      <c r="G76" s="717"/>
      <c r="H76" s="717"/>
      <c r="I76" s="64"/>
      <c r="J76" s="64"/>
      <c r="K76" s="64"/>
      <c r="L76" s="323"/>
      <c r="O76" s="33"/>
      <c r="P76" s="33"/>
    </row>
    <row r="77" spans="2:16">
      <c r="B77" s="713"/>
      <c r="C77" s="64"/>
      <c r="D77" s="717"/>
      <c r="E77" s="717"/>
      <c r="F77" s="717"/>
      <c r="G77" s="717"/>
      <c r="H77" s="717"/>
      <c r="I77" s="64"/>
      <c r="J77" s="64"/>
      <c r="K77" s="64"/>
      <c r="L77" s="323"/>
      <c r="O77" s="33"/>
      <c r="P77" s="33"/>
    </row>
    <row r="78" spans="2:16">
      <c r="B78" s="700"/>
      <c r="C78" s="716"/>
      <c r="D78" s="717"/>
      <c r="E78" s="717"/>
      <c r="F78" s="717"/>
      <c r="G78" s="717"/>
      <c r="H78" s="717"/>
      <c r="I78" s="64"/>
      <c r="J78" s="64"/>
      <c r="K78" s="64"/>
      <c r="L78" s="719"/>
      <c r="O78" s="33"/>
      <c r="P78" s="33"/>
    </row>
    <row r="79" spans="2:16" s="22" customFormat="1">
      <c r="B79" s="713"/>
      <c r="C79" s="64"/>
      <c r="D79" s="714"/>
      <c r="E79" s="714"/>
      <c r="F79" s="714"/>
      <c r="G79" s="714"/>
      <c r="H79" s="714"/>
      <c r="I79" s="716"/>
      <c r="J79" s="716"/>
      <c r="K79" s="716"/>
      <c r="L79" s="323"/>
      <c r="M79" s="1419"/>
      <c r="O79" s="33"/>
      <c r="P79" s="33"/>
    </row>
    <row r="80" spans="2:16">
      <c r="B80" s="713"/>
      <c r="C80" s="64"/>
      <c r="D80" s="714"/>
      <c r="E80" s="714"/>
      <c r="F80" s="717"/>
      <c r="G80" s="717"/>
      <c r="H80" s="717"/>
      <c r="I80" s="64"/>
      <c r="J80" s="64"/>
      <c r="K80" s="64"/>
      <c r="L80" s="323"/>
      <c r="O80" s="33"/>
      <c r="P80" s="33"/>
    </row>
    <row r="81" spans="2:16" s="22" customFormat="1">
      <c r="B81" s="700"/>
      <c r="C81" s="716"/>
      <c r="D81" s="714"/>
      <c r="E81" s="714"/>
      <c r="F81" s="714"/>
      <c r="G81" s="714"/>
      <c r="H81" s="714"/>
      <c r="I81" s="716"/>
      <c r="J81" s="716"/>
      <c r="K81" s="716"/>
      <c r="L81" s="719"/>
      <c r="M81" s="1419"/>
      <c r="O81" s="33"/>
      <c r="P81" s="33"/>
    </row>
    <row r="82" spans="2:16" s="22" customFormat="1">
      <c r="B82" s="720"/>
      <c r="C82" s="721"/>
      <c r="D82" s="714"/>
      <c r="E82" s="714"/>
      <c r="F82" s="714"/>
      <c r="G82" s="714"/>
      <c r="H82" s="714"/>
      <c r="I82" s="716"/>
      <c r="J82" s="716"/>
      <c r="K82" s="716"/>
      <c r="L82" s="323"/>
      <c r="M82" s="1419"/>
      <c r="O82" s="33"/>
      <c r="P82" s="33"/>
    </row>
    <row r="83" spans="2:16" s="22" customFormat="1">
      <c r="B83" s="720"/>
      <c r="C83" s="721"/>
      <c r="D83" s="714"/>
      <c r="E83" s="714"/>
      <c r="F83" s="714"/>
      <c r="G83" s="714"/>
      <c r="H83" s="714"/>
      <c r="I83" s="716"/>
      <c r="J83" s="716"/>
      <c r="K83" s="716"/>
      <c r="L83" s="323"/>
      <c r="M83" s="1419"/>
    </row>
    <row r="84" spans="2:16">
      <c r="B84" s="722"/>
      <c r="C84" s="718"/>
      <c r="D84" s="717"/>
      <c r="E84" s="717"/>
      <c r="F84" s="717"/>
      <c r="G84" s="717"/>
      <c r="H84" s="717"/>
      <c r="I84" s="64"/>
      <c r="J84" s="64"/>
      <c r="K84" s="64"/>
      <c r="L84" s="323"/>
      <c r="M84" s="1419"/>
      <c r="O84" s="22"/>
      <c r="P84" s="22"/>
    </row>
    <row r="85" spans="2:16">
      <c r="B85" s="722"/>
      <c r="C85" s="718"/>
      <c r="D85" s="717"/>
      <c r="E85" s="717"/>
      <c r="F85" s="717"/>
      <c r="G85" s="723"/>
      <c r="H85" s="715"/>
      <c r="I85" s="64"/>
      <c r="J85" s="64"/>
      <c r="K85" s="64"/>
      <c r="L85" s="323"/>
      <c r="M85" s="1419"/>
      <c r="O85" s="22"/>
      <c r="P85" s="22"/>
    </row>
    <row r="86" spans="2:16">
      <c r="B86" s="722"/>
      <c r="C86" s="721"/>
      <c r="D86" s="717"/>
      <c r="E86" s="717"/>
      <c r="F86" s="717"/>
      <c r="G86" s="717"/>
      <c r="H86" s="717"/>
      <c r="I86" s="64"/>
      <c r="J86" s="64"/>
      <c r="K86" s="64"/>
      <c r="L86" s="719"/>
      <c r="M86" s="1419"/>
    </row>
    <row r="87" spans="2:16" s="22" customFormat="1">
      <c r="B87" s="720"/>
      <c r="C87" s="721"/>
      <c r="D87" s="724"/>
      <c r="E87" s="724"/>
      <c r="F87" s="724"/>
      <c r="G87" s="724"/>
      <c r="H87" s="724"/>
      <c r="I87" s="716"/>
      <c r="J87" s="716"/>
      <c r="K87" s="716"/>
      <c r="L87" s="719"/>
      <c r="M87" s="1419"/>
      <c r="O87" s="14"/>
      <c r="P87" s="14"/>
    </row>
    <row r="88" spans="2:16">
      <c r="B88" s="64"/>
      <c r="C88" s="64"/>
      <c r="D88" s="64"/>
      <c r="E88" s="64"/>
      <c r="F88" s="64"/>
      <c r="G88" s="64"/>
      <c r="H88" s="64"/>
      <c r="I88" s="64"/>
      <c r="J88" s="64"/>
      <c r="K88" s="64"/>
      <c r="L88" s="64"/>
    </row>
    <row r="89" spans="2:16">
      <c r="B89" s="727"/>
      <c r="C89" s="64"/>
      <c r="D89" s="728"/>
      <c r="E89" s="728"/>
      <c r="F89" s="728"/>
      <c r="G89" s="728"/>
      <c r="H89" s="728"/>
      <c r="I89" s="728"/>
      <c r="J89" s="728"/>
      <c r="K89" s="728"/>
      <c r="L89" s="64"/>
      <c r="O89" s="22"/>
      <c r="P89" s="22"/>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29"/>
  <sheetViews>
    <sheetView workbookViewId="0">
      <selection activeCell="E3" sqref="E3"/>
    </sheetView>
  </sheetViews>
  <sheetFormatPr defaultColWidth="9.08984375" defaultRowHeight="14"/>
  <cols>
    <col min="1" max="1" width="9.08984375" style="874"/>
    <col min="2" max="2" width="21.6328125" style="874" customWidth="1"/>
    <col min="3" max="3" width="23" style="874" customWidth="1"/>
    <col min="4" max="4" width="19.453125" style="874" customWidth="1"/>
    <col min="5" max="5" width="21.6328125" style="874" customWidth="1"/>
    <col min="6" max="6" width="38" style="874" customWidth="1"/>
    <col min="7" max="7" width="24.453125" style="874" customWidth="1"/>
    <col min="8" max="8" width="10.6328125" style="874" bestFit="1" customWidth="1"/>
    <col min="9" max="257" width="9.08984375" style="874"/>
    <col min="258" max="258" width="21.6328125" style="874" customWidth="1"/>
    <col min="259" max="259" width="27.90625" style="874" customWidth="1"/>
    <col min="260" max="260" width="33.90625" style="874" customWidth="1"/>
    <col min="261" max="261" width="60" style="874" customWidth="1"/>
    <col min="262" max="262" width="164.08984375" style="874" customWidth="1"/>
    <col min="263" max="263" width="24.453125" style="874" customWidth="1"/>
    <col min="264" max="264" width="10.6328125" style="874" bestFit="1" customWidth="1"/>
    <col min="265" max="513" width="9.08984375" style="874"/>
    <col min="514" max="514" width="21.6328125" style="874" customWidth="1"/>
    <col min="515" max="515" width="27.90625" style="874" customWidth="1"/>
    <col min="516" max="516" width="33.90625" style="874" customWidth="1"/>
    <col min="517" max="517" width="60" style="874" customWidth="1"/>
    <col min="518" max="518" width="164.08984375" style="874" customWidth="1"/>
    <col min="519" max="519" width="24.453125" style="874" customWidth="1"/>
    <col min="520" max="520" width="10.6328125" style="874" bestFit="1" customWidth="1"/>
    <col min="521" max="769" width="9.08984375" style="874"/>
    <col min="770" max="770" width="21.6328125" style="874" customWidth="1"/>
    <col min="771" max="771" width="27.90625" style="874" customWidth="1"/>
    <col min="772" max="772" width="33.90625" style="874" customWidth="1"/>
    <col min="773" max="773" width="60" style="874" customWidth="1"/>
    <col min="774" max="774" width="164.08984375" style="874" customWidth="1"/>
    <col min="775" max="775" width="24.453125" style="874" customWidth="1"/>
    <col min="776" max="776" width="10.6328125" style="874" bestFit="1" customWidth="1"/>
    <col min="777" max="1025" width="9.08984375" style="874"/>
    <col min="1026" max="1026" width="21.6328125" style="874" customWidth="1"/>
    <col min="1027" max="1027" width="27.90625" style="874" customWidth="1"/>
    <col min="1028" max="1028" width="33.90625" style="874" customWidth="1"/>
    <col min="1029" max="1029" width="60" style="874" customWidth="1"/>
    <col min="1030" max="1030" width="164.08984375" style="874" customWidth="1"/>
    <col min="1031" max="1031" width="24.453125" style="874" customWidth="1"/>
    <col min="1032" max="1032" width="10.6328125" style="874" bestFit="1" customWidth="1"/>
    <col min="1033" max="1281" width="9.08984375" style="874"/>
    <col min="1282" max="1282" width="21.6328125" style="874" customWidth="1"/>
    <col min="1283" max="1283" width="27.90625" style="874" customWidth="1"/>
    <col min="1284" max="1284" width="33.90625" style="874" customWidth="1"/>
    <col min="1285" max="1285" width="60" style="874" customWidth="1"/>
    <col min="1286" max="1286" width="164.08984375" style="874" customWidth="1"/>
    <col min="1287" max="1287" width="24.453125" style="874" customWidth="1"/>
    <col min="1288" max="1288" width="10.6328125" style="874" bestFit="1" customWidth="1"/>
    <col min="1289" max="1537" width="9.08984375" style="874"/>
    <col min="1538" max="1538" width="21.6328125" style="874" customWidth="1"/>
    <col min="1539" max="1539" width="27.90625" style="874" customWidth="1"/>
    <col min="1540" max="1540" width="33.90625" style="874" customWidth="1"/>
    <col min="1541" max="1541" width="60" style="874" customWidth="1"/>
    <col min="1542" max="1542" width="164.08984375" style="874" customWidth="1"/>
    <col min="1543" max="1543" width="24.453125" style="874" customWidth="1"/>
    <col min="1544" max="1544" width="10.6328125" style="874" bestFit="1" customWidth="1"/>
    <col min="1545" max="1793" width="9.08984375" style="874"/>
    <col min="1794" max="1794" width="21.6328125" style="874" customWidth="1"/>
    <col min="1795" max="1795" width="27.90625" style="874" customWidth="1"/>
    <col min="1796" max="1796" width="33.90625" style="874" customWidth="1"/>
    <col min="1797" max="1797" width="60" style="874" customWidth="1"/>
    <col min="1798" max="1798" width="164.08984375" style="874" customWidth="1"/>
    <col min="1799" max="1799" width="24.453125" style="874" customWidth="1"/>
    <col min="1800" max="1800" width="10.6328125" style="874" bestFit="1" customWidth="1"/>
    <col min="1801" max="2049" width="9.08984375" style="874"/>
    <col min="2050" max="2050" width="21.6328125" style="874" customWidth="1"/>
    <col min="2051" max="2051" width="27.90625" style="874" customWidth="1"/>
    <col min="2052" max="2052" width="33.90625" style="874" customWidth="1"/>
    <col min="2053" max="2053" width="60" style="874" customWidth="1"/>
    <col min="2054" max="2054" width="164.08984375" style="874" customWidth="1"/>
    <col min="2055" max="2055" width="24.453125" style="874" customWidth="1"/>
    <col min="2056" max="2056" width="10.6328125" style="874" bestFit="1" customWidth="1"/>
    <col min="2057" max="2305" width="9.08984375" style="874"/>
    <col min="2306" max="2306" width="21.6328125" style="874" customWidth="1"/>
    <col min="2307" max="2307" width="27.90625" style="874" customWidth="1"/>
    <col min="2308" max="2308" width="33.90625" style="874" customWidth="1"/>
    <col min="2309" max="2309" width="60" style="874" customWidth="1"/>
    <col min="2310" max="2310" width="164.08984375" style="874" customWidth="1"/>
    <col min="2311" max="2311" width="24.453125" style="874" customWidth="1"/>
    <col min="2312" max="2312" width="10.6328125" style="874" bestFit="1" customWidth="1"/>
    <col min="2313" max="2561" width="9.08984375" style="874"/>
    <col min="2562" max="2562" width="21.6328125" style="874" customWidth="1"/>
    <col min="2563" max="2563" width="27.90625" style="874" customWidth="1"/>
    <col min="2564" max="2564" width="33.90625" style="874" customWidth="1"/>
    <col min="2565" max="2565" width="60" style="874" customWidth="1"/>
    <col min="2566" max="2566" width="164.08984375" style="874" customWidth="1"/>
    <col min="2567" max="2567" width="24.453125" style="874" customWidth="1"/>
    <col min="2568" max="2568" width="10.6328125" style="874" bestFit="1" customWidth="1"/>
    <col min="2569" max="2817" width="9.08984375" style="874"/>
    <col min="2818" max="2818" width="21.6328125" style="874" customWidth="1"/>
    <col min="2819" max="2819" width="27.90625" style="874" customWidth="1"/>
    <col min="2820" max="2820" width="33.90625" style="874" customWidth="1"/>
    <col min="2821" max="2821" width="60" style="874" customWidth="1"/>
    <col min="2822" max="2822" width="164.08984375" style="874" customWidth="1"/>
    <col min="2823" max="2823" width="24.453125" style="874" customWidth="1"/>
    <col min="2824" max="2824" width="10.6328125" style="874" bestFit="1" customWidth="1"/>
    <col min="2825" max="3073" width="9.08984375" style="874"/>
    <col min="3074" max="3074" width="21.6328125" style="874" customWidth="1"/>
    <col min="3075" max="3075" width="27.90625" style="874" customWidth="1"/>
    <col min="3076" max="3076" width="33.90625" style="874" customWidth="1"/>
    <col min="3077" max="3077" width="60" style="874" customWidth="1"/>
    <col min="3078" max="3078" width="164.08984375" style="874" customWidth="1"/>
    <col min="3079" max="3079" width="24.453125" style="874" customWidth="1"/>
    <col min="3080" max="3080" width="10.6328125" style="874" bestFit="1" customWidth="1"/>
    <col min="3081" max="3329" width="9.08984375" style="874"/>
    <col min="3330" max="3330" width="21.6328125" style="874" customWidth="1"/>
    <col min="3331" max="3331" width="27.90625" style="874" customWidth="1"/>
    <col min="3332" max="3332" width="33.90625" style="874" customWidth="1"/>
    <col min="3333" max="3333" width="60" style="874" customWidth="1"/>
    <col min="3334" max="3334" width="164.08984375" style="874" customWidth="1"/>
    <col min="3335" max="3335" width="24.453125" style="874" customWidth="1"/>
    <col min="3336" max="3336" width="10.6328125" style="874" bestFit="1" customWidth="1"/>
    <col min="3337" max="3585" width="9.08984375" style="874"/>
    <col min="3586" max="3586" width="21.6328125" style="874" customWidth="1"/>
    <col min="3587" max="3587" width="27.90625" style="874" customWidth="1"/>
    <col min="3588" max="3588" width="33.90625" style="874" customWidth="1"/>
    <col min="3589" max="3589" width="60" style="874" customWidth="1"/>
    <col min="3590" max="3590" width="164.08984375" style="874" customWidth="1"/>
    <col min="3591" max="3591" width="24.453125" style="874" customWidth="1"/>
    <col min="3592" max="3592" width="10.6328125" style="874" bestFit="1" customWidth="1"/>
    <col min="3593" max="3841" width="9.08984375" style="874"/>
    <col min="3842" max="3842" width="21.6328125" style="874" customWidth="1"/>
    <col min="3843" max="3843" width="27.90625" style="874" customWidth="1"/>
    <col min="3844" max="3844" width="33.90625" style="874" customWidth="1"/>
    <col min="3845" max="3845" width="60" style="874" customWidth="1"/>
    <col min="3846" max="3846" width="164.08984375" style="874" customWidth="1"/>
    <col min="3847" max="3847" width="24.453125" style="874" customWidth="1"/>
    <col min="3848" max="3848" width="10.6328125" style="874" bestFit="1" customWidth="1"/>
    <col min="3849" max="4097" width="9.08984375" style="874"/>
    <col min="4098" max="4098" width="21.6328125" style="874" customWidth="1"/>
    <col min="4099" max="4099" width="27.90625" style="874" customWidth="1"/>
    <col min="4100" max="4100" width="33.90625" style="874" customWidth="1"/>
    <col min="4101" max="4101" width="60" style="874" customWidth="1"/>
    <col min="4102" max="4102" width="164.08984375" style="874" customWidth="1"/>
    <col min="4103" max="4103" width="24.453125" style="874" customWidth="1"/>
    <col min="4104" max="4104" width="10.6328125" style="874" bestFit="1" customWidth="1"/>
    <col min="4105" max="4353" width="9.08984375" style="874"/>
    <col min="4354" max="4354" width="21.6328125" style="874" customWidth="1"/>
    <col min="4355" max="4355" width="27.90625" style="874" customWidth="1"/>
    <col min="4356" max="4356" width="33.90625" style="874" customWidth="1"/>
    <col min="4357" max="4357" width="60" style="874" customWidth="1"/>
    <col min="4358" max="4358" width="164.08984375" style="874" customWidth="1"/>
    <col min="4359" max="4359" width="24.453125" style="874" customWidth="1"/>
    <col min="4360" max="4360" width="10.6328125" style="874" bestFit="1" customWidth="1"/>
    <col min="4361" max="4609" width="9.08984375" style="874"/>
    <col min="4610" max="4610" width="21.6328125" style="874" customWidth="1"/>
    <col min="4611" max="4611" width="27.90625" style="874" customWidth="1"/>
    <col min="4612" max="4612" width="33.90625" style="874" customWidth="1"/>
    <col min="4613" max="4613" width="60" style="874" customWidth="1"/>
    <col min="4614" max="4614" width="164.08984375" style="874" customWidth="1"/>
    <col min="4615" max="4615" width="24.453125" style="874" customWidth="1"/>
    <col min="4616" max="4616" width="10.6328125" style="874" bestFit="1" customWidth="1"/>
    <col min="4617" max="4865" width="9.08984375" style="874"/>
    <col min="4866" max="4866" width="21.6328125" style="874" customWidth="1"/>
    <col min="4867" max="4867" width="27.90625" style="874" customWidth="1"/>
    <col min="4868" max="4868" width="33.90625" style="874" customWidth="1"/>
    <col min="4869" max="4869" width="60" style="874" customWidth="1"/>
    <col min="4870" max="4870" width="164.08984375" style="874" customWidth="1"/>
    <col min="4871" max="4871" width="24.453125" style="874" customWidth="1"/>
    <col min="4872" max="4872" width="10.6328125" style="874" bestFit="1" customWidth="1"/>
    <col min="4873" max="5121" width="9.08984375" style="874"/>
    <col min="5122" max="5122" width="21.6328125" style="874" customWidth="1"/>
    <col min="5123" max="5123" width="27.90625" style="874" customWidth="1"/>
    <col min="5124" max="5124" width="33.90625" style="874" customWidth="1"/>
    <col min="5125" max="5125" width="60" style="874" customWidth="1"/>
    <col min="5126" max="5126" width="164.08984375" style="874" customWidth="1"/>
    <col min="5127" max="5127" width="24.453125" style="874" customWidth="1"/>
    <col min="5128" max="5128" width="10.6328125" style="874" bestFit="1" customWidth="1"/>
    <col min="5129" max="5377" width="9.08984375" style="874"/>
    <col min="5378" max="5378" width="21.6328125" style="874" customWidth="1"/>
    <col min="5379" max="5379" width="27.90625" style="874" customWidth="1"/>
    <col min="5380" max="5380" width="33.90625" style="874" customWidth="1"/>
    <col min="5381" max="5381" width="60" style="874" customWidth="1"/>
    <col min="5382" max="5382" width="164.08984375" style="874" customWidth="1"/>
    <col min="5383" max="5383" width="24.453125" style="874" customWidth="1"/>
    <col min="5384" max="5384" width="10.6328125" style="874" bestFit="1" customWidth="1"/>
    <col min="5385" max="5633" width="9.08984375" style="874"/>
    <col min="5634" max="5634" width="21.6328125" style="874" customWidth="1"/>
    <col min="5635" max="5635" width="27.90625" style="874" customWidth="1"/>
    <col min="5636" max="5636" width="33.90625" style="874" customWidth="1"/>
    <col min="5637" max="5637" width="60" style="874" customWidth="1"/>
    <col min="5638" max="5638" width="164.08984375" style="874" customWidth="1"/>
    <col min="5639" max="5639" width="24.453125" style="874" customWidth="1"/>
    <col min="5640" max="5640" width="10.6328125" style="874" bestFit="1" customWidth="1"/>
    <col min="5641" max="5889" width="9.08984375" style="874"/>
    <col min="5890" max="5890" width="21.6328125" style="874" customWidth="1"/>
    <col min="5891" max="5891" width="27.90625" style="874" customWidth="1"/>
    <col min="5892" max="5892" width="33.90625" style="874" customWidth="1"/>
    <col min="5893" max="5893" width="60" style="874" customWidth="1"/>
    <col min="5894" max="5894" width="164.08984375" style="874" customWidth="1"/>
    <col min="5895" max="5895" width="24.453125" style="874" customWidth="1"/>
    <col min="5896" max="5896" width="10.6328125" style="874" bestFit="1" customWidth="1"/>
    <col min="5897" max="6145" width="9.08984375" style="874"/>
    <col min="6146" max="6146" width="21.6328125" style="874" customWidth="1"/>
    <col min="6147" max="6147" width="27.90625" style="874" customWidth="1"/>
    <col min="6148" max="6148" width="33.90625" style="874" customWidth="1"/>
    <col min="6149" max="6149" width="60" style="874" customWidth="1"/>
    <col min="6150" max="6150" width="164.08984375" style="874" customWidth="1"/>
    <col min="6151" max="6151" width="24.453125" style="874" customWidth="1"/>
    <col min="6152" max="6152" width="10.6328125" style="874" bestFit="1" customWidth="1"/>
    <col min="6153" max="6401" width="9.08984375" style="874"/>
    <col min="6402" max="6402" width="21.6328125" style="874" customWidth="1"/>
    <col min="6403" max="6403" width="27.90625" style="874" customWidth="1"/>
    <col min="6404" max="6404" width="33.90625" style="874" customWidth="1"/>
    <col min="6405" max="6405" width="60" style="874" customWidth="1"/>
    <col min="6406" max="6406" width="164.08984375" style="874" customWidth="1"/>
    <col min="6407" max="6407" width="24.453125" style="874" customWidth="1"/>
    <col min="6408" max="6408" width="10.6328125" style="874" bestFit="1" customWidth="1"/>
    <col min="6409" max="6657" width="9.08984375" style="874"/>
    <col min="6658" max="6658" width="21.6328125" style="874" customWidth="1"/>
    <col min="6659" max="6659" width="27.90625" style="874" customWidth="1"/>
    <col min="6660" max="6660" width="33.90625" style="874" customWidth="1"/>
    <col min="6661" max="6661" width="60" style="874" customWidth="1"/>
    <col min="6662" max="6662" width="164.08984375" style="874" customWidth="1"/>
    <col min="6663" max="6663" width="24.453125" style="874" customWidth="1"/>
    <col min="6664" max="6664" width="10.6328125" style="874" bestFit="1" customWidth="1"/>
    <col min="6665" max="6913" width="9.08984375" style="874"/>
    <col min="6914" max="6914" width="21.6328125" style="874" customWidth="1"/>
    <col min="6915" max="6915" width="27.90625" style="874" customWidth="1"/>
    <col min="6916" max="6916" width="33.90625" style="874" customWidth="1"/>
    <col min="6917" max="6917" width="60" style="874" customWidth="1"/>
    <col min="6918" max="6918" width="164.08984375" style="874" customWidth="1"/>
    <col min="6919" max="6919" width="24.453125" style="874" customWidth="1"/>
    <col min="6920" max="6920" width="10.6328125" style="874" bestFit="1" customWidth="1"/>
    <col min="6921" max="7169" width="9.08984375" style="874"/>
    <col min="7170" max="7170" width="21.6328125" style="874" customWidth="1"/>
    <col min="7171" max="7171" width="27.90625" style="874" customWidth="1"/>
    <col min="7172" max="7172" width="33.90625" style="874" customWidth="1"/>
    <col min="7173" max="7173" width="60" style="874" customWidth="1"/>
    <col min="7174" max="7174" width="164.08984375" style="874" customWidth="1"/>
    <col min="7175" max="7175" width="24.453125" style="874" customWidth="1"/>
    <col min="7176" max="7176" width="10.6328125" style="874" bestFit="1" customWidth="1"/>
    <col min="7177" max="7425" width="9.08984375" style="874"/>
    <col min="7426" max="7426" width="21.6328125" style="874" customWidth="1"/>
    <col min="7427" max="7427" width="27.90625" style="874" customWidth="1"/>
    <col min="7428" max="7428" width="33.90625" style="874" customWidth="1"/>
    <col min="7429" max="7429" width="60" style="874" customWidth="1"/>
    <col min="7430" max="7430" width="164.08984375" style="874" customWidth="1"/>
    <col min="7431" max="7431" width="24.453125" style="874" customWidth="1"/>
    <col min="7432" max="7432" width="10.6328125" style="874" bestFit="1" customWidth="1"/>
    <col min="7433" max="7681" width="9.08984375" style="874"/>
    <col min="7682" max="7682" width="21.6328125" style="874" customWidth="1"/>
    <col min="7683" max="7683" width="27.90625" style="874" customWidth="1"/>
    <col min="7684" max="7684" width="33.90625" style="874" customWidth="1"/>
    <col min="7685" max="7685" width="60" style="874" customWidth="1"/>
    <col min="7686" max="7686" width="164.08984375" style="874" customWidth="1"/>
    <col min="7687" max="7687" width="24.453125" style="874" customWidth="1"/>
    <col min="7688" max="7688" width="10.6328125" style="874" bestFit="1" customWidth="1"/>
    <col min="7689" max="7937" width="9.08984375" style="874"/>
    <col min="7938" max="7938" width="21.6328125" style="874" customWidth="1"/>
    <col min="7939" max="7939" width="27.90625" style="874" customWidth="1"/>
    <col min="7940" max="7940" width="33.90625" style="874" customWidth="1"/>
    <col min="7941" max="7941" width="60" style="874" customWidth="1"/>
    <col min="7942" max="7942" width="164.08984375" style="874" customWidth="1"/>
    <col min="7943" max="7943" width="24.453125" style="874" customWidth="1"/>
    <col min="7944" max="7944" width="10.6328125" style="874" bestFit="1" customWidth="1"/>
    <col min="7945" max="8193" width="9.08984375" style="874"/>
    <col min="8194" max="8194" width="21.6328125" style="874" customWidth="1"/>
    <col min="8195" max="8195" width="27.90625" style="874" customWidth="1"/>
    <col min="8196" max="8196" width="33.90625" style="874" customWidth="1"/>
    <col min="8197" max="8197" width="60" style="874" customWidth="1"/>
    <col min="8198" max="8198" width="164.08984375" style="874" customWidth="1"/>
    <col min="8199" max="8199" width="24.453125" style="874" customWidth="1"/>
    <col min="8200" max="8200" width="10.6328125" style="874" bestFit="1" customWidth="1"/>
    <col min="8201" max="8449" width="9.08984375" style="874"/>
    <col min="8450" max="8450" width="21.6328125" style="874" customWidth="1"/>
    <col min="8451" max="8451" width="27.90625" style="874" customWidth="1"/>
    <col min="8452" max="8452" width="33.90625" style="874" customWidth="1"/>
    <col min="8453" max="8453" width="60" style="874" customWidth="1"/>
    <col min="8454" max="8454" width="164.08984375" style="874" customWidth="1"/>
    <col min="8455" max="8455" width="24.453125" style="874" customWidth="1"/>
    <col min="8456" max="8456" width="10.6328125" style="874" bestFit="1" customWidth="1"/>
    <col min="8457" max="8705" width="9.08984375" style="874"/>
    <col min="8706" max="8706" width="21.6328125" style="874" customWidth="1"/>
    <col min="8707" max="8707" width="27.90625" style="874" customWidth="1"/>
    <col min="8708" max="8708" width="33.90625" style="874" customWidth="1"/>
    <col min="8709" max="8709" width="60" style="874" customWidth="1"/>
    <col min="8710" max="8710" width="164.08984375" style="874" customWidth="1"/>
    <col min="8711" max="8711" width="24.453125" style="874" customWidth="1"/>
    <col min="8712" max="8712" width="10.6328125" style="874" bestFit="1" customWidth="1"/>
    <col min="8713" max="8961" width="9.08984375" style="874"/>
    <col min="8962" max="8962" width="21.6328125" style="874" customWidth="1"/>
    <col min="8963" max="8963" width="27.90625" style="874" customWidth="1"/>
    <col min="8964" max="8964" width="33.90625" style="874" customWidth="1"/>
    <col min="8965" max="8965" width="60" style="874" customWidth="1"/>
    <col min="8966" max="8966" width="164.08984375" style="874" customWidth="1"/>
    <col min="8967" max="8967" width="24.453125" style="874" customWidth="1"/>
    <col min="8968" max="8968" width="10.6328125" style="874" bestFit="1" customWidth="1"/>
    <col min="8969" max="9217" width="9.08984375" style="874"/>
    <col min="9218" max="9218" width="21.6328125" style="874" customWidth="1"/>
    <col min="9219" max="9219" width="27.90625" style="874" customWidth="1"/>
    <col min="9220" max="9220" width="33.90625" style="874" customWidth="1"/>
    <col min="9221" max="9221" width="60" style="874" customWidth="1"/>
    <col min="9222" max="9222" width="164.08984375" style="874" customWidth="1"/>
    <col min="9223" max="9223" width="24.453125" style="874" customWidth="1"/>
    <col min="9224" max="9224" width="10.6328125" style="874" bestFit="1" customWidth="1"/>
    <col min="9225" max="9473" width="9.08984375" style="874"/>
    <col min="9474" max="9474" width="21.6328125" style="874" customWidth="1"/>
    <col min="9475" max="9475" width="27.90625" style="874" customWidth="1"/>
    <col min="9476" max="9476" width="33.90625" style="874" customWidth="1"/>
    <col min="9477" max="9477" width="60" style="874" customWidth="1"/>
    <col min="9478" max="9478" width="164.08984375" style="874" customWidth="1"/>
    <col min="9479" max="9479" width="24.453125" style="874" customWidth="1"/>
    <col min="9480" max="9480" width="10.6328125" style="874" bestFit="1" customWidth="1"/>
    <col min="9481" max="9729" width="9.08984375" style="874"/>
    <col min="9730" max="9730" width="21.6328125" style="874" customWidth="1"/>
    <col min="9731" max="9731" width="27.90625" style="874" customWidth="1"/>
    <col min="9732" max="9732" width="33.90625" style="874" customWidth="1"/>
    <col min="9733" max="9733" width="60" style="874" customWidth="1"/>
    <col min="9734" max="9734" width="164.08984375" style="874" customWidth="1"/>
    <col min="9735" max="9735" width="24.453125" style="874" customWidth="1"/>
    <col min="9736" max="9736" width="10.6328125" style="874" bestFit="1" customWidth="1"/>
    <col min="9737" max="9985" width="9.08984375" style="874"/>
    <col min="9986" max="9986" width="21.6328125" style="874" customWidth="1"/>
    <col min="9987" max="9987" width="27.90625" style="874" customWidth="1"/>
    <col min="9988" max="9988" width="33.90625" style="874" customWidth="1"/>
    <col min="9989" max="9989" width="60" style="874" customWidth="1"/>
    <col min="9990" max="9990" width="164.08984375" style="874" customWidth="1"/>
    <col min="9991" max="9991" width="24.453125" style="874" customWidth="1"/>
    <col min="9992" max="9992" width="10.6328125" style="874" bestFit="1" customWidth="1"/>
    <col min="9993" max="10241" width="9.08984375" style="874"/>
    <col min="10242" max="10242" width="21.6328125" style="874" customWidth="1"/>
    <col min="10243" max="10243" width="27.90625" style="874" customWidth="1"/>
    <col min="10244" max="10244" width="33.90625" style="874" customWidth="1"/>
    <col min="10245" max="10245" width="60" style="874" customWidth="1"/>
    <col min="10246" max="10246" width="164.08984375" style="874" customWidth="1"/>
    <col min="10247" max="10247" width="24.453125" style="874" customWidth="1"/>
    <col min="10248" max="10248" width="10.6328125" style="874" bestFit="1" customWidth="1"/>
    <col min="10249" max="10497" width="9.08984375" style="874"/>
    <col min="10498" max="10498" width="21.6328125" style="874" customWidth="1"/>
    <col min="10499" max="10499" width="27.90625" style="874" customWidth="1"/>
    <col min="10500" max="10500" width="33.90625" style="874" customWidth="1"/>
    <col min="10501" max="10501" width="60" style="874" customWidth="1"/>
    <col min="10502" max="10502" width="164.08984375" style="874" customWidth="1"/>
    <col min="10503" max="10503" width="24.453125" style="874" customWidth="1"/>
    <col min="10504" max="10504" width="10.6328125" style="874" bestFit="1" customWidth="1"/>
    <col min="10505" max="10753" width="9.08984375" style="874"/>
    <col min="10754" max="10754" width="21.6328125" style="874" customWidth="1"/>
    <col min="10755" max="10755" width="27.90625" style="874" customWidth="1"/>
    <col min="10756" max="10756" width="33.90625" style="874" customWidth="1"/>
    <col min="10757" max="10757" width="60" style="874" customWidth="1"/>
    <col min="10758" max="10758" width="164.08984375" style="874" customWidth="1"/>
    <col min="10759" max="10759" width="24.453125" style="874" customWidth="1"/>
    <col min="10760" max="10760" width="10.6328125" style="874" bestFit="1" customWidth="1"/>
    <col min="10761" max="11009" width="9.08984375" style="874"/>
    <col min="11010" max="11010" width="21.6328125" style="874" customWidth="1"/>
    <col min="11011" max="11011" width="27.90625" style="874" customWidth="1"/>
    <col min="11012" max="11012" width="33.90625" style="874" customWidth="1"/>
    <col min="11013" max="11013" width="60" style="874" customWidth="1"/>
    <col min="11014" max="11014" width="164.08984375" style="874" customWidth="1"/>
    <col min="11015" max="11015" width="24.453125" style="874" customWidth="1"/>
    <col min="11016" max="11016" width="10.6328125" style="874" bestFit="1" customWidth="1"/>
    <col min="11017" max="11265" width="9.08984375" style="874"/>
    <col min="11266" max="11266" width="21.6328125" style="874" customWidth="1"/>
    <col min="11267" max="11267" width="27.90625" style="874" customWidth="1"/>
    <col min="11268" max="11268" width="33.90625" style="874" customWidth="1"/>
    <col min="11269" max="11269" width="60" style="874" customWidth="1"/>
    <col min="11270" max="11270" width="164.08984375" style="874" customWidth="1"/>
    <col min="11271" max="11271" width="24.453125" style="874" customWidth="1"/>
    <col min="11272" max="11272" width="10.6328125" style="874" bestFit="1" customWidth="1"/>
    <col min="11273" max="11521" width="9.08984375" style="874"/>
    <col min="11522" max="11522" width="21.6328125" style="874" customWidth="1"/>
    <col min="11523" max="11523" width="27.90625" style="874" customWidth="1"/>
    <col min="11524" max="11524" width="33.90625" style="874" customWidth="1"/>
    <col min="11525" max="11525" width="60" style="874" customWidth="1"/>
    <col min="11526" max="11526" width="164.08984375" style="874" customWidth="1"/>
    <col min="11527" max="11527" width="24.453125" style="874" customWidth="1"/>
    <col min="11528" max="11528" width="10.6328125" style="874" bestFit="1" customWidth="1"/>
    <col min="11529" max="11777" width="9.08984375" style="874"/>
    <col min="11778" max="11778" width="21.6328125" style="874" customWidth="1"/>
    <col min="11779" max="11779" width="27.90625" style="874" customWidth="1"/>
    <col min="11780" max="11780" width="33.90625" style="874" customWidth="1"/>
    <col min="11781" max="11781" width="60" style="874" customWidth="1"/>
    <col min="11782" max="11782" width="164.08984375" style="874" customWidth="1"/>
    <col min="11783" max="11783" width="24.453125" style="874" customWidth="1"/>
    <col min="11784" max="11784" width="10.6328125" style="874" bestFit="1" customWidth="1"/>
    <col min="11785" max="12033" width="9.08984375" style="874"/>
    <col min="12034" max="12034" width="21.6328125" style="874" customWidth="1"/>
    <col min="12035" max="12035" width="27.90625" style="874" customWidth="1"/>
    <col min="12036" max="12036" width="33.90625" style="874" customWidth="1"/>
    <col min="12037" max="12037" width="60" style="874" customWidth="1"/>
    <col min="12038" max="12038" width="164.08984375" style="874" customWidth="1"/>
    <col min="12039" max="12039" width="24.453125" style="874" customWidth="1"/>
    <col min="12040" max="12040" width="10.6328125" style="874" bestFit="1" customWidth="1"/>
    <col min="12041" max="12289" width="9.08984375" style="874"/>
    <col min="12290" max="12290" width="21.6328125" style="874" customWidth="1"/>
    <col min="12291" max="12291" width="27.90625" style="874" customWidth="1"/>
    <col min="12292" max="12292" width="33.90625" style="874" customWidth="1"/>
    <col min="12293" max="12293" width="60" style="874" customWidth="1"/>
    <col min="12294" max="12294" width="164.08984375" style="874" customWidth="1"/>
    <col min="12295" max="12295" width="24.453125" style="874" customWidth="1"/>
    <col min="12296" max="12296" width="10.6328125" style="874" bestFit="1" customWidth="1"/>
    <col min="12297" max="12545" width="9.08984375" style="874"/>
    <col min="12546" max="12546" width="21.6328125" style="874" customWidth="1"/>
    <col min="12547" max="12547" width="27.90625" style="874" customWidth="1"/>
    <col min="12548" max="12548" width="33.90625" style="874" customWidth="1"/>
    <col min="12549" max="12549" width="60" style="874" customWidth="1"/>
    <col min="12550" max="12550" width="164.08984375" style="874" customWidth="1"/>
    <col min="12551" max="12551" width="24.453125" style="874" customWidth="1"/>
    <col min="12552" max="12552" width="10.6328125" style="874" bestFit="1" customWidth="1"/>
    <col min="12553" max="12801" width="9.08984375" style="874"/>
    <col min="12802" max="12802" width="21.6328125" style="874" customWidth="1"/>
    <col min="12803" max="12803" width="27.90625" style="874" customWidth="1"/>
    <col min="12804" max="12804" width="33.90625" style="874" customWidth="1"/>
    <col min="12805" max="12805" width="60" style="874" customWidth="1"/>
    <col min="12806" max="12806" width="164.08984375" style="874" customWidth="1"/>
    <col min="12807" max="12807" width="24.453125" style="874" customWidth="1"/>
    <col min="12808" max="12808" width="10.6328125" style="874" bestFit="1" customWidth="1"/>
    <col min="12809" max="13057" width="9.08984375" style="874"/>
    <col min="13058" max="13058" width="21.6328125" style="874" customWidth="1"/>
    <col min="13059" max="13059" width="27.90625" style="874" customWidth="1"/>
    <col min="13060" max="13060" width="33.90625" style="874" customWidth="1"/>
    <col min="13061" max="13061" width="60" style="874" customWidth="1"/>
    <col min="13062" max="13062" width="164.08984375" style="874" customWidth="1"/>
    <col min="13063" max="13063" width="24.453125" style="874" customWidth="1"/>
    <col min="13064" max="13064" width="10.6328125" style="874" bestFit="1" customWidth="1"/>
    <col min="13065" max="13313" width="9.08984375" style="874"/>
    <col min="13314" max="13314" width="21.6328125" style="874" customWidth="1"/>
    <col min="13315" max="13315" width="27.90625" style="874" customWidth="1"/>
    <col min="13316" max="13316" width="33.90625" style="874" customWidth="1"/>
    <col min="13317" max="13317" width="60" style="874" customWidth="1"/>
    <col min="13318" max="13318" width="164.08984375" style="874" customWidth="1"/>
    <col min="13319" max="13319" width="24.453125" style="874" customWidth="1"/>
    <col min="13320" max="13320" width="10.6328125" style="874" bestFit="1" customWidth="1"/>
    <col min="13321" max="13569" width="9.08984375" style="874"/>
    <col min="13570" max="13570" width="21.6328125" style="874" customWidth="1"/>
    <col min="13571" max="13571" width="27.90625" style="874" customWidth="1"/>
    <col min="13572" max="13572" width="33.90625" style="874" customWidth="1"/>
    <col min="13573" max="13573" width="60" style="874" customWidth="1"/>
    <col min="13574" max="13574" width="164.08984375" style="874" customWidth="1"/>
    <col min="13575" max="13575" width="24.453125" style="874" customWidth="1"/>
    <col min="13576" max="13576" width="10.6328125" style="874" bestFit="1" customWidth="1"/>
    <col min="13577" max="13825" width="9.08984375" style="874"/>
    <col min="13826" max="13826" width="21.6328125" style="874" customWidth="1"/>
    <col min="13827" max="13827" width="27.90625" style="874" customWidth="1"/>
    <col min="13828" max="13828" width="33.90625" style="874" customWidth="1"/>
    <col min="13829" max="13829" width="60" style="874" customWidth="1"/>
    <col min="13830" max="13830" width="164.08984375" style="874" customWidth="1"/>
    <col min="13831" max="13831" width="24.453125" style="874" customWidth="1"/>
    <col min="13832" max="13832" width="10.6328125" style="874" bestFit="1" customWidth="1"/>
    <col min="13833" max="14081" width="9.08984375" style="874"/>
    <col min="14082" max="14082" width="21.6328125" style="874" customWidth="1"/>
    <col min="14083" max="14083" width="27.90625" style="874" customWidth="1"/>
    <col min="14084" max="14084" width="33.90625" style="874" customWidth="1"/>
    <col min="14085" max="14085" width="60" style="874" customWidth="1"/>
    <col min="14086" max="14086" width="164.08984375" style="874" customWidth="1"/>
    <col min="14087" max="14087" width="24.453125" style="874" customWidth="1"/>
    <col min="14088" max="14088" width="10.6328125" style="874" bestFit="1" customWidth="1"/>
    <col min="14089" max="14337" width="9.08984375" style="874"/>
    <col min="14338" max="14338" width="21.6328125" style="874" customWidth="1"/>
    <col min="14339" max="14339" width="27.90625" style="874" customWidth="1"/>
    <col min="14340" max="14340" width="33.90625" style="874" customWidth="1"/>
    <col min="14341" max="14341" width="60" style="874" customWidth="1"/>
    <col min="14342" max="14342" width="164.08984375" style="874" customWidth="1"/>
    <col min="14343" max="14343" width="24.453125" style="874" customWidth="1"/>
    <col min="14344" max="14344" width="10.6328125" style="874" bestFit="1" customWidth="1"/>
    <col min="14345" max="14593" width="9.08984375" style="874"/>
    <col min="14594" max="14594" width="21.6328125" style="874" customWidth="1"/>
    <col min="14595" max="14595" width="27.90625" style="874" customWidth="1"/>
    <col min="14596" max="14596" width="33.90625" style="874" customWidth="1"/>
    <col min="14597" max="14597" width="60" style="874" customWidth="1"/>
    <col min="14598" max="14598" width="164.08984375" style="874" customWidth="1"/>
    <col min="14599" max="14599" width="24.453125" style="874" customWidth="1"/>
    <col min="14600" max="14600" width="10.6328125" style="874" bestFit="1" customWidth="1"/>
    <col min="14601" max="14849" width="9.08984375" style="874"/>
    <col min="14850" max="14850" width="21.6328125" style="874" customWidth="1"/>
    <col min="14851" max="14851" width="27.90625" style="874" customWidth="1"/>
    <col min="14852" max="14852" width="33.90625" style="874" customWidth="1"/>
    <col min="14853" max="14853" width="60" style="874" customWidth="1"/>
    <col min="14854" max="14854" width="164.08984375" style="874" customWidth="1"/>
    <col min="14855" max="14855" width="24.453125" style="874" customWidth="1"/>
    <col min="14856" max="14856" width="10.6328125" style="874" bestFit="1" customWidth="1"/>
    <col min="14857" max="15105" width="9.08984375" style="874"/>
    <col min="15106" max="15106" width="21.6328125" style="874" customWidth="1"/>
    <col min="15107" max="15107" width="27.90625" style="874" customWidth="1"/>
    <col min="15108" max="15108" width="33.90625" style="874" customWidth="1"/>
    <col min="15109" max="15109" width="60" style="874" customWidth="1"/>
    <col min="15110" max="15110" width="164.08984375" style="874" customWidth="1"/>
    <col min="15111" max="15111" width="24.453125" style="874" customWidth="1"/>
    <col min="15112" max="15112" width="10.6328125" style="874" bestFit="1" customWidth="1"/>
    <col min="15113" max="15361" width="9.08984375" style="874"/>
    <col min="15362" max="15362" width="21.6328125" style="874" customWidth="1"/>
    <col min="15363" max="15363" width="27.90625" style="874" customWidth="1"/>
    <col min="15364" max="15364" width="33.90625" style="874" customWidth="1"/>
    <col min="15365" max="15365" width="60" style="874" customWidth="1"/>
    <col min="15366" max="15366" width="164.08984375" style="874" customWidth="1"/>
    <col min="15367" max="15367" width="24.453125" style="874" customWidth="1"/>
    <col min="15368" max="15368" width="10.6328125" style="874" bestFit="1" customWidth="1"/>
    <col min="15369" max="15617" width="9.08984375" style="874"/>
    <col min="15618" max="15618" width="21.6328125" style="874" customWidth="1"/>
    <col min="15619" max="15619" width="27.90625" style="874" customWidth="1"/>
    <col min="15620" max="15620" width="33.90625" style="874" customWidth="1"/>
    <col min="15621" max="15621" width="60" style="874" customWidth="1"/>
    <col min="15622" max="15622" width="164.08984375" style="874" customWidth="1"/>
    <col min="15623" max="15623" width="24.453125" style="874" customWidth="1"/>
    <col min="15624" max="15624" width="10.6328125" style="874" bestFit="1" customWidth="1"/>
    <col min="15625" max="15873" width="9.08984375" style="874"/>
    <col min="15874" max="15874" width="21.6328125" style="874" customWidth="1"/>
    <col min="15875" max="15875" width="27.90625" style="874" customWidth="1"/>
    <col min="15876" max="15876" width="33.90625" style="874" customWidth="1"/>
    <col min="15877" max="15877" width="60" style="874" customWidth="1"/>
    <col min="15878" max="15878" width="164.08984375" style="874" customWidth="1"/>
    <col min="15879" max="15879" width="24.453125" style="874" customWidth="1"/>
    <col min="15880" max="15880" width="10.6328125" style="874" bestFit="1" customWidth="1"/>
    <col min="15881" max="16129" width="9.08984375" style="874"/>
    <col min="16130" max="16130" width="21.6328125" style="874" customWidth="1"/>
    <col min="16131" max="16131" width="27.90625" style="874" customWidth="1"/>
    <col min="16132" max="16132" width="33.90625" style="874" customWidth="1"/>
    <col min="16133" max="16133" width="60" style="874" customWidth="1"/>
    <col min="16134" max="16134" width="164.08984375" style="874" customWidth="1"/>
    <col min="16135" max="16135" width="24.453125" style="874" customWidth="1"/>
    <col min="16136" max="16136" width="10.6328125" style="874" bestFit="1" customWidth="1"/>
    <col min="16137" max="16384" width="9.08984375" style="874"/>
  </cols>
  <sheetData>
    <row r="1" spans="2:12">
      <c r="C1" s="939"/>
      <c r="D1" s="939"/>
    </row>
    <row r="2" spans="2:12">
      <c r="C2" s="96"/>
      <c r="D2" s="96"/>
      <c r="E2" s="892" t="str">
        <f>Index!B2</f>
        <v xml:space="preserve">      Maharashtra State Power Generation Company Ltd.</v>
      </c>
      <c r="F2" s="96"/>
      <c r="G2" s="96"/>
      <c r="H2" s="96"/>
      <c r="I2" s="96"/>
    </row>
    <row r="3" spans="2:12">
      <c r="C3" s="494"/>
      <c r="D3" s="494"/>
      <c r="E3" s="894" t="s">
        <v>1077</v>
      </c>
      <c r="F3" s="494"/>
      <c r="G3" s="494"/>
      <c r="H3" s="494"/>
      <c r="I3" s="494"/>
    </row>
    <row r="4" spans="2:12">
      <c r="C4" s="494"/>
      <c r="D4" s="494"/>
      <c r="E4" s="894" t="s">
        <v>1078</v>
      </c>
      <c r="F4" s="494"/>
      <c r="G4" s="494"/>
      <c r="H4" s="494"/>
      <c r="I4" s="494"/>
    </row>
    <row r="5" spans="2:12">
      <c r="B5" s="940"/>
      <c r="C5" s="940"/>
      <c r="D5" s="940"/>
    </row>
    <row r="6" spans="2:12" s="942" customFormat="1" ht="42">
      <c r="B6" s="941" t="s">
        <v>37</v>
      </c>
      <c r="C6" s="941" t="s">
        <v>1079</v>
      </c>
      <c r="D6" s="941" t="s">
        <v>1080</v>
      </c>
      <c r="E6" s="941" t="s">
        <v>1081</v>
      </c>
      <c r="F6" s="941" t="s">
        <v>1082</v>
      </c>
    </row>
    <row r="7" spans="2:12" s="942" customFormat="1">
      <c r="B7" s="943"/>
      <c r="C7" s="943"/>
      <c r="D7" s="943"/>
      <c r="E7" s="943"/>
      <c r="F7" s="943"/>
    </row>
    <row r="8" spans="2:12" s="942" customFormat="1">
      <c r="B8" s="943"/>
      <c r="C8" s="943"/>
      <c r="D8" s="943"/>
      <c r="E8" s="943"/>
      <c r="F8" s="943"/>
    </row>
    <row r="9" spans="2:12" s="942" customFormat="1">
      <c r="B9" s="943"/>
      <c r="C9" s="943"/>
      <c r="D9" s="943"/>
      <c r="E9" s="943"/>
      <c r="F9" s="943"/>
    </row>
    <row r="10" spans="2:12" s="942" customFormat="1">
      <c r="B10" s="943"/>
      <c r="C10" s="943"/>
      <c r="D10" s="943"/>
      <c r="E10" s="943"/>
      <c r="F10" s="943"/>
    </row>
    <row r="11" spans="2:12" s="942" customFormat="1">
      <c r="B11" s="943"/>
      <c r="C11" s="943"/>
      <c r="D11" s="943"/>
      <c r="E11" s="943"/>
      <c r="F11" s="943"/>
    </row>
    <row r="12" spans="2:12" s="942" customFormat="1">
      <c r="B12" s="943"/>
      <c r="C12" s="943"/>
      <c r="D12" s="943"/>
      <c r="E12" s="943"/>
      <c r="F12" s="943"/>
    </row>
    <row r="13" spans="2:12" s="942" customFormat="1">
      <c r="B13" s="944"/>
      <c r="C13" s="575"/>
      <c r="D13" s="945"/>
      <c r="E13" s="944"/>
      <c r="F13" s="575"/>
      <c r="G13" s="946"/>
      <c r="H13" s="576"/>
      <c r="I13" s="945"/>
      <c r="J13" s="947"/>
      <c r="L13" s="948"/>
    </row>
    <row r="14" spans="2:12">
      <c r="B14" s="874" t="s">
        <v>1083</v>
      </c>
    </row>
    <row r="29" spans="3:3">
      <c r="C29" s="949"/>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G29"/>
  <sheetViews>
    <sheetView workbookViewId="0">
      <selection activeCell="D28" sqref="D28"/>
    </sheetView>
  </sheetViews>
  <sheetFormatPr defaultColWidth="9.08984375" defaultRowHeight="14"/>
  <cols>
    <col min="1" max="1" width="9.08984375" style="874"/>
    <col min="2" max="2" width="62.08984375" style="874" customWidth="1"/>
    <col min="3" max="3" width="24.54296875" style="874" customWidth="1"/>
    <col min="4" max="4" width="19.54296875" style="874" customWidth="1"/>
    <col min="5" max="5" width="18.453125" style="874" customWidth="1"/>
    <col min="6" max="6" width="21.6328125" style="874" customWidth="1"/>
    <col min="7" max="7" width="21.36328125" style="874" customWidth="1"/>
    <col min="8" max="258" width="9.08984375" style="874"/>
    <col min="259" max="259" width="110.36328125" style="874" customWidth="1"/>
    <col min="260" max="260" width="43.54296875" style="874" customWidth="1"/>
    <col min="261" max="261" width="35.54296875" style="874" customWidth="1"/>
    <col min="262" max="262" width="36" style="874" customWidth="1"/>
    <col min="263" max="263" width="34.90625" style="874" customWidth="1"/>
    <col min="264" max="514" width="9.08984375" style="874"/>
    <col min="515" max="515" width="110.36328125" style="874" customWidth="1"/>
    <col min="516" max="516" width="43.54296875" style="874" customWidth="1"/>
    <col min="517" max="517" width="35.54296875" style="874" customWidth="1"/>
    <col min="518" max="518" width="36" style="874" customWidth="1"/>
    <col min="519" max="519" width="34.90625" style="874" customWidth="1"/>
    <col min="520" max="770" width="9.08984375" style="874"/>
    <col min="771" max="771" width="110.36328125" style="874" customWidth="1"/>
    <col min="772" max="772" width="43.54296875" style="874" customWidth="1"/>
    <col min="773" max="773" width="35.54296875" style="874" customWidth="1"/>
    <col min="774" max="774" width="36" style="874" customWidth="1"/>
    <col min="775" max="775" width="34.90625" style="874" customWidth="1"/>
    <col min="776" max="1026" width="9.08984375" style="874"/>
    <col min="1027" max="1027" width="110.36328125" style="874" customWidth="1"/>
    <col min="1028" max="1028" width="43.54296875" style="874" customWidth="1"/>
    <col min="1029" max="1029" width="35.54296875" style="874" customWidth="1"/>
    <col min="1030" max="1030" width="36" style="874" customWidth="1"/>
    <col min="1031" max="1031" width="34.90625" style="874" customWidth="1"/>
    <col min="1032" max="1282" width="9.08984375" style="874"/>
    <col min="1283" max="1283" width="110.36328125" style="874" customWidth="1"/>
    <col min="1284" max="1284" width="43.54296875" style="874" customWidth="1"/>
    <col min="1285" max="1285" width="35.54296875" style="874" customWidth="1"/>
    <col min="1286" max="1286" width="36" style="874" customWidth="1"/>
    <col min="1287" max="1287" width="34.90625" style="874" customWidth="1"/>
    <col min="1288" max="1538" width="9.08984375" style="874"/>
    <col min="1539" max="1539" width="110.36328125" style="874" customWidth="1"/>
    <col min="1540" max="1540" width="43.54296875" style="874" customWidth="1"/>
    <col min="1541" max="1541" width="35.54296875" style="874" customWidth="1"/>
    <col min="1542" max="1542" width="36" style="874" customWidth="1"/>
    <col min="1543" max="1543" width="34.90625" style="874" customWidth="1"/>
    <col min="1544" max="1794" width="9.08984375" style="874"/>
    <col min="1795" max="1795" width="110.36328125" style="874" customWidth="1"/>
    <col min="1796" max="1796" width="43.54296875" style="874" customWidth="1"/>
    <col min="1797" max="1797" width="35.54296875" style="874" customWidth="1"/>
    <col min="1798" max="1798" width="36" style="874" customWidth="1"/>
    <col min="1799" max="1799" width="34.90625" style="874" customWidth="1"/>
    <col min="1800" max="2050" width="9.08984375" style="874"/>
    <col min="2051" max="2051" width="110.36328125" style="874" customWidth="1"/>
    <col min="2052" max="2052" width="43.54296875" style="874" customWidth="1"/>
    <col min="2053" max="2053" width="35.54296875" style="874" customWidth="1"/>
    <col min="2054" max="2054" width="36" style="874" customWidth="1"/>
    <col min="2055" max="2055" width="34.90625" style="874" customWidth="1"/>
    <col min="2056" max="2306" width="9.08984375" style="874"/>
    <col min="2307" max="2307" width="110.36328125" style="874" customWidth="1"/>
    <col min="2308" max="2308" width="43.54296875" style="874" customWidth="1"/>
    <col min="2309" max="2309" width="35.54296875" style="874" customWidth="1"/>
    <col min="2310" max="2310" width="36" style="874" customWidth="1"/>
    <col min="2311" max="2311" width="34.90625" style="874" customWidth="1"/>
    <col min="2312" max="2562" width="9.08984375" style="874"/>
    <col min="2563" max="2563" width="110.36328125" style="874" customWidth="1"/>
    <col min="2564" max="2564" width="43.54296875" style="874" customWidth="1"/>
    <col min="2565" max="2565" width="35.54296875" style="874" customWidth="1"/>
    <col min="2566" max="2566" width="36" style="874" customWidth="1"/>
    <col min="2567" max="2567" width="34.90625" style="874" customWidth="1"/>
    <col min="2568" max="2818" width="9.08984375" style="874"/>
    <col min="2819" max="2819" width="110.36328125" style="874" customWidth="1"/>
    <col min="2820" max="2820" width="43.54296875" style="874" customWidth="1"/>
    <col min="2821" max="2821" width="35.54296875" style="874" customWidth="1"/>
    <col min="2822" max="2822" width="36" style="874" customWidth="1"/>
    <col min="2823" max="2823" width="34.90625" style="874" customWidth="1"/>
    <col min="2824" max="3074" width="9.08984375" style="874"/>
    <col min="3075" max="3075" width="110.36328125" style="874" customWidth="1"/>
    <col min="3076" max="3076" width="43.54296875" style="874" customWidth="1"/>
    <col min="3077" max="3077" width="35.54296875" style="874" customWidth="1"/>
    <col min="3078" max="3078" width="36" style="874" customWidth="1"/>
    <col min="3079" max="3079" width="34.90625" style="874" customWidth="1"/>
    <col min="3080" max="3330" width="9.08984375" style="874"/>
    <col min="3331" max="3331" width="110.36328125" style="874" customWidth="1"/>
    <col min="3332" max="3332" width="43.54296875" style="874" customWidth="1"/>
    <col min="3333" max="3333" width="35.54296875" style="874" customWidth="1"/>
    <col min="3334" max="3334" width="36" style="874" customWidth="1"/>
    <col min="3335" max="3335" width="34.90625" style="874" customWidth="1"/>
    <col min="3336" max="3586" width="9.08984375" style="874"/>
    <col min="3587" max="3587" width="110.36328125" style="874" customWidth="1"/>
    <col min="3588" max="3588" width="43.54296875" style="874" customWidth="1"/>
    <col min="3589" max="3589" width="35.54296875" style="874" customWidth="1"/>
    <col min="3590" max="3590" width="36" style="874" customWidth="1"/>
    <col min="3591" max="3591" width="34.90625" style="874" customWidth="1"/>
    <col min="3592" max="3842" width="9.08984375" style="874"/>
    <col min="3843" max="3843" width="110.36328125" style="874" customWidth="1"/>
    <col min="3844" max="3844" width="43.54296875" style="874" customWidth="1"/>
    <col min="3845" max="3845" width="35.54296875" style="874" customWidth="1"/>
    <col min="3846" max="3846" width="36" style="874" customWidth="1"/>
    <col min="3847" max="3847" width="34.90625" style="874" customWidth="1"/>
    <col min="3848" max="4098" width="9.08984375" style="874"/>
    <col min="4099" max="4099" width="110.36328125" style="874" customWidth="1"/>
    <col min="4100" max="4100" width="43.54296875" style="874" customWidth="1"/>
    <col min="4101" max="4101" width="35.54296875" style="874" customWidth="1"/>
    <col min="4102" max="4102" width="36" style="874" customWidth="1"/>
    <col min="4103" max="4103" width="34.90625" style="874" customWidth="1"/>
    <col min="4104" max="4354" width="9.08984375" style="874"/>
    <col min="4355" max="4355" width="110.36328125" style="874" customWidth="1"/>
    <col min="4356" max="4356" width="43.54296875" style="874" customWidth="1"/>
    <col min="4357" max="4357" width="35.54296875" style="874" customWidth="1"/>
    <col min="4358" max="4358" width="36" style="874" customWidth="1"/>
    <col min="4359" max="4359" width="34.90625" style="874" customWidth="1"/>
    <col min="4360" max="4610" width="9.08984375" style="874"/>
    <col min="4611" max="4611" width="110.36328125" style="874" customWidth="1"/>
    <col min="4612" max="4612" width="43.54296875" style="874" customWidth="1"/>
    <col min="4613" max="4613" width="35.54296875" style="874" customWidth="1"/>
    <col min="4614" max="4614" width="36" style="874" customWidth="1"/>
    <col min="4615" max="4615" width="34.90625" style="874" customWidth="1"/>
    <col min="4616" max="4866" width="9.08984375" style="874"/>
    <col min="4867" max="4867" width="110.36328125" style="874" customWidth="1"/>
    <col min="4868" max="4868" width="43.54296875" style="874" customWidth="1"/>
    <col min="4869" max="4869" width="35.54296875" style="874" customWidth="1"/>
    <col min="4870" max="4870" width="36" style="874" customWidth="1"/>
    <col min="4871" max="4871" width="34.90625" style="874" customWidth="1"/>
    <col min="4872" max="5122" width="9.08984375" style="874"/>
    <col min="5123" max="5123" width="110.36328125" style="874" customWidth="1"/>
    <col min="5124" max="5124" width="43.54296875" style="874" customWidth="1"/>
    <col min="5125" max="5125" width="35.54296875" style="874" customWidth="1"/>
    <col min="5126" max="5126" width="36" style="874" customWidth="1"/>
    <col min="5127" max="5127" width="34.90625" style="874" customWidth="1"/>
    <col min="5128" max="5378" width="9.08984375" style="874"/>
    <col min="5379" max="5379" width="110.36328125" style="874" customWidth="1"/>
    <col min="5380" max="5380" width="43.54296875" style="874" customWidth="1"/>
    <col min="5381" max="5381" width="35.54296875" style="874" customWidth="1"/>
    <col min="5382" max="5382" width="36" style="874" customWidth="1"/>
    <col min="5383" max="5383" width="34.90625" style="874" customWidth="1"/>
    <col min="5384" max="5634" width="9.08984375" style="874"/>
    <col min="5635" max="5635" width="110.36328125" style="874" customWidth="1"/>
    <col min="5636" max="5636" width="43.54296875" style="874" customWidth="1"/>
    <col min="5637" max="5637" width="35.54296875" style="874" customWidth="1"/>
    <col min="5638" max="5638" width="36" style="874" customWidth="1"/>
    <col min="5639" max="5639" width="34.90625" style="874" customWidth="1"/>
    <col min="5640" max="5890" width="9.08984375" style="874"/>
    <col min="5891" max="5891" width="110.36328125" style="874" customWidth="1"/>
    <col min="5892" max="5892" width="43.54296875" style="874" customWidth="1"/>
    <col min="5893" max="5893" width="35.54296875" style="874" customWidth="1"/>
    <col min="5894" max="5894" width="36" style="874" customWidth="1"/>
    <col min="5895" max="5895" width="34.90625" style="874" customWidth="1"/>
    <col min="5896" max="6146" width="9.08984375" style="874"/>
    <col min="6147" max="6147" width="110.36328125" style="874" customWidth="1"/>
    <col min="6148" max="6148" width="43.54296875" style="874" customWidth="1"/>
    <col min="6149" max="6149" width="35.54296875" style="874" customWidth="1"/>
    <col min="6150" max="6150" width="36" style="874" customWidth="1"/>
    <col min="6151" max="6151" width="34.90625" style="874" customWidth="1"/>
    <col min="6152" max="6402" width="9.08984375" style="874"/>
    <col min="6403" max="6403" width="110.36328125" style="874" customWidth="1"/>
    <col min="6404" max="6404" width="43.54296875" style="874" customWidth="1"/>
    <col min="6405" max="6405" width="35.54296875" style="874" customWidth="1"/>
    <col min="6406" max="6406" width="36" style="874" customWidth="1"/>
    <col min="6407" max="6407" width="34.90625" style="874" customWidth="1"/>
    <col min="6408" max="6658" width="9.08984375" style="874"/>
    <col min="6659" max="6659" width="110.36328125" style="874" customWidth="1"/>
    <col min="6660" max="6660" width="43.54296875" style="874" customWidth="1"/>
    <col min="6661" max="6661" width="35.54296875" style="874" customWidth="1"/>
    <col min="6662" max="6662" width="36" style="874" customWidth="1"/>
    <col min="6663" max="6663" width="34.90625" style="874" customWidth="1"/>
    <col min="6664" max="6914" width="9.08984375" style="874"/>
    <col min="6915" max="6915" width="110.36328125" style="874" customWidth="1"/>
    <col min="6916" max="6916" width="43.54296875" style="874" customWidth="1"/>
    <col min="6917" max="6917" width="35.54296875" style="874" customWidth="1"/>
    <col min="6918" max="6918" width="36" style="874" customWidth="1"/>
    <col min="6919" max="6919" width="34.90625" style="874" customWidth="1"/>
    <col min="6920" max="7170" width="9.08984375" style="874"/>
    <col min="7171" max="7171" width="110.36328125" style="874" customWidth="1"/>
    <col min="7172" max="7172" width="43.54296875" style="874" customWidth="1"/>
    <col min="7173" max="7173" width="35.54296875" style="874" customWidth="1"/>
    <col min="7174" max="7174" width="36" style="874" customWidth="1"/>
    <col min="7175" max="7175" width="34.90625" style="874" customWidth="1"/>
    <col min="7176" max="7426" width="9.08984375" style="874"/>
    <col min="7427" max="7427" width="110.36328125" style="874" customWidth="1"/>
    <col min="7428" max="7428" width="43.54296875" style="874" customWidth="1"/>
    <col min="7429" max="7429" width="35.54296875" style="874" customWidth="1"/>
    <col min="7430" max="7430" width="36" style="874" customWidth="1"/>
    <col min="7431" max="7431" width="34.90625" style="874" customWidth="1"/>
    <col min="7432" max="7682" width="9.08984375" style="874"/>
    <col min="7683" max="7683" width="110.36328125" style="874" customWidth="1"/>
    <col min="7684" max="7684" width="43.54296875" style="874" customWidth="1"/>
    <col min="7685" max="7685" width="35.54296875" style="874" customWidth="1"/>
    <col min="7686" max="7686" width="36" style="874" customWidth="1"/>
    <col min="7687" max="7687" width="34.90625" style="874" customWidth="1"/>
    <col min="7688" max="7938" width="9.08984375" style="874"/>
    <col min="7939" max="7939" width="110.36328125" style="874" customWidth="1"/>
    <col min="7940" max="7940" width="43.54296875" style="874" customWidth="1"/>
    <col min="7941" max="7941" width="35.54296875" style="874" customWidth="1"/>
    <col min="7942" max="7942" width="36" style="874" customWidth="1"/>
    <col min="7943" max="7943" width="34.90625" style="874" customWidth="1"/>
    <col min="7944" max="8194" width="9.08984375" style="874"/>
    <col min="8195" max="8195" width="110.36328125" style="874" customWidth="1"/>
    <col min="8196" max="8196" width="43.54296875" style="874" customWidth="1"/>
    <col min="8197" max="8197" width="35.54296875" style="874" customWidth="1"/>
    <col min="8198" max="8198" width="36" style="874" customWidth="1"/>
    <col min="8199" max="8199" width="34.90625" style="874" customWidth="1"/>
    <col min="8200" max="8450" width="9.08984375" style="874"/>
    <col min="8451" max="8451" width="110.36328125" style="874" customWidth="1"/>
    <col min="8452" max="8452" width="43.54296875" style="874" customWidth="1"/>
    <col min="8453" max="8453" width="35.54296875" style="874" customWidth="1"/>
    <col min="8454" max="8454" width="36" style="874" customWidth="1"/>
    <col min="8455" max="8455" width="34.90625" style="874" customWidth="1"/>
    <col min="8456" max="8706" width="9.08984375" style="874"/>
    <col min="8707" max="8707" width="110.36328125" style="874" customWidth="1"/>
    <col min="8708" max="8708" width="43.54296875" style="874" customWidth="1"/>
    <col min="8709" max="8709" width="35.54296875" style="874" customWidth="1"/>
    <col min="8710" max="8710" width="36" style="874" customWidth="1"/>
    <col min="8711" max="8711" width="34.90625" style="874" customWidth="1"/>
    <col min="8712" max="8962" width="9.08984375" style="874"/>
    <col min="8963" max="8963" width="110.36328125" style="874" customWidth="1"/>
    <col min="8964" max="8964" width="43.54296875" style="874" customWidth="1"/>
    <col min="8965" max="8965" width="35.54296875" style="874" customWidth="1"/>
    <col min="8966" max="8966" width="36" style="874" customWidth="1"/>
    <col min="8967" max="8967" width="34.90625" style="874" customWidth="1"/>
    <col min="8968" max="9218" width="9.08984375" style="874"/>
    <col min="9219" max="9219" width="110.36328125" style="874" customWidth="1"/>
    <col min="9220" max="9220" width="43.54296875" style="874" customWidth="1"/>
    <col min="9221" max="9221" width="35.54296875" style="874" customWidth="1"/>
    <col min="9222" max="9222" width="36" style="874" customWidth="1"/>
    <col min="9223" max="9223" width="34.90625" style="874" customWidth="1"/>
    <col min="9224" max="9474" width="9.08984375" style="874"/>
    <col min="9475" max="9475" width="110.36328125" style="874" customWidth="1"/>
    <col min="9476" max="9476" width="43.54296875" style="874" customWidth="1"/>
    <col min="9477" max="9477" width="35.54296875" style="874" customWidth="1"/>
    <col min="9478" max="9478" width="36" style="874" customWidth="1"/>
    <col min="9479" max="9479" width="34.90625" style="874" customWidth="1"/>
    <col min="9480" max="9730" width="9.08984375" style="874"/>
    <col min="9731" max="9731" width="110.36328125" style="874" customWidth="1"/>
    <col min="9732" max="9732" width="43.54296875" style="874" customWidth="1"/>
    <col min="9733" max="9733" width="35.54296875" style="874" customWidth="1"/>
    <col min="9734" max="9734" width="36" style="874" customWidth="1"/>
    <col min="9735" max="9735" width="34.90625" style="874" customWidth="1"/>
    <col min="9736" max="9986" width="9.08984375" style="874"/>
    <col min="9987" max="9987" width="110.36328125" style="874" customWidth="1"/>
    <col min="9988" max="9988" width="43.54296875" style="874" customWidth="1"/>
    <col min="9989" max="9989" width="35.54296875" style="874" customWidth="1"/>
    <col min="9990" max="9990" width="36" style="874" customWidth="1"/>
    <col min="9991" max="9991" width="34.90625" style="874" customWidth="1"/>
    <col min="9992" max="10242" width="9.08984375" style="874"/>
    <col min="10243" max="10243" width="110.36328125" style="874" customWidth="1"/>
    <col min="10244" max="10244" width="43.54296875" style="874" customWidth="1"/>
    <col min="10245" max="10245" width="35.54296875" style="874" customWidth="1"/>
    <col min="10246" max="10246" width="36" style="874" customWidth="1"/>
    <col min="10247" max="10247" width="34.90625" style="874" customWidth="1"/>
    <col min="10248" max="10498" width="9.08984375" style="874"/>
    <col min="10499" max="10499" width="110.36328125" style="874" customWidth="1"/>
    <col min="10500" max="10500" width="43.54296875" style="874" customWidth="1"/>
    <col min="10501" max="10501" width="35.54296875" style="874" customWidth="1"/>
    <col min="10502" max="10502" width="36" style="874" customWidth="1"/>
    <col min="10503" max="10503" width="34.90625" style="874" customWidth="1"/>
    <col min="10504" max="10754" width="9.08984375" style="874"/>
    <col min="10755" max="10755" width="110.36328125" style="874" customWidth="1"/>
    <col min="10756" max="10756" width="43.54296875" style="874" customWidth="1"/>
    <col min="10757" max="10757" width="35.54296875" style="874" customWidth="1"/>
    <col min="10758" max="10758" width="36" style="874" customWidth="1"/>
    <col min="10759" max="10759" width="34.90625" style="874" customWidth="1"/>
    <col min="10760" max="11010" width="9.08984375" style="874"/>
    <col min="11011" max="11011" width="110.36328125" style="874" customWidth="1"/>
    <col min="11012" max="11012" width="43.54296875" style="874" customWidth="1"/>
    <col min="11013" max="11013" width="35.54296875" style="874" customWidth="1"/>
    <col min="11014" max="11014" width="36" style="874" customWidth="1"/>
    <col min="11015" max="11015" width="34.90625" style="874" customWidth="1"/>
    <col min="11016" max="11266" width="9.08984375" style="874"/>
    <col min="11267" max="11267" width="110.36328125" style="874" customWidth="1"/>
    <col min="11268" max="11268" width="43.54296875" style="874" customWidth="1"/>
    <col min="11269" max="11269" width="35.54296875" style="874" customWidth="1"/>
    <col min="11270" max="11270" width="36" style="874" customWidth="1"/>
    <col min="11271" max="11271" width="34.90625" style="874" customWidth="1"/>
    <col min="11272" max="11522" width="9.08984375" style="874"/>
    <col min="11523" max="11523" width="110.36328125" style="874" customWidth="1"/>
    <col min="11524" max="11524" width="43.54296875" style="874" customWidth="1"/>
    <col min="11525" max="11525" width="35.54296875" style="874" customWidth="1"/>
    <col min="11526" max="11526" width="36" style="874" customWidth="1"/>
    <col min="11527" max="11527" width="34.90625" style="874" customWidth="1"/>
    <col min="11528" max="11778" width="9.08984375" style="874"/>
    <col min="11779" max="11779" width="110.36328125" style="874" customWidth="1"/>
    <col min="11780" max="11780" width="43.54296875" style="874" customWidth="1"/>
    <col min="11781" max="11781" width="35.54296875" style="874" customWidth="1"/>
    <col min="11782" max="11782" width="36" style="874" customWidth="1"/>
    <col min="11783" max="11783" width="34.90625" style="874" customWidth="1"/>
    <col min="11784" max="12034" width="9.08984375" style="874"/>
    <col min="12035" max="12035" width="110.36328125" style="874" customWidth="1"/>
    <col min="12036" max="12036" width="43.54296875" style="874" customWidth="1"/>
    <col min="12037" max="12037" width="35.54296875" style="874" customWidth="1"/>
    <col min="12038" max="12038" width="36" style="874" customWidth="1"/>
    <col min="12039" max="12039" width="34.90625" style="874" customWidth="1"/>
    <col min="12040" max="12290" width="9.08984375" style="874"/>
    <col min="12291" max="12291" width="110.36328125" style="874" customWidth="1"/>
    <col min="12292" max="12292" width="43.54296875" style="874" customWidth="1"/>
    <col min="12293" max="12293" width="35.54296875" style="874" customWidth="1"/>
    <col min="12294" max="12294" width="36" style="874" customWidth="1"/>
    <col min="12295" max="12295" width="34.90625" style="874" customWidth="1"/>
    <col min="12296" max="12546" width="9.08984375" style="874"/>
    <col min="12547" max="12547" width="110.36328125" style="874" customWidth="1"/>
    <col min="12548" max="12548" width="43.54296875" style="874" customWidth="1"/>
    <col min="12549" max="12549" width="35.54296875" style="874" customWidth="1"/>
    <col min="12550" max="12550" width="36" style="874" customWidth="1"/>
    <col min="12551" max="12551" width="34.90625" style="874" customWidth="1"/>
    <col min="12552" max="12802" width="9.08984375" style="874"/>
    <col min="12803" max="12803" width="110.36328125" style="874" customWidth="1"/>
    <col min="12804" max="12804" width="43.54296875" style="874" customWidth="1"/>
    <col min="12805" max="12805" width="35.54296875" style="874" customWidth="1"/>
    <col min="12806" max="12806" width="36" style="874" customWidth="1"/>
    <col min="12807" max="12807" width="34.90625" style="874" customWidth="1"/>
    <col min="12808" max="13058" width="9.08984375" style="874"/>
    <col min="13059" max="13059" width="110.36328125" style="874" customWidth="1"/>
    <col min="13060" max="13060" width="43.54296875" style="874" customWidth="1"/>
    <col min="13061" max="13061" width="35.54296875" style="874" customWidth="1"/>
    <col min="13062" max="13062" width="36" style="874" customWidth="1"/>
    <col min="13063" max="13063" width="34.90625" style="874" customWidth="1"/>
    <col min="13064" max="13314" width="9.08984375" style="874"/>
    <col min="13315" max="13315" width="110.36328125" style="874" customWidth="1"/>
    <col min="13316" max="13316" width="43.54296875" style="874" customWidth="1"/>
    <col min="13317" max="13317" width="35.54296875" style="874" customWidth="1"/>
    <col min="13318" max="13318" width="36" style="874" customWidth="1"/>
    <col min="13319" max="13319" width="34.90625" style="874" customWidth="1"/>
    <col min="13320" max="13570" width="9.08984375" style="874"/>
    <col min="13571" max="13571" width="110.36328125" style="874" customWidth="1"/>
    <col min="13572" max="13572" width="43.54296875" style="874" customWidth="1"/>
    <col min="13573" max="13573" width="35.54296875" style="874" customWidth="1"/>
    <col min="13574" max="13574" width="36" style="874" customWidth="1"/>
    <col min="13575" max="13575" width="34.90625" style="874" customWidth="1"/>
    <col min="13576" max="13826" width="9.08984375" style="874"/>
    <col min="13827" max="13827" width="110.36328125" style="874" customWidth="1"/>
    <col min="13828" max="13828" width="43.54296875" style="874" customWidth="1"/>
    <col min="13829" max="13829" width="35.54296875" style="874" customWidth="1"/>
    <col min="13830" max="13830" width="36" style="874" customWidth="1"/>
    <col min="13831" max="13831" width="34.90625" style="874" customWidth="1"/>
    <col min="13832" max="14082" width="9.08984375" style="874"/>
    <col min="14083" max="14083" width="110.36328125" style="874" customWidth="1"/>
    <col min="14084" max="14084" width="43.54296875" style="874" customWidth="1"/>
    <col min="14085" max="14085" width="35.54296875" style="874" customWidth="1"/>
    <col min="14086" max="14086" width="36" style="874" customWidth="1"/>
    <col min="14087" max="14087" width="34.90625" style="874" customWidth="1"/>
    <col min="14088" max="14338" width="9.08984375" style="874"/>
    <col min="14339" max="14339" width="110.36328125" style="874" customWidth="1"/>
    <col min="14340" max="14340" width="43.54296875" style="874" customWidth="1"/>
    <col min="14341" max="14341" width="35.54296875" style="874" customWidth="1"/>
    <col min="14342" max="14342" width="36" style="874" customWidth="1"/>
    <col min="14343" max="14343" width="34.90625" style="874" customWidth="1"/>
    <col min="14344" max="14594" width="9.08984375" style="874"/>
    <col min="14595" max="14595" width="110.36328125" style="874" customWidth="1"/>
    <col min="14596" max="14596" width="43.54296875" style="874" customWidth="1"/>
    <col min="14597" max="14597" width="35.54296875" style="874" customWidth="1"/>
    <col min="14598" max="14598" width="36" style="874" customWidth="1"/>
    <col min="14599" max="14599" width="34.90625" style="874" customWidth="1"/>
    <col min="14600" max="14850" width="9.08984375" style="874"/>
    <col min="14851" max="14851" width="110.36328125" style="874" customWidth="1"/>
    <col min="14852" max="14852" width="43.54296875" style="874" customWidth="1"/>
    <col min="14853" max="14853" width="35.54296875" style="874" customWidth="1"/>
    <col min="14854" max="14854" width="36" style="874" customWidth="1"/>
    <col min="14855" max="14855" width="34.90625" style="874" customWidth="1"/>
    <col min="14856" max="15106" width="9.08984375" style="874"/>
    <col min="15107" max="15107" width="110.36328125" style="874" customWidth="1"/>
    <col min="15108" max="15108" width="43.54296875" style="874" customWidth="1"/>
    <col min="15109" max="15109" width="35.54296875" style="874" customWidth="1"/>
    <col min="15110" max="15110" width="36" style="874" customWidth="1"/>
    <col min="15111" max="15111" width="34.90625" style="874" customWidth="1"/>
    <col min="15112" max="15362" width="9.08984375" style="874"/>
    <col min="15363" max="15363" width="110.36328125" style="874" customWidth="1"/>
    <col min="15364" max="15364" width="43.54296875" style="874" customWidth="1"/>
    <col min="15365" max="15365" width="35.54296875" style="874" customWidth="1"/>
    <col min="15366" max="15366" width="36" style="874" customWidth="1"/>
    <col min="15367" max="15367" width="34.90625" style="874" customWidth="1"/>
    <col min="15368" max="15618" width="9.08984375" style="874"/>
    <col min="15619" max="15619" width="110.36328125" style="874" customWidth="1"/>
    <col min="15620" max="15620" width="43.54296875" style="874" customWidth="1"/>
    <col min="15621" max="15621" width="35.54296875" style="874" customWidth="1"/>
    <col min="15622" max="15622" width="36" style="874" customWidth="1"/>
    <col min="15623" max="15623" width="34.90625" style="874" customWidth="1"/>
    <col min="15624" max="15874" width="9.08984375" style="874"/>
    <col min="15875" max="15875" width="110.36328125" style="874" customWidth="1"/>
    <col min="15876" max="15876" width="43.54296875" style="874" customWidth="1"/>
    <col min="15877" max="15877" width="35.54296875" style="874" customWidth="1"/>
    <col min="15878" max="15878" width="36" style="874" customWidth="1"/>
    <col min="15879" max="15879" width="34.90625" style="874" customWidth="1"/>
    <col min="15880" max="16130" width="9.08984375" style="874"/>
    <col min="16131" max="16131" width="110.36328125" style="874" customWidth="1"/>
    <col min="16132" max="16132" width="43.54296875" style="874" customWidth="1"/>
    <col min="16133" max="16133" width="35.54296875" style="874" customWidth="1"/>
    <col min="16134" max="16134" width="36" style="874" customWidth="1"/>
    <col min="16135" max="16135" width="34.90625" style="874" customWidth="1"/>
    <col min="16136" max="16384" width="9.08984375" style="874"/>
  </cols>
  <sheetData>
    <row r="2" spans="2:7">
      <c r="B2" s="22"/>
      <c r="C2" s="892" t="str">
        <f>Index!B2</f>
        <v xml:space="preserve">      Maharashtra State Power Generation Company Ltd.</v>
      </c>
      <c r="D2" s="22"/>
      <c r="E2" s="22"/>
      <c r="F2" s="22"/>
      <c r="G2" s="22"/>
    </row>
    <row r="3" spans="2:7">
      <c r="B3" s="950"/>
      <c r="C3" s="894" t="s">
        <v>1077</v>
      </c>
      <c r="D3" s="950"/>
      <c r="E3" s="950"/>
      <c r="F3" s="950"/>
      <c r="G3" s="950"/>
    </row>
    <row r="4" spans="2:7">
      <c r="B4" s="950"/>
      <c r="C4" s="894" t="s">
        <v>1084</v>
      </c>
      <c r="D4" s="950"/>
      <c r="E4" s="950"/>
      <c r="F4" s="950"/>
      <c r="G4" s="950"/>
    </row>
    <row r="5" spans="2:7">
      <c r="B5" s="22"/>
      <c r="C5" s="894"/>
      <c r="D5" s="22"/>
      <c r="E5" s="22"/>
      <c r="F5" s="22"/>
      <c r="G5" s="21" t="s">
        <v>10</v>
      </c>
    </row>
    <row r="6" spans="2:7" s="954" customFormat="1" ht="42">
      <c r="B6" s="951" t="s">
        <v>37</v>
      </c>
      <c r="C6" s="952" t="s">
        <v>1085</v>
      </c>
      <c r="D6" s="952" t="s">
        <v>1086</v>
      </c>
      <c r="E6" s="952" t="s">
        <v>1087</v>
      </c>
      <c r="F6" s="953" t="s">
        <v>1088</v>
      </c>
      <c r="G6" s="952" t="s">
        <v>1089</v>
      </c>
    </row>
    <row r="7" spans="2:7">
      <c r="B7" s="955" t="s">
        <v>1090</v>
      </c>
      <c r="C7" s="956"/>
      <c r="D7" s="956"/>
      <c r="E7" s="956"/>
      <c r="F7" s="956"/>
      <c r="G7" s="956"/>
    </row>
    <row r="8" spans="2:7">
      <c r="B8" s="957" t="s">
        <v>1091</v>
      </c>
      <c r="C8" s="956"/>
      <c r="D8" s="956"/>
      <c r="E8" s="956"/>
      <c r="F8" s="956"/>
      <c r="G8" s="956"/>
    </row>
    <row r="9" spans="2:7">
      <c r="B9" s="957" t="s">
        <v>1092</v>
      </c>
      <c r="C9" s="956"/>
      <c r="D9" s="956"/>
      <c r="E9" s="956"/>
      <c r="F9" s="956"/>
      <c r="G9" s="956"/>
    </row>
    <row r="10" spans="2:7">
      <c r="B10" s="957" t="s">
        <v>1088</v>
      </c>
      <c r="C10" s="956"/>
      <c r="D10" s="956"/>
      <c r="E10" s="956"/>
      <c r="F10" s="956"/>
      <c r="G10" s="956"/>
    </row>
    <row r="11" spans="2:7">
      <c r="B11" s="955" t="s">
        <v>1093</v>
      </c>
      <c r="C11" s="956"/>
      <c r="D11" s="956"/>
      <c r="E11" s="956"/>
      <c r="F11" s="956"/>
      <c r="G11" s="956"/>
    </row>
    <row r="12" spans="2:7">
      <c r="B12" s="957"/>
      <c r="C12" s="956"/>
      <c r="D12" s="956"/>
      <c r="E12" s="956"/>
      <c r="F12" s="956"/>
      <c r="G12" s="956"/>
    </row>
    <row r="13" spans="2:7">
      <c r="B13" s="955" t="s">
        <v>1094</v>
      </c>
      <c r="C13" s="956"/>
      <c r="D13" s="956"/>
      <c r="E13" s="956"/>
      <c r="F13" s="956"/>
      <c r="G13" s="956"/>
    </row>
    <row r="14" spans="2:7">
      <c r="B14" s="957" t="s">
        <v>1091</v>
      </c>
      <c r="C14" s="956"/>
      <c r="D14" s="956"/>
      <c r="E14" s="956"/>
      <c r="F14" s="956"/>
      <c r="G14" s="956"/>
    </row>
    <row r="15" spans="2:7">
      <c r="B15" s="957" t="s">
        <v>1092</v>
      </c>
      <c r="C15" s="956"/>
      <c r="D15" s="956"/>
      <c r="E15" s="956"/>
      <c r="F15" s="956"/>
      <c r="G15" s="956"/>
    </row>
    <row r="16" spans="2:7">
      <c r="B16" s="957" t="s">
        <v>1088</v>
      </c>
      <c r="C16" s="956"/>
      <c r="D16" s="956"/>
      <c r="E16" s="956"/>
      <c r="F16" s="956"/>
      <c r="G16" s="956"/>
    </row>
    <row r="17" spans="2:7">
      <c r="B17" s="955" t="s">
        <v>1095</v>
      </c>
      <c r="C17" s="956"/>
      <c r="D17" s="956"/>
      <c r="E17" s="956"/>
      <c r="F17" s="956"/>
      <c r="G17" s="956"/>
    </row>
    <row r="18" spans="2:7">
      <c r="B18" s="957"/>
      <c r="C18" s="956"/>
      <c r="D18" s="956"/>
      <c r="E18" s="956"/>
      <c r="F18" s="956"/>
      <c r="G18" s="956"/>
    </row>
    <row r="19" spans="2:7">
      <c r="B19" s="955" t="s">
        <v>1096</v>
      </c>
      <c r="C19" s="956"/>
      <c r="D19" s="956"/>
      <c r="E19" s="956"/>
      <c r="F19" s="956"/>
      <c r="G19" s="956"/>
    </row>
    <row r="21" spans="2:7">
      <c r="B21" s="874" t="s">
        <v>1097</v>
      </c>
    </row>
    <row r="29" spans="2:7">
      <c r="C29" s="949"/>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155"/>
  <sheetViews>
    <sheetView workbookViewId="0">
      <selection activeCell="H2" sqref="H2"/>
    </sheetView>
  </sheetViews>
  <sheetFormatPr defaultColWidth="9.08984375" defaultRowHeight="14"/>
  <cols>
    <col min="1" max="1" width="14.54296875" style="961" customWidth="1"/>
    <col min="2" max="2" width="14.453125" style="958" customWidth="1"/>
    <col min="3" max="3" width="58.08984375" style="966" customWidth="1"/>
    <col min="4" max="17" width="15.36328125" style="961" customWidth="1"/>
    <col min="18" max="18" width="16.08984375" style="961" customWidth="1"/>
    <col min="19" max="19" width="15.36328125" style="961" customWidth="1"/>
    <col min="20" max="20" width="15.36328125" style="962" customWidth="1"/>
    <col min="21" max="21" width="15.36328125" style="963" customWidth="1"/>
    <col min="22" max="22" width="19.453125" style="961" customWidth="1"/>
    <col min="23" max="259" width="9.08984375" style="961"/>
    <col min="260" max="260" width="14.54296875" style="961" customWidth="1"/>
    <col min="261" max="261" width="14.453125" style="961" customWidth="1"/>
    <col min="262" max="262" width="58.08984375" style="961" customWidth="1"/>
    <col min="263" max="263" width="30.453125" style="961" customWidth="1"/>
    <col min="264" max="264" width="27.36328125" style="961" customWidth="1"/>
    <col min="265" max="265" width="30.90625" style="961" customWidth="1"/>
    <col min="266" max="266" width="24.90625" style="961" customWidth="1"/>
    <col min="267" max="267" width="27.36328125" style="961" customWidth="1"/>
    <col min="268" max="268" width="32" style="961" customWidth="1"/>
    <col min="269" max="269" width="25.54296875" style="961" customWidth="1"/>
    <col min="270" max="270" width="27.36328125" style="961" customWidth="1"/>
    <col min="271" max="271" width="31.453125" style="961" customWidth="1"/>
    <col min="272" max="272" width="30.54296875" style="961" customWidth="1"/>
    <col min="273" max="273" width="27.36328125" style="961" customWidth="1"/>
    <col min="274" max="274" width="32.54296875" style="961" customWidth="1"/>
    <col min="275" max="275" width="30.453125" style="961" customWidth="1"/>
    <col min="276" max="276" width="24.36328125" style="961" customWidth="1"/>
    <col min="277" max="277" width="28" style="961" customWidth="1"/>
    <col min="278" max="278" width="19.453125" style="961" customWidth="1"/>
    <col min="279" max="515" width="9.08984375" style="961"/>
    <col min="516" max="516" width="14.54296875" style="961" customWidth="1"/>
    <col min="517" max="517" width="14.453125" style="961" customWidth="1"/>
    <col min="518" max="518" width="58.08984375" style="961" customWidth="1"/>
    <col min="519" max="519" width="30.453125" style="961" customWidth="1"/>
    <col min="520" max="520" width="27.36328125" style="961" customWidth="1"/>
    <col min="521" max="521" width="30.90625" style="961" customWidth="1"/>
    <col min="522" max="522" width="24.90625" style="961" customWidth="1"/>
    <col min="523" max="523" width="27.36328125" style="961" customWidth="1"/>
    <col min="524" max="524" width="32" style="961" customWidth="1"/>
    <col min="525" max="525" width="25.54296875" style="961" customWidth="1"/>
    <col min="526" max="526" width="27.36328125" style="961" customWidth="1"/>
    <col min="527" max="527" width="31.453125" style="961" customWidth="1"/>
    <col min="528" max="528" width="30.54296875" style="961" customWidth="1"/>
    <col min="529" max="529" width="27.36328125" style="961" customWidth="1"/>
    <col min="530" max="530" width="32.54296875" style="961" customWidth="1"/>
    <col min="531" max="531" width="30.453125" style="961" customWidth="1"/>
    <col min="532" max="532" width="24.36328125" style="961" customWidth="1"/>
    <col min="533" max="533" width="28" style="961" customWidth="1"/>
    <col min="534" max="534" width="19.453125" style="961" customWidth="1"/>
    <col min="535" max="771" width="9.08984375" style="961"/>
    <col min="772" max="772" width="14.54296875" style="961" customWidth="1"/>
    <col min="773" max="773" width="14.453125" style="961" customWidth="1"/>
    <col min="774" max="774" width="58.08984375" style="961" customWidth="1"/>
    <col min="775" max="775" width="30.453125" style="961" customWidth="1"/>
    <col min="776" max="776" width="27.36328125" style="961" customWidth="1"/>
    <col min="777" max="777" width="30.90625" style="961" customWidth="1"/>
    <col min="778" max="778" width="24.90625" style="961" customWidth="1"/>
    <col min="779" max="779" width="27.36328125" style="961" customWidth="1"/>
    <col min="780" max="780" width="32" style="961" customWidth="1"/>
    <col min="781" max="781" width="25.54296875" style="961" customWidth="1"/>
    <col min="782" max="782" width="27.36328125" style="961" customWidth="1"/>
    <col min="783" max="783" width="31.453125" style="961" customWidth="1"/>
    <col min="784" max="784" width="30.54296875" style="961" customWidth="1"/>
    <col min="785" max="785" width="27.36328125" style="961" customWidth="1"/>
    <col min="786" max="786" width="32.54296875" style="961" customWidth="1"/>
    <col min="787" max="787" width="30.453125" style="961" customWidth="1"/>
    <col min="788" max="788" width="24.36328125" style="961" customWidth="1"/>
    <col min="789" max="789" width="28" style="961" customWidth="1"/>
    <col min="790" max="790" width="19.453125" style="961" customWidth="1"/>
    <col min="791" max="1027" width="9.08984375" style="961"/>
    <col min="1028" max="1028" width="14.54296875" style="961" customWidth="1"/>
    <col min="1029" max="1029" width="14.453125" style="961" customWidth="1"/>
    <col min="1030" max="1030" width="58.08984375" style="961" customWidth="1"/>
    <col min="1031" max="1031" width="30.453125" style="961" customWidth="1"/>
    <col min="1032" max="1032" width="27.36328125" style="961" customWidth="1"/>
    <col min="1033" max="1033" width="30.90625" style="961" customWidth="1"/>
    <col min="1034" max="1034" width="24.90625" style="961" customWidth="1"/>
    <col min="1035" max="1035" width="27.36328125" style="961" customWidth="1"/>
    <col min="1036" max="1036" width="32" style="961" customWidth="1"/>
    <col min="1037" max="1037" width="25.54296875" style="961" customWidth="1"/>
    <col min="1038" max="1038" width="27.36328125" style="961" customWidth="1"/>
    <col min="1039" max="1039" width="31.453125" style="961" customWidth="1"/>
    <col min="1040" max="1040" width="30.54296875" style="961" customWidth="1"/>
    <col min="1041" max="1041" width="27.36328125" style="961" customWidth="1"/>
    <col min="1042" max="1042" width="32.54296875" style="961" customWidth="1"/>
    <col min="1043" max="1043" width="30.453125" style="961" customWidth="1"/>
    <col min="1044" max="1044" width="24.36328125" style="961" customWidth="1"/>
    <col min="1045" max="1045" width="28" style="961" customWidth="1"/>
    <col min="1046" max="1046" width="19.453125" style="961" customWidth="1"/>
    <col min="1047" max="1283" width="9.08984375" style="961"/>
    <col min="1284" max="1284" width="14.54296875" style="961" customWidth="1"/>
    <col min="1285" max="1285" width="14.453125" style="961" customWidth="1"/>
    <col min="1286" max="1286" width="58.08984375" style="961" customWidth="1"/>
    <col min="1287" max="1287" width="30.453125" style="961" customWidth="1"/>
    <col min="1288" max="1288" width="27.36328125" style="961" customWidth="1"/>
    <col min="1289" max="1289" width="30.90625" style="961" customWidth="1"/>
    <col min="1290" max="1290" width="24.90625" style="961" customWidth="1"/>
    <col min="1291" max="1291" width="27.36328125" style="961" customWidth="1"/>
    <col min="1292" max="1292" width="32" style="961" customWidth="1"/>
    <col min="1293" max="1293" width="25.54296875" style="961" customWidth="1"/>
    <col min="1294" max="1294" width="27.36328125" style="961" customWidth="1"/>
    <col min="1295" max="1295" width="31.453125" style="961" customWidth="1"/>
    <col min="1296" max="1296" width="30.54296875" style="961" customWidth="1"/>
    <col min="1297" max="1297" width="27.36328125" style="961" customWidth="1"/>
    <col min="1298" max="1298" width="32.54296875" style="961" customWidth="1"/>
    <col min="1299" max="1299" width="30.453125" style="961" customWidth="1"/>
    <col min="1300" max="1300" width="24.36328125" style="961" customWidth="1"/>
    <col min="1301" max="1301" width="28" style="961" customWidth="1"/>
    <col min="1302" max="1302" width="19.453125" style="961" customWidth="1"/>
    <col min="1303" max="1539" width="9.08984375" style="961"/>
    <col min="1540" max="1540" width="14.54296875" style="961" customWidth="1"/>
    <col min="1541" max="1541" width="14.453125" style="961" customWidth="1"/>
    <col min="1542" max="1542" width="58.08984375" style="961" customWidth="1"/>
    <col min="1543" max="1543" width="30.453125" style="961" customWidth="1"/>
    <col min="1544" max="1544" width="27.36328125" style="961" customWidth="1"/>
    <col min="1545" max="1545" width="30.90625" style="961" customWidth="1"/>
    <col min="1546" max="1546" width="24.90625" style="961" customWidth="1"/>
    <col min="1547" max="1547" width="27.36328125" style="961" customWidth="1"/>
    <col min="1548" max="1548" width="32" style="961" customWidth="1"/>
    <col min="1549" max="1549" width="25.54296875" style="961" customWidth="1"/>
    <col min="1550" max="1550" width="27.36328125" style="961" customWidth="1"/>
    <col min="1551" max="1551" width="31.453125" style="961" customWidth="1"/>
    <col min="1552" max="1552" width="30.54296875" style="961" customWidth="1"/>
    <col min="1553" max="1553" width="27.36328125" style="961" customWidth="1"/>
    <col min="1554" max="1554" width="32.54296875" style="961" customWidth="1"/>
    <col min="1555" max="1555" width="30.453125" style="961" customWidth="1"/>
    <col min="1556" max="1556" width="24.36328125" style="961" customWidth="1"/>
    <col min="1557" max="1557" width="28" style="961" customWidth="1"/>
    <col min="1558" max="1558" width="19.453125" style="961" customWidth="1"/>
    <col min="1559" max="1795" width="9.08984375" style="961"/>
    <col min="1796" max="1796" width="14.54296875" style="961" customWidth="1"/>
    <col min="1797" max="1797" width="14.453125" style="961" customWidth="1"/>
    <col min="1798" max="1798" width="58.08984375" style="961" customWidth="1"/>
    <col min="1799" max="1799" width="30.453125" style="961" customWidth="1"/>
    <col min="1800" max="1800" width="27.36328125" style="961" customWidth="1"/>
    <col min="1801" max="1801" width="30.90625" style="961" customWidth="1"/>
    <col min="1802" max="1802" width="24.90625" style="961" customWidth="1"/>
    <col min="1803" max="1803" width="27.36328125" style="961" customWidth="1"/>
    <col min="1804" max="1804" width="32" style="961" customWidth="1"/>
    <col min="1805" max="1805" width="25.54296875" style="961" customWidth="1"/>
    <col min="1806" max="1806" width="27.36328125" style="961" customWidth="1"/>
    <col min="1807" max="1807" width="31.453125" style="961" customWidth="1"/>
    <col min="1808" max="1808" width="30.54296875" style="961" customWidth="1"/>
    <col min="1809" max="1809" width="27.36328125" style="961" customWidth="1"/>
    <col min="1810" max="1810" width="32.54296875" style="961" customWidth="1"/>
    <col min="1811" max="1811" width="30.453125" style="961" customWidth="1"/>
    <col min="1812" max="1812" width="24.36328125" style="961" customWidth="1"/>
    <col min="1813" max="1813" width="28" style="961" customWidth="1"/>
    <col min="1814" max="1814" width="19.453125" style="961" customWidth="1"/>
    <col min="1815" max="2051" width="9.08984375" style="961"/>
    <col min="2052" max="2052" width="14.54296875" style="961" customWidth="1"/>
    <col min="2053" max="2053" width="14.453125" style="961" customWidth="1"/>
    <col min="2054" max="2054" width="58.08984375" style="961" customWidth="1"/>
    <col min="2055" max="2055" width="30.453125" style="961" customWidth="1"/>
    <col min="2056" max="2056" width="27.36328125" style="961" customWidth="1"/>
    <col min="2057" max="2057" width="30.90625" style="961" customWidth="1"/>
    <col min="2058" max="2058" width="24.90625" style="961" customWidth="1"/>
    <col min="2059" max="2059" width="27.36328125" style="961" customWidth="1"/>
    <col min="2060" max="2060" width="32" style="961" customWidth="1"/>
    <col min="2061" max="2061" width="25.54296875" style="961" customWidth="1"/>
    <col min="2062" max="2062" width="27.36328125" style="961" customWidth="1"/>
    <col min="2063" max="2063" width="31.453125" style="961" customWidth="1"/>
    <col min="2064" max="2064" width="30.54296875" style="961" customWidth="1"/>
    <col min="2065" max="2065" width="27.36328125" style="961" customWidth="1"/>
    <col min="2066" max="2066" width="32.54296875" style="961" customWidth="1"/>
    <col min="2067" max="2067" width="30.453125" style="961" customWidth="1"/>
    <col min="2068" max="2068" width="24.36328125" style="961" customWidth="1"/>
    <col min="2069" max="2069" width="28" style="961" customWidth="1"/>
    <col min="2070" max="2070" width="19.453125" style="961" customWidth="1"/>
    <col min="2071" max="2307" width="9.08984375" style="961"/>
    <col min="2308" max="2308" width="14.54296875" style="961" customWidth="1"/>
    <col min="2309" max="2309" width="14.453125" style="961" customWidth="1"/>
    <col min="2310" max="2310" width="58.08984375" style="961" customWidth="1"/>
    <col min="2311" max="2311" width="30.453125" style="961" customWidth="1"/>
    <col min="2312" max="2312" width="27.36328125" style="961" customWidth="1"/>
    <col min="2313" max="2313" width="30.90625" style="961" customWidth="1"/>
    <col min="2314" max="2314" width="24.90625" style="961" customWidth="1"/>
    <col min="2315" max="2315" width="27.36328125" style="961" customWidth="1"/>
    <col min="2316" max="2316" width="32" style="961" customWidth="1"/>
    <col min="2317" max="2317" width="25.54296875" style="961" customWidth="1"/>
    <col min="2318" max="2318" width="27.36328125" style="961" customWidth="1"/>
    <col min="2319" max="2319" width="31.453125" style="961" customWidth="1"/>
    <col min="2320" max="2320" width="30.54296875" style="961" customWidth="1"/>
    <col min="2321" max="2321" width="27.36328125" style="961" customWidth="1"/>
    <col min="2322" max="2322" width="32.54296875" style="961" customWidth="1"/>
    <col min="2323" max="2323" width="30.453125" style="961" customWidth="1"/>
    <col min="2324" max="2324" width="24.36328125" style="961" customWidth="1"/>
    <col min="2325" max="2325" width="28" style="961" customWidth="1"/>
    <col min="2326" max="2326" width="19.453125" style="961" customWidth="1"/>
    <col min="2327" max="2563" width="9.08984375" style="961"/>
    <col min="2564" max="2564" width="14.54296875" style="961" customWidth="1"/>
    <col min="2565" max="2565" width="14.453125" style="961" customWidth="1"/>
    <col min="2566" max="2566" width="58.08984375" style="961" customWidth="1"/>
    <col min="2567" max="2567" width="30.453125" style="961" customWidth="1"/>
    <col min="2568" max="2568" width="27.36328125" style="961" customWidth="1"/>
    <col min="2569" max="2569" width="30.90625" style="961" customWidth="1"/>
    <col min="2570" max="2570" width="24.90625" style="961" customWidth="1"/>
    <col min="2571" max="2571" width="27.36328125" style="961" customWidth="1"/>
    <col min="2572" max="2572" width="32" style="961" customWidth="1"/>
    <col min="2573" max="2573" width="25.54296875" style="961" customWidth="1"/>
    <col min="2574" max="2574" width="27.36328125" style="961" customWidth="1"/>
    <col min="2575" max="2575" width="31.453125" style="961" customWidth="1"/>
    <col min="2576" max="2576" width="30.54296875" style="961" customWidth="1"/>
    <col min="2577" max="2577" width="27.36328125" style="961" customWidth="1"/>
    <col min="2578" max="2578" width="32.54296875" style="961" customWidth="1"/>
    <col min="2579" max="2579" width="30.453125" style="961" customWidth="1"/>
    <col min="2580" max="2580" width="24.36328125" style="961" customWidth="1"/>
    <col min="2581" max="2581" width="28" style="961" customWidth="1"/>
    <col min="2582" max="2582" width="19.453125" style="961" customWidth="1"/>
    <col min="2583" max="2819" width="9.08984375" style="961"/>
    <col min="2820" max="2820" width="14.54296875" style="961" customWidth="1"/>
    <col min="2821" max="2821" width="14.453125" style="961" customWidth="1"/>
    <col min="2822" max="2822" width="58.08984375" style="961" customWidth="1"/>
    <col min="2823" max="2823" width="30.453125" style="961" customWidth="1"/>
    <col min="2824" max="2824" width="27.36328125" style="961" customWidth="1"/>
    <col min="2825" max="2825" width="30.90625" style="961" customWidth="1"/>
    <col min="2826" max="2826" width="24.90625" style="961" customWidth="1"/>
    <col min="2827" max="2827" width="27.36328125" style="961" customWidth="1"/>
    <col min="2828" max="2828" width="32" style="961" customWidth="1"/>
    <col min="2829" max="2829" width="25.54296875" style="961" customWidth="1"/>
    <col min="2830" max="2830" width="27.36328125" style="961" customWidth="1"/>
    <col min="2831" max="2831" width="31.453125" style="961" customWidth="1"/>
    <col min="2832" max="2832" width="30.54296875" style="961" customWidth="1"/>
    <col min="2833" max="2833" width="27.36328125" style="961" customWidth="1"/>
    <col min="2834" max="2834" width="32.54296875" style="961" customWidth="1"/>
    <col min="2835" max="2835" width="30.453125" style="961" customWidth="1"/>
    <col min="2836" max="2836" width="24.36328125" style="961" customWidth="1"/>
    <col min="2837" max="2837" width="28" style="961" customWidth="1"/>
    <col min="2838" max="2838" width="19.453125" style="961" customWidth="1"/>
    <col min="2839" max="3075" width="9.08984375" style="961"/>
    <col min="3076" max="3076" width="14.54296875" style="961" customWidth="1"/>
    <col min="3077" max="3077" width="14.453125" style="961" customWidth="1"/>
    <col min="3078" max="3078" width="58.08984375" style="961" customWidth="1"/>
    <col min="3079" max="3079" width="30.453125" style="961" customWidth="1"/>
    <col min="3080" max="3080" width="27.36328125" style="961" customWidth="1"/>
    <col min="3081" max="3081" width="30.90625" style="961" customWidth="1"/>
    <col min="3082" max="3082" width="24.90625" style="961" customWidth="1"/>
    <col min="3083" max="3083" width="27.36328125" style="961" customWidth="1"/>
    <col min="3084" max="3084" width="32" style="961" customWidth="1"/>
    <col min="3085" max="3085" width="25.54296875" style="961" customWidth="1"/>
    <col min="3086" max="3086" width="27.36328125" style="961" customWidth="1"/>
    <col min="3087" max="3087" width="31.453125" style="961" customWidth="1"/>
    <col min="3088" max="3088" width="30.54296875" style="961" customWidth="1"/>
    <col min="3089" max="3089" width="27.36328125" style="961" customWidth="1"/>
    <col min="3090" max="3090" width="32.54296875" style="961" customWidth="1"/>
    <col min="3091" max="3091" width="30.453125" style="961" customWidth="1"/>
    <col min="3092" max="3092" width="24.36328125" style="961" customWidth="1"/>
    <col min="3093" max="3093" width="28" style="961" customWidth="1"/>
    <col min="3094" max="3094" width="19.453125" style="961" customWidth="1"/>
    <col min="3095" max="3331" width="9.08984375" style="961"/>
    <col min="3332" max="3332" width="14.54296875" style="961" customWidth="1"/>
    <col min="3333" max="3333" width="14.453125" style="961" customWidth="1"/>
    <col min="3334" max="3334" width="58.08984375" style="961" customWidth="1"/>
    <col min="3335" max="3335" width="30.453125" style="961" customWidth="1"/>
    <col min="3336" max="3336" width="27.36328125" style="961" customWidth="1"/>
    <col min="3337" max="3337" width="30.90625" style="961" customWidth="1"/>
    <col min="3338" max="3338" width="24.90625" style="961" customWidth="1"/>
    <col min="3339" max="3339" width="27.36328125" style="961" customWidth="1"/>
    <col min="3340" max="3340" width="32" style="961" customWidth="1"/>
    <col min="3341" max="3341" width="25.54296875" style="961" customWidth="1"/>
    <col min="3342" max="3342" width="27.36328125" style="961" customWidth="1"/>
    <col min="3343" max="3343" width="31.453125" style="961" customWidth="1"/>
    <col min="3344" max="3344" width="30.54296875" style="961" customWidth="1"/>
    <col min="3345" max="3345" width="27.36328125" style="961" customWidth="1"/>
    <col min="3346" max="3346" width="32.54296875" style="961" customWidth="1"/>
    <col min="3347" max="3347" width="30.453125" style="961" customWidth="1"/>
    <col min="3348" max="3348" width="24.36328125" style="961" customWidth="1"/>
    <col min="3349" max="3349" width="28" style="961" customWidth="1"/>
    <col min="3350" max="3350" width="19.453125" style="961" customWidth="1"/>
    <col min="3351" max="3587" width="9.08984375" style="961"/>
    <col min="3588" max="3588" width="14.54296875" style="961" customWidth="1"/>
    <col min="3589" max="3589" width="14.453125" style="961" customWidth="1"/>
    <col min="3590" max="3590" width="58.08984375" style="961" customWidth="1"/>
    <col min="3591" max="3591" width="30.453125" style="961" customWidth="1"/>
    <col min="3592" max="3592" width="27.36328125" style="961" customWidth="1"/>
    <col min="3593" max="3593" width="30.90625" style="961" customWidth="1"/>
    <col min="3594" max="3594" width="24.90625" style="961" customWidth="1"/>
    <col min="3595" max="3595" width="27.36328125" style="961" customWidth="1"/>
    <col min="3596" max="3596" width="32" style="961" customWidth="1"/>
    <col min="3597" max="3597" width="25.54296875" style="961" customWidth="1"/>
    <col min="3598" max="3598" width="27.36328125" style="961" customWidth="1"/>
    <col min="3599" max="3599" width="31.453125" style="961" customWidth="1"/>
    <col min="3600" max="3600" width="30.54296875" style="961" customWidth="1"/>
    <col min="3601" max="3601" width="27.36328125" style="961" customWidth="1"/>
    <col min="3602" max="3602" width="32.54296875" style="961" customWidth="1"/>
    <col min="3603" max="3603" width="30.453125" style="961" customWidth="1"/>
    <col min="3604" max="3604" width="24.36328125" style="961" customWidth="1"/>
    <col min="3605" max="3605" width="28" style="961" customWidth="1"/>
    <col min="3606" max="3606" width="19.453125" style="961" customWidth="1"/>
    <col min="3607" max="3843" width="9.08984375" style="961"/>
    <col min="3844" max="3844" width="14.54296875" style="961" customWidth="1"/>
    <col min="3845" max="3845" width="14.453125" style="961" customWidth="1"/>
    <col min="3846" max="3846" width="58.08984375" style="961" customWidth="1"/>
    <col min="3847" max="3847" width="30.453125" style="961" customWidth="1"/>
    <col min="3848" max="3848" width="27.36328125" style="961" customWidth="1"/>
    <col min="3849" max="3849" width="30.90625" style="961" customWidth="1"/>
    <col min="3850" max="3850" width="24.90625" style="961" customWidth="1"/>
    <col min="3851" max="3851" width="27.36328125" style="961" customWidth="1"/>
    <col min="3852" max="3852" width="32" style="961" customWidth="1"/>
    <col min="3853" max="3853" width="25.54296875" style="961" customWidth="1"/>
    <col min="3854" max="3854" width="27.36328125" style="961" customWidth="1"/>
    <col min="3855" max="3855" width="31.453125" style="961" customWidth="1"/>
    <col min="3856" max="3856" width="30.54296875" style="961" customWidth="1"/>
    <col min="3857" max="3857" width="27.36328125" style="961" customWidth="1"/>
    <col min="3858" max="3858" width="32.54296875" style="961" customWidth="1"/>
    <col min="3859" max="3859" width="30.453125" style="961" customWidth="1"/>
    <col min="3860" max="3860" width="24.36328125" style="961" customWidth="1"/>
    <col min="3861" max="3861" width="28" style="961" customWidth="1"/>
    <col min="3862" max="3862" width="19.453125" style="961" customWidth="1"/>
    <col min="3863" max="4099" width="9.08984375" style="961"/>
    <col min="4100" max="4100" width="14.54296875" style="961" customWidth="1"/>
    <col min="4101" max="4101" width="14.453125" style="961" customWidth="1"/>
    <col min="4102" max="4102" width="58.08984375" style="961" customWidth="1"/>
    <col min="4103" max="4103" width="30.453125" style="961" customWidth="1"/>
    <col min="4104" max="4104" width="27.36328125" style="961" customWidth="1"/>
    <col min="4105" max="4105" width="30.90625" style="961" customWidth="1"/>
    <col min="4106" max="4106" width="24.90625" style="961" customWidth="1"/>
    <col min="4107" max="4107" width="27.36328125" style="961" customWidth="1"/>
    <col min="4108" max="4108" width="32" style="961" customWidth="1"/>
    <col min="4109" max="4109" width="25.54296875" style="961" customWidth="1"/>
    <col min="4110" max="4110" width="27.36328125" style="961" customWidth="1"/>
    <col min="4111" max="4111" width="31.453125" style="961" customWidth="1"/>
    <col min="4112" max="4112" width="30.54296875" style="961" customWidth="1"/>
    <col min="4113" max="4113" width="27.36328125" style="961" customWidth="1"/>
    <col min="4114" max="4114" width="32.54296875" style="961" customWidth="1"/>
    <col min="4115" max="4115" width="30.453125" style="961" customWidth="1"/>
    <col min="4116" max="4116" width="24.36328125" style="961" customWidth="1"/>
    <col min="4117" max="4117" width="28" style="961" customWidth="1"/>
    <col min="4118" max="4118" width="19.453125" style="961" customWidth="1"/>
    <col min="4119" max="4355" width="9.08984375" style="961"/>
    <col min="4356" max="4356" width="14.54296875" style="961" customWidth="1"/>
    <col min="4357" max="4357" width="14.453125" style="961" customWidth="1"/>
    <col min="4358" max="4358" width="58.08984375" style="961" customWidth="1"/>
    <col min="4359" max="4359" width="30.453125" style="961" customWidth="1"/>
    <col min="4360" max="4360" width="27.36328125" style="961" customWidth="1"/>
    <col min="4361" max="4361" width="30.90625" style="961" customWidth="1"/>
    <col min="4362" max="4362" width="24.90625" style="961" customWidth="1"/>
    <col min="4363" max="4363" width="27.36328125" style="961" customWidth="1"/>
    <col min="4364" max="4364" width="32" style="961" customWidth="1"/>
    <col min="4365" max="4365" width="25.54296875" style="961" customWidth="1"/>
    <col min="4366" max="4366" width="27.36328125" style="961" customWidth="1"/>
    <col min="4367" max="4367" width="31.453125" style="961" customWidth="1"/>
    <col min="4368" max="4368" width="30.54296875" style="961" customWidth="1"/>
    <col min="4369" max="4369" width="27.36328125" style="961" customWidth="1"/>
    <col min="4370" max="4370" width="32.54296875" style="961" customWidth="1"/>
    <col min="4371" max="4371" width="30.453125" style="961" customWidth="1"/>
    <col min="4372" max="4372" width="24.36328125" style="961" customWidth="1"/>
    <col min="4373" max="4373" width="28" style="961" customWidth="1"/>
    <col min="4374" max="4374" width="19.453125" style="961" customWidth="1"/>
    <col min="4375" max="4611" width="9.08984375" style="961"/>
    <col min="4612" max="4612" width="14.54296875" style="961" customWidth="1"/>
    <col min="4613" max="4613" width="14.453125" style="961" customWidth="1"/>
    <col min="4614" max="4614" width="58.08984375" style="961" customWidth="1"/>
    <col min="4615" max="4615" width="30.453125" style="961" customWidth="1"/>
    <col min="4616" max="4616" width="27.36328125" style="961" customWidth="1"/>
    <col min="4617" max="4617" width="30.90625" style="961" customWidth="1"/>
    <col min="4618" max="4618" width="24.90625" style="961" customWidth="1"/>
    <col min="4619" max="4619" width="27.36328125" style="961" customWidth="1"/>
    <col min="4620" max="4620" width="32" style="961" customWidth="1"/>
    <col min="4621" max="4621" width="25.54296875" style="961" customWidth="1"/>
    <col min="4622" max="4622" width="27.36328125" style="961" customWidth="1"/>
    <col min="4623" max="4623" width="31.453125" style="961" customWidth="1"/>
    <col min="4624" max="4624" width="30.54296875" style="961" customWidth="1"/>
    <col min="4625" max="4625" width="27.36328125" style="961" customWidth="1"/>
    <col min="4626" max="4626" width="32.54296875" style="961" customWidth="1"/>
    <col min="4627" max="4627" width="30.453125" style="961" customWidth="1"/>
    <col min="4628" max="4628" width="24.36328125" style="961" customWidth="1"/>
    <col min="4629" max="4629" width="28" style="961" customWidth="1"/>
    <col min="4630" max="4630" width="19.453125" style="961" customWidth="1"/>
    <col min="4631" max="4867" width="9.08984375" style="961"/>
    <col min="4868" max="4868" width="14.54296875" style="961" customWidth="1"/>
    <col min="4869" max="4869" width="14.453125" style="961" customWidth="1"/>
    <col min="4870" max="4870" width="58.08984375" style="961" customWidth="1"/>
    <col min="4871" max="4871" width="30.453125" style="961" customWidth="1"/>
    <col min="4872" max="4872" width="27.36328125" style="961" customWidth="1"/>
    <col min="4873" max="4873" width="30.90625" style="961" customWidth="1"/>
    <col min="4874" max="4874" width="24.90625" style="961" customWidth="1"/>
    <col min="4875" max="4875" width="27.36328125" style="961" customWidth="1"/>
    <col min="4876" max="4876" width="32" style="961" customWidth="1"/>
    <col min="4877" max="4877" width="25.54296875" style="961" customWidth="1"/>
    <col min="4878" max="4878" width="27.36328125" style="961" customWidth="1"/>
    <col min="4879" max="4879" width="31.453125" style="961" customWidth="1"/>
    <col min="4880" max="4880" width="30.54296875" style="961" customWidth="1"/>
    <col min="4881" max="4881" width="27.36328125" style="961" customWidth="1"/>
    <col min="4882" max="4882" width="32.54296875" style="961" customWidth="1"/>
    <col min="4883" max="4883" width="30.453125" style="961" customWidth="1"/>
    <col min="4884" max="4884" width="24.36328125" style="961" customWidth="1"/>
    <col min="4885" max="4885" width="28" style="961" customWidth="1"/>
    <col min="4886" max="4886" width="19.453125" style="961" customWidth="1"/>
    <col min="4887" max="5123" width="9.08984375" style="961"/>
    <col min="5124" max="5124" width="14.54296875" style="961" customWidth="1"/>
    <col min="5125" max="5125" width="14.453125" style="961" customWidth="1"/>
    <col min="5126" max="5126" width="58.08984375" style="961" customWidth="1"/>
    <col min="5127" max="5127" width="30.453125" style="961" customWidth="1"/>
    <col min="5128" max="5128" width="27.36328125" style="961" customWidth="1"/>
    <col min="5129" max="5129" width="30.90625" style="961" customWidth="1"/>
    <col min="5130" max="5130" width="24.90625" style="961" customWidth="1"/>
    <col min="5131" max="5131" width="27.36328125" style="961" customWidth="1"/>
    <col min="5132" max="5132" width="32" style="961" customWidth="1"/>
    <col min="5133" max="5133" width="25.54296875" style="961" customWidth="1"/>
    <col min="5134" max="5134" width="27.36328125" style="961" customWidth="1"/>
    <col min="5135" max="5135" width="31.453125" style="961" customWidth="1"/>
    <col min="5136" max="5136" width="30.54296875" style="961" customWidth="1"/>
    <col min="5137" max="5137" width="27.36328125" style="961" customWidth="1"/>
    <col min="5138" max="5138" width="32.54296875" style="961" customWidth="1"/>
    <col min="5139" max="5139" width="30.453125" style="961" customWidth="1"/>
    <col min="5140" max="5140" width="24.36328125" style="961" customWidth="1"/>
    <col min="5141" max="5141" width="28" style="961" customWidth="1"/>
    <col min="5142" max="5142" width="19.453125" style="961" customWidth="1"/>
    <col min="5143" max="5379" width="9.08984375" style="961"/>
    <col min="5380" max="5380" width="14.54296875" style="961" customWidth="1"/>
    <col min="5381" max="5381" width="14.453125" style="961" customWidth="1"/>
    <col min="5382" max="5382" width="58.08984375" style="961" customWidth="1"/>
    <col min="5383" max="5383" width="30.453125" style="961" customWidth="1"/>
    <col min="5384" max="5384" width="27.36328125" style="961" customWidth="1"/>
    <col min="5385" max="5385" width="30.90625" style="961" customWidth="1"/>
    <col min="5386" max="5386" width="24.90625" style="961" customWidth="1"/>
    <col min="5387" max="5387" width="27.36328125" style="961" customWidth="1"/>
    <col min="5388" max="5388" width="32" style="961" customWidth="1"/>
    <col min="5389" max="5389" width="25.54296875" style="961" customWidth="1"/>
    <col min="5390" max="5390" width="27.36328125" style="961" customWidth="1"/>
    <col min="5391" max="5391" width="31.453125" style="961" customWidth="1"/>
    <col min="5392" max="5392" width="30.54296875" style="961" customWidth="1"/>
    <col min="5393" max="5393" width="27.36328125" style="961" customWidth="1"/>
    <col min="5394" max="5394" width="32.54296875" style="961" customWidth="1"/>
    <col min="5395" max="5395" width="30.453125" style="961" customWidth="1"/>
    <col min="5396" max="5396" width="24.36328125" style="961" customWidth="1"/>
    <col min="5397" max="5397" width="28" style="961" customWidth="1"/>
    <col min="5398" max="5398" width="19.453125" style="961" customWidth="1"/>
    <col min="5399" max="5635" width="9.08984375" style="961"/>
    <col min="5636" max="5636" width="14.54296875" style="961" customWidth="1"/>
    <col min="5637" max="5637" width="14.453125" style="961" customWidth="1"/>
    <col min="5638" max="5638" width="58.08984375" style="961" customWidth="1"/>
    <col min="5639" max="5639" width="30.453125" style="961" customWidth="1"/>
    <col min="5640" max="5640" width="27.36328125" style="961" customWidth="1"/>
    <col min="5641" max="5641" width="30.90625" style="961" customWidth="1"/>
    <col min="5642" max="5642" width="24.90625" style="961" customWidth="1"/>
    <col min="5643" max="5643" width="27.36328125" style="961" customWidth="1"/>
    <col min="5644" max="5644" width="32" style="961" customWidth="1"/>
    <col min="5645" max="5645" width="25.54296875" style="961" customWidth="1"/>
    <col min="5646" max="5646" width="27.36328125" style="961" customWidth="1"/>
    <col min="5647" max="5647" width="31.453125" style="961" customWidth="1"/>
    <col min="5648" max="5648" width="30.54296875" style="961" customWidth="1"/>
    <col min="5649" max="5649" width="27.36328125" style="961" customWidth="1"/>
    <col min="5650" max="5650" width="32.54296875" style="961" customWidth="1"/>
    <col min="5651" max="5651" width="30.453125" style="961" customWidth="1"/>
    <col min="5652" max="5652" width="24.36328125" style="961" customWidth="1"/>
    <col min="5653" max="5653" width="28" style="961" customWidth="1"/>
    <col min="5654" max="5654" width="19.453125" style="961" customWidth="1"/>
    <col min="5655" max="5891" width="9.08984375" style="961"/>
    <col min="5892" max="5892" width="14.54296875" style="961" customWidth="1"/>
    <col min="5893" max="5893" width="14.453125" style="961" customWidth="1"/>
    <col min="5894" max="5894" width="58.08984375" style="961" customWidth="1"/>
    <col min="5895" max="5895" width="30.453125" style="961" customWidth="1"/>
    <col min="5896" max="5896" width="27.36328125" style="961" customWidth="1"/>
    <col min="5897" max="5897" width="30.90625" style="961" customWidth="1"/>
    <col min="5898" max="5898" width="24.90625" style="961" customWidth="1"/>
    <col min="5899" max="5899" width="27.36328125" style="961" customWidth="1"/>
    <col min="5900" max="5900" width="32" style="961" customWidth="1"/>
    <col min="5901" max="5901" width="25.54296875" style="961" customWidth="1"/>
    <col min="5902" max="5902" width="27.36328125" style="961" customWidth="1"/>
    <col min="5903" max="5903" width="31.453125" style="961" customWidth="1"/>
    <col min="5904" max="5904" width="30.54296875" style="961" customWidth="1"/>
    <col min="5905" max="5905" width="27.36328125" style="961" customWidth="1"/>
    <col min="5906" max="5906" width="32.54296875" style="961" customWidth="1"/>
    <col min="5907" max="5907" width="30.453125" style="961" customWidth="1"/>
    <col min="5908" max="5908" width="24.36328125" style="961" customWidth="1"/>
    <col min="5909" max="5909" width="28" style="961" customWidth="1"/>
    <col min="5910" max="5910" width="19.453125" style="961" customWidth="1"/>
    <col min="5911" max="6147" width="9.08984375" style="961"/>
    <col min="6148" max="6148" width="14.54296875" style="961" customWidth="1"/>
    <col min="6149" max="6149" width="14.453125" style="961" customWidth="1"/>
    <col min="6150" max="6150" width="58.08984375" style="961" customWidth="1"/>
    <col min="6151" max="6151" width="30.453125" style="961" customWidth="1"/>
    <col min="6152" max="6152" width="27.36328125" style="961" customWidth="1"/>
    <col min="6153" max="6153" width="30.90625" style="961" customWidth="1"/>
    <col min="6154" max="6154" width="24.90625" style="961" customWidth="1"/>
    <col min="6155" max="6155" width="27.36328125" style="961" customWidth="1"/>
    <col min="6156" max="6156" width="32" style="961" customWidth="1"/>
    <col min="6157" max="6157" width="25.54296875" style="961" customWidth="1"/>
    <col min="6158" max="6158" width="27.36328125" style="961" customWidth="1"/>
    <col min="6159" max="6159" width="31.453125" style="961" customWidth="1"/>
    <col min="6160" max="6160" width="30.54296875" style="961" customWidth="1"/>
    <col min="6161" max="6161" width="27.36328125" style="961" customWidth="1"/>
    <col min="6162" max="6162" width="32.54296875" style="961" customWidth="1"/>
    <col min="6163" max="6163" width="30.453125" style="961" customWidth="1"/>
    <col min="6164" max="6164" width="24.36328125" style="961" customWidth="1"/>
    <col min="6165" max="6165" width="28" style="961" customWidth="1"/>
    <col min="6166" max="6166" width="19.453125" style="961" customWidth="1"/>
    <col min="6167" max="6403" width="9.08984375" style="961"/>
    <col min="6404" max="6404" width="14.54296875" style="961" customWidth="1"/>
    <col min="6405" max="6405" width="14.453125" style="961" customWidth="1"/>
    <col min="6406" max="6406" width="58.08984375" style="961" customWidth="1"/>
    <col min="6407" max="6407" width="30.453125" style="961" customWidth="1"/>
    <col min="6408" max="6408" width="27.36328125" style="961" customWidth="1"/>
    <col min="6409" max="6409" width="30.90625" style="961" customWidth="1"/>
    <col min="6410" max="6410" width="24.90625" style="961" customWidth="1"/>
    <col min="6411" max="6411" width="27.36328125" style="961" customWidth="1"/>
    <col min="6412" max="6412" width="32" style="961" customWidth="1"/>
    <col min="6413" max="6413" width="25.54296875" style="961" customWidth="1"/>
    <col min="6414" max="6414" width="27.36328125" style="961" customWidth="1"/>
    <col min="6415" max="6415" width="31.453125" style="961" customWidth="1"/>
    <col min="6416" max="6416" width="30.54296875" style="961" customWidth="1"/>
    <col min="6417" max="6417" width="27.36328125" style="961" customWidth="1"/>
    <col min="6418" max="6418" width="32.54296875" style="961" customWidth="1"/>
    <col min="6419" max="6419" width="30.453125" style="961" customWidth="1"/>
    <col min="6420" max="6420" width="24.36328125" style="961" customWidth="1"/>
    <col min="6421" max="6421" width="28" style="961" customWidth="1"/>
    <col min="6422" max="6422" width="19.453125" style="961" customWidth="1"/>
    <col min="6423" max="6659" width="9.08984375" style="961"/>
    <col min="6660" max="6660" width="14.54296875" style="961" customWidth="1"/>
    <col min="6661" max="6661" width="14.453125" style="961" customWidth="1"/>
    <col min="6662" max="6662" width="58.08984375" style="961" customWidth="1"/>
    <col min="6663" max="6663" width="30.453125" style="961" customWidth="1"/>
    <col min="6664" max="6664" width="27.36328125" style="961" customWidth="1"/>
    <col min="6665" max="6665" width="30.90625" style="961" customWidth="1"/>
    <col min="6666" max="6666" width="24.90625" style="961" customWidth="1"/>
    <col min="6667" max="6667" width="27.36328125" style="961" customWidth="1"/>
    <col min="6668" max="6668" width="32" style="961" customWidth="1"/>
    <col min="6669" max="6669" width="25.54296875" style="961" customWidth="1"/>
    <col min="6670" max="6670" width="27.36328125" style="961" customWidth="1"/>
    <col min="6671" max="6671" width="31.453125" style="961" customWidth="1"/>
    <col min="6672" max="6672" width="30.54296875" style="961" customWidth="1"/>
    <col min="6673" max="6673" width="27.36328125" style="961" customWidth="1"/>
    <col min="6674" max="6674" width="32.54296875" style="961" customWidth="1"/>
    <col min="6675" max="6675" width="30.453125" style="961" customWidth="1"/>
    <col min="6676" max="6676" width="24.36328125" style="961" customWidth="1"/>
    <col min="6677" max="6677" width="28" style="961" customWidth="1"/>
    <col min="6678" max="6678" width="19.453125" style="961" customWidth="1"/>
    <col min="6679" max="6915" width="9.08984375" style="961"/>
    <col min="6916" max="6916" width="14.54296875" style="961" customWidth="1"/>
    <col min="6917" max="6917" width="14.453125" style="961" customWidth="1"/>
    <col min="6918" max="6918" width="58.08984375" style="961" customWidth="1"/>
    <col min="6919" max="6919" width="30.453125" style="961" customWidth="1"/>
    <col min="6920" max="6920" width="27.36328125" style="961" customWidth="1"/>
    <col min="6921" max="6921" width="30.90625" style="961" customWidth="1"/>
    <col min="6922" max="6922" width="24.90625" style="961" customWidth="1"/>
    <col min="6923" max="6923" width="27.36328125" style="961" customWidth="1"/>
    <col min="6924" max="6924" width="32" style="961" customWidth="1"/>
    <col min="6925" max="6925" width="25.54296875" style="961" customWidth="1"/>
    <col min="6926" max="6926" width="27.36328125" style="961" customWidth="1"/>
    <col min="6927" max="6927" width="31.453125" style="961" customWidth="1"/>
    <col min="6928" max="6928" width="30.54296875" style="961" customWidth="1"/>
    <col min="6929" max="6929" width="27.36328125" style="961" customWidth="1"/>
    <col min="6930" max="6930" width="32.54296875" style="961" customWidth="1"/>
    <col min="6931" max="6931" width="30.453125" style="961" customWidth="1"/>
    <col min="6932" max="6932" width="24.36328125" style="961" customWidth="1"/>
    <col min="6933" max="6933" width="28" style="961" customWidth="1"/>
    <col min="6934" max="6934" width="19.453125" style="961" customWidth="1"/>
    <col min="6935" max="7171" width="9.08984375" style="961"/>
    <col min="7172" max="7172" width="14.54296875" style="961" customWidth="1"/>
    <col min="7173" max="7173" width="14.453125" style="961" customWidth="1"/>
    <col min="7174" max="7174" width="58.08984375" style="961" customWidth="1"/>
    <col min="7175" max="7175" width="30.453125" style="961" customWidth="1"/>
    <col min="7176" max="7176" width="27.36328125" style="961" customWidth="1"/>
    <col min="7177" max="7177" width="30.90625" style="961" customWidth="1"/>
    <col min="7178" max="7178" width="24.90625" style="961" customWidth="1"/>
    <col min="7179" max="7179" width="27.36328125" style="961" customWidth="1"/>
    <col min="7180" max="7180" width="32" style="961" customWidth="1"/>
    <col min="7181" max="7181" width="25.54296875" style="961" customWidth="1"/>
    <col min="7182" max="7182" width="27.36328125" style="961" customWidth="1"/>
    <col min="7183" max="7183" width="31.453125" style="961" customWidth="1"/>
    <col min="7184" max="7184" width="30.54296875" style="961" customWidth="1"/>
    <col min="7185" max="7185" width="27.36328125" style="961" customWidth="1"/>
    <col min="7186" max="7186" width="32.54296875" style="961" customWidth="1"/>
    <col min="7187" max="7187" width="30.453125" style="961" customWidth="1"/>
    <col min="7188" max="7188" width="24.36328125" style="961" customWidth="1"/>
    <col min="7189" max="7189" width="28" style="961" customWidth="1"/>
    <col min="7190" max="7190" width="19.453125" style="961" customWidth="1"/>
    <col min="7191" max="7427" width="9.08984375" style="961"/>
    <col min="7428" max="7428" width="14.54296875" style="961" customWidth="1"/>
    <col min="7429" max="7429" width="14.453125" style="961" customWidth="1"/>
    <col min="7430" max="7430" width="58.08984375" style="961" customWidth="1"/>
    <col min="7431" max="7431" width="30.453125" style="961" customWidth="1"/>
    <col min="7432" max="7432" width="27.36328125" style="961" customWidth="1"/>
    <col min="7433" max="7433" width="30.90625" style="961" customWidth="1"/>
    <col min="7434" max="7434" width="24.90625" style="961" customWidth="1"/>
    <col min="7435" max="7435" width="27.36328125" style="961" customWidth="1"/>
    <col min="7436" max="7436" width="32" style="961" customWidth="1"/>
    <col min="7437" max="7437" width="25.54296875" style="961" customWidth="1"/>
    <col min="7438" max="7438" width="27.36328125" style="961" customWidth="1"/>
    <col min="7439" max="7439" width="31.453125" style="961" customWidth="1"/>
    <col min="7440" max="7440" width="30.54296875" style="961" customWidth="1"/>
    <col min="7441" max="7441" width="27.36328125" style="961" customWidth="1"/>
    <col min="7442" max="7442" width="32.54296875" style="961" customWidth="1"/>
    <col min="7443" max="7443" width="30.453125" style="961" customWidth="1"/>
    <col min="7444" max="7444" width="24.36328125" style="961" customWidth="1"/>
    <col min="7445" max="7445" width="28" style="961" customWidth="1"/>
    <col min="7446" max="7446" width="19.453125" style="961" customWidth="1"/>
    <col min="7447" max="7683" width="9.08984375" style="961"/>
    <col min="7684" max="7684" width="14.54296875" style="961" customWidth="1"/>
    <col min="7685" max="7685" width="14.453125" style="961" customWidth="1"/>
    <col min="7686" max="7686" width="58.08984375" style="961" customWidth="1"/>
    <col min="7687" max="7687" width="30.453125" style="961" customWidth="1"/>
    <col min="7688" max="7688" width="27.36328125" style="961" customWidth="1"/>
    <col min="7689" max="7689" width="30.90625" style="961" customWidth="1"/>
    <col min="7690" max="7690" width="24.90625" style="961" customWidth="1"/>
    <col min="7691" max="7691" width="27.36328125" style="961" customWidth="1"/>
    <col min="7692" max="7692" width="32" style="961" customWidth="1"/>
    <col min="7693" max="7693" width="25.54296875" style="961" customWidth="1"/>
    <col min="7694" max="7694" width="27.36328125" style="961" customWidth="1"/>
    <col min="7695" max="7695" width="31.453125" style="961" customWidth="1"/>
    <col min="7696" max="7696" width="30.54296875" style="961" customWidth="1"/>
    <col min="7697" max="7697" width="27.36328125" style="961" customWidth="1"/>
    <col min="7698" max="7698" width="32.54296875" style="961" customWidth="1"/>
    <col min="7699" max="7699" width="30.453125" style="961" customWidth="1"/>
    <col min="7700" max="7700" width="24.36328125" style="961" customWidth="1"/>
    <col min="7701" max="7701" width="28" style="961" customWidth="1"/>
    <col min="7702" max="7702" width="19.453125" style="961" customWidth="1"/>
    <col min="7703" max="7939" width="9.08984375" style="961"/>
    <col min="7940" max="7940" width="14.54296875" style="961" customWidth="1"/>
    <col min="7941" max="7941" width="14.453125" style="961" customWidth="1"/>
    <col min="7942" max="7942" width="58.08984375" style="961" customWidth="1"/>
    <col min="7943" max="7943" width="30.453125" style="961" customWidth="1"/>
    <col min="7944" max="7944" width="27.36328125" style="961" customWidth="1"/>
    <col min="7945" max="7945" width="30.90625" style="961" customWidth="1"/>
    <col min="7946" max="7946" width="24.90625" style="961" customWidth="1"/>
    <col min="7947" max="7947" width="27.36328125" style="961" customWidth="1"/>
    <col min="7948" max="7948" width="32" style="961" customWidth="1"/>
    <col min="7949" max="7949" width="25.54296875" style="961" customWidth="1"/>
    <col min="7950" max="7950" width="27.36328125" style="961" customWidth="1"/>
    <col min="7951" max="7951" width="31.453125" style="961" customWidth="1"/>
    <col min="7952" max="7952" width="30.54296875" style="961" customWidth="1"/>
    <col min="7953" max="7953" width="27.36328125" style="961" customWidth="1"/>
    <col min="7954" max="7954" width="32.54296875" style="961" customWidth="1"/>
    <col min="7955" max="7955" width="30.453125" style="961" customWidth="1"/>
    <col min="7956" max="7956" width="24.36328125" style="961" customWidth="1"/>
    <col min="7957" max="7957" width="28" style="961" customWidth="1"/>
    <col min="7958" max="7958" width="19.453125" style="961" customWidth="1"/>
    <col min="7959" max="8195" width="9.08984375" style="961"/>
    <col min="8196" max="8196" width="14.54296875" style="961" customWidth="1"/>
    <col min="8197" max="8197" width="14.453125" style="961" customWidth="1"/>
    <col min="8198" max="8198" width="58.08984375" style="961" customWidth="1"/>
    <col min="8199" max="8199" width="30.453125" style="961" customWidth="1"/>
    <col min="8200" max="8200" width="27.36328125" style="961" customWidth="1"/>
    <col min="8201" max="8201" width="30.90625" style="961" customWidth="1"/>
    <col min="8202" max="8202" width="24.90625" style="961" customWidth="1"/>
    <col min="8203" max="8203" width="27.36328125" style="961" customWidth="1"/>
    <col min="8204" max="8204" width="32" style="961" customWidth="1"/>
    <col min="8205" max="8205" width="25.54296875" style="961" customWidth="1"/>
    <col min="8206" max="8206" width="27.36328125" style="961" customWidth="1"/>
    <col min="8207" max="8207" width="31.453125" style="961" customWidth="1"/>
    <col min="8208" max="8208" width="30.54296875" style="961" customWidth="1"/>
    <col min="8209" max="8209" width="27.36328125" style="961" customWidth="1"/>
    <col min="8210" max="8210" width="32.54296875" style="961" customWidth="1"/>
    <col min="8211" max="8211" width="30.453125" style="961" customWidth="1"/>
    <col min="8212" max="8212" width="24.36328125" style="961" customWidth="1"/>
    <col min="8213" max="8213" width="28" style="961" customWidth="1"/>
    <col min="8214" max="8214" width="19.453125" style="961" customWidth="1"/>
    <col min="8215" max="8451" width="9.08984375" style="961"/>
    <col min="8452" max="8452" width="14.54296875" style="961" customWidth="1"/>
    <col min="8453" max="8453" width="14.453125" style="961" customWidth="1"/>
    <col min="8454" max="8454" width="58.08984375" style="961" customWidth="1"/>
    <col min="8455" max="8455" width="30.453125" style="961" customWidth="1"/>
    <col min="8456" max="8456" width="27.36328125" style="961" customWidth="1"/>
    <col min="8457" max="8457" width="30.90625" style="961" customWidth="1"/>
    <col min="8458" max="8458" width="24.90625" style="961" customWidth="1"/>
    <col min="8459" max="8459" width="27.36328125" style="961" customWidth="1"/>
    <col min="8460" max="8460" width="32" style="961" customWidth="1"/>
    <col min="8461" max="8461" width="25.54296875" style="961" customWidth="1"/>
    <col min="8462" max="8462" width="27.36328125" style="961" customWidth="1"/>
    <col min="8463" max="8463" width="31.453125" style="961" customWidth="1"/>
    <col min="8464" max="8464" width="30.54296875" style="961" customWidth="1"/>
    <col min="8465" max="8465" width="27.36328125" style="961" customWidth="1"/>
    <col min="8466" max="8466" width="32.54296875" style="961" customWidth="1"/>
    <col min="8467" max="8467" width="30.453125" style="961" customWidth="1"/>
    <col min="8468" max="8468" width="24.36328125" style="961" customWidth="1"/>
    <col min="8469" max="8469" width="28" style="961" customWidth="1"/>
    <col min="8470" max="8470" width="19.453125" style="961" customWidth="1"/>
    <col min="8471" max="8707" width="9.08984375" style="961"/>
    <col min="8708" max="8708" width="14.54296875" style="961" customWidth="1"/>
    <col min="8709" max="8709" width="14.453125" style="961" customWidth="1"/>
    <col min="8710" max="8710" width="58.08984375" style="961" customWidth="1"/>
    <col min="8711" max="8711" width="30.453125" style="961" customWidth="1"/>
    <col min="8712" max="8712" width="27.36328125" style="961" customWidth="1"/>
    <col min="8713" max="8713" width="30.90625" style="961" customWidth="1"/>
    <col min="8714" max="8714" width="24.90625" style="961" customWidth="1"/>
    <col min="8715" max="8715" width="27.36328125" style="961" customWidth="1"/>
    <col min="8716" max="8716" width="32" style="961" customWidth="1"/>
    <col min="8717" max="8717" width="25.54296875" style="961" customWidth="1"/>
    <col min="8718" max="8718" width="27.36328125" style="961" customWidth="1"/>
    <col min="8719" max="8719" width="31.453125" style="961" customWidth="1"/>
    <col min="8720" max="8720" width="30.54296875" style="961" customWidth="1"/>
    <col min="8721" max="8721" width="27.36328125" style="961" customWidth="1"/>
    <col min="8722" max="8722" width="32.54296875" style="961" customWidth="1"/>
    <col min="8723" max="8723" width="30.453125" style="961" customWidth="1"/>
    <col min="8724" max="8724" width="24.36328125" style="961" customWidth="1"/>
    <col min="8725" max="8725" width="28" style="961" customWidth="1"/>
    <col min="8726" max="8726" width="19.453125" style="961" customWidth="1"/>
    <col min="8727" max="8963" width="9.08984375" style="961"/>
    <col min="8964" max="8964" width="14.54296875" style="961" customWidth="1"/>
    <col min="8965" max="8965" width="14.453125" style="961" customWidth="1"/>
    <col min="8966" max="8966" width="58.08984375" style="961" customWidth="1"/>
    <col min="8967" max="8967" width="30.453125" style="961" customWidth="1"/>
    <col min="8968" max="8968" width="27.36328125" style="961" customWidth="1"/>
    <col min="8969" max="8969" width="30.90625" style="961" customWidth="1"/>
    <col min="8970" max="8970" width="24.90625" style="961" customWidth="1"/>
    <col min="8971" max="8971" width="27.36328125" style="961" customWidth="1"/>
    <col min="8972" max="8972" width="32" style="961" customWidth="1"/>
    <col min="8973" max="8973" width="25.54296875" style="961" customWidth="1"/>
    <col min="8974" max="8974" width="27.36328125" style="961" customWidth="1"/>
    <col min="8975" max="8975" width="31.453125" style="961" customWidth="1"/>
    <col min="8976" max="8976" width="30.54296875" style="961" customWidth="1"/>
    <col min="8977" max="8977" width="27.36328125" style="961" customWidth="1"/>
    <col min="8978" max="8978" width="32.54296875" style="961" customWidth="1"/>
    <col min="8979" max="8979" width="30.453125" style="961" customWidth="1"/>
    <col min="8980" max="8980" width="24.36328125" style="961" customWidth="1"/>
    <col min="8981" max="8981" width="28" style="961" customWidth="1"/>
    <col min="8982" max="8982" width="19.453125" style="961" customWidth="1"/>
    <col min="8983" max="9219" width="9.08984375" style="961"/>
    <col min="9220" max="9220" width="14.54296875" style="961" customWidth="1"/>
    <col min="9221" max="9221" width="14.453125" style="961" customWidth="1"/>
    <col min="9222" max="9222" width="58.08984375" style="961" customWidth="1"/>
    <col min="9223" max="9223" width="30.453125" style="961" customWidth="1"/>
    <col min="9224" max="9224" width="27.36328125" style="961" customWidth="1"/>
    <col min="9225" max="9225" width="30.90625" style="961" customWidth="1"/>
    <col min="9226" max="9226" width="24.90625" style="961" customWidth="1"/>
    <col min="9227" max="9227" width="27.36328125" style="961" customWidth="1"/>
    <col min="9228" max="9228" width="32" style="961" customWidth="1"/>
    <col min="9229" max="9229" width="25.54296875" style="961" customWidth="1"/>
    <col min="9230" max="9230" width="27.36328125" style="961" customWidth="1"/>
    <col min="9231" max="9231" width="31.453125" style="961" customWidth="1"/>
    <col min="9232" max="9232" width="30.54296875" style="961" customWidth="1"/>
    <col min="9233" max="9233" width="27.36328125" style="961" customWidth="1"/>
    <col min="9234" max="9234" width="32.54296875" style="961" customWidth="1"/>
    <col min="9235" max="9235" width="30.453125" style="961" customWidth="1"/>
    <col min="9236" max="9236" width="24.36328125" style="961" customWidth="1"/>
    <col min="9237" max="9237" width="28" style="961" customWidth="1"/>
    <col min="9238" max="9238" width="19.453125" style="961" customWidth="1"/>
    <col min="9239" max="9475" width="9.08984375" style="961"/>
    <col min="9476" max="9476" width="14.54296875" style="961" customWidth="1"/>
    <col min="9477" max="9477" width="14.453125" style="961" customWidth="1"/>
    <col min="9478" max="9478" width="58.08984375" style="961" customWidth="1"/>
    <col min="9479" max="9479" width="30.453125" style="961" customWidth="1"/>
    <col min="9480" max="9480" width="27.36328125" style="961" customWidth="1"/>
    <col min="9481" max="9481" width="30.90625" style="961" customWidth="1"/>
    <col min="9482" max="9482" width="24.90625" style="961" customWidth="1"/>
    <col min="9483" max="9483" width="27.36328125" style="961" customWidth="1"/>
    <col min="9484" max="9484" width="32" style="961" customWidth="1"/>
    <col min="9485" max="9485" width="25.54296875" style="961" customWidth="1"/>
    <col min="9486" max="9486" width="27.36328125" style="961" customWidth="1"/>
    <col min="9487" max="9487" width="31.453125" style="961" customWidth="1"/>
    <col min="9488" max="9488" width="30.54296875" style="961" customWidth="1"/>
    <col min="9489" max="9489" width="27.36328125" style="961" customWidth="1"/>
    <col min="9490" max="9490" width="32.54296875" style="961" customWidth="1"/>
    <col min="9491" max="9491" width="30.453125" style="961" customWidth="1"/>
    <col min="9492" max="9492" width="24.36328125" style="961" customWidth="1"/>
    <col min="9493" max="9493" width="28" style="961" customWidth="1"/>
    <col min="9494" max="9494" width="19.453125" style="961" customWidth="1"/>
    <col min="9495" max="9731" width="9.08984375" style="961"/>
    <col min="9732" max="9732" width="14.54296875" style="961" customWidth="1"/>
    <col min="9733" max="9733" width="14.453125" style="961" customWidth="1"/>
    <col min="9734" max="9734" width="58.08984375" style="961" customWidth="1"/>
    <col min="9735" max="9735" width="30.453125" style="961" customWidth="1"/>
    <col min="9736" max="9736" width="27.36328125" style="961" customWidth="1"/>
    <col min="9737" max="9737" width="30.90625" style="961" customWidth="1"/>
    <col min="9738" max="9738" width="24.90625" style="961" customWidth="1"/>
    <col min="9739" max="9739" width="27.36328125" style="961" customWidth="1"/>
    <col min="9740" max="9740" width="32" style="961" customWidth="1"/>
    <col min="9741" max="9741" width="25.54296875" style="961" customWidth="1"/>
    <col min="9742" max="9742" width="27.36328125" style="961" customWidth="1"/>
    <col min="9743" max="9743" width="31.453125" style="961" customWidth="1"/>
    <col min="9744" max="9744" width="30.54296875" style="961" customWidth="1"/>
    <col min="9745" max="9745" width="27.36328125" style="961" customWidth="1"/>
    <col min="9746" max="9746" width="32.54296875" style="961" customWidth="1"/>
    <col min="9747" max="9747" width="30.453125" style="961" customWidth="1"/>
    <col min="9748" max="9748" width="24.36328125" style="961" customWidth="1"/>
    <col min="9749" max="9749" width="28" style="961" customWidth="1"/>
    <col min="9750" max="9750" width="19.453125" style="961" customWidth="1"/>
    <col min="9751" max="9987" width="9.08984375" style="961"/>
    <col min="9988" max="9988" width="14.54296875" style="961" customWidth="1"/>
    <col min="9989" max="9989" width="14.453125" style="961" customWidth="1"/>
    <col min="9990" max="9990" width="58.08984375" style="961" customWidth="1"/>
    <col min="9991" max="9991" width="30.453125" style="961" customWidth="1"/>
    <col min="9992" max="9992" width="27.36328125" style="961" customWidth="1"/>
    <col min="9993" max="9993" width="30.90625" style="961" customWidth="1"/>
    <col min="9994" max="9994" width="24.90625" style="961" customWidth="1"/>
    <col min="9995" max="9995" width="27.36328125" style="961" customWidth="1"/>
    <col min="9996" max="9996" width="32" style="961" customWidth="1"/>
    <col min="9997" max="9997" width="25.54296875" style="961" customWidth="1"/>
    <col min="9998" max="9998" width="27.36328125" style="961" customWidth="1"/>
    <col min="9999" max="9999" width="31.453125" style="961" customWidth="1"/>
    <col min="10000" max="10000" width="30.54296875" style="961" customWidth="1"/>
    <col min="10001" max="10001" width="27.36328125" style="961" customWidth="1"/>
    <col min="10002" max="10002" width="32.54296875" style="961" customWidth="1"/>
    <col min="10003" max="10003" width="30.453125" style="961" customWidth="1"/>
    <col min="10004" max="10004" width="24.36328125" style="961" customWidth="1"/>
    <col min="10005" max="10005" width="28" style="961" customWidth="1"/>
    <col min="10006" max="10006" width="19.453125" style="961" customWidth="1"/>
    <col min="10007" max="10243" width="9.08984375" style="961"/>
    <col min="10244" max="10244" width="14.54296875" style="961" customWidth="1"/>
    <col min="10245" max="10245" width="14.453125" style="961" customWidth="1"/>
    <col min="10246" max="10246" width="58.08984375" style="961" customWidth="1"/>
    <col min="10247" max="10247" width="30.453125" style="961" customWidth="1"/>
    <col min="10248" max="10248" width="27.36328125" style="961" customWidth="1"/>
    <col min="10249" max="10249" width="30.90625" style="961" customWidth="1"/>
    <col min="10250" max="10250" width="24.90625" style="961" customWidth="1"/>
    <col min="10251" max="10251" width="27.36328125" style="961" customWidth="1"/>
    <col min="10252" max="10252" width="32" style="961" customWidth="1"/>
    <col min="10253" max="10253" width="25.54296875" style="961" customWidth="1"/>
    <col min="10254" max="10254" width="27.36328125" style="961" customWidth="1"/>
    <col min="10255" max="10255" width="31.453125" style="961" customWidth="1"/>
    <col min="10256" max="10256" width="30.54296875" style="961" customWidth="1"/>
    <col min="10257" max="10257" width="27.36328125" style="961" customWidth="1"/>
    <col min="10258" max="10258" width="32.54296875" style="961" customWidth="1"/>
    <col min="10259" max="10259" width="30.453125" style="961" customWidth="1"/>
    <col min="10260" max="10260" width="24.36328125" style="961" customWidth="1"/>
    <col min="10261" max="10261" width="28" style="961" customWidth="1"/>
    <col min="10262" max="10262" width="19.453125" style="961" customWidth="1"/>
    <col min="10263" max="10499" width="9.08984375" style="961"/>
    <col min="10500" max="10500" width="14.54296875" style="961" customWidth="1"/>
    <col min="10501" max="10501" width="14.453125" style="961" customWidth="1"/>
    <col min="10502" max="10502" width="58.08984375" style="961" customWidth="1"/>
    <col min="10503" max="10503" width="30.453125" style="961" customWidth="1"/>
    <col min="10504" max="10504" width="27.36328125" style="961" customWidth="1"/>
    <col min="10505" max="10505" width="30.90625" style="961" customWidth="1"/>
    <col min="10506" max="10506" width="24.90625" style="961" customWidth="1"/>
    <col min="10507" max="10507" width="27.36328125" style="961" customWidth="1"/>
    <col min="10508" max="10508" width="32" style="961" customWidth="1"/>
    <col min="10509" max="10509" width="25.54296875" style="961" customWidth="1"/>
    <col min="10510" max="10510" width="27.36328125" style="961" customWidth="1"/>
    <col min="10511" max="10511" width="31.453125" style="961" customWidth="1"/>
    <col min="10512" max="10512" width="30.54296875" style="961" customWidth="1"/>
    <col min="10513" max="10513" width="27.36328125" style="961" customWidth="1"/>
    <col min="10514" max="10514" width="32.54296875" style="961" customWidth="1"/>
    <col min="10515" max="10515" width="30.453125" style="961" customWidth="1"/>
    <col min="10516" max="10516" width="24.36328125" style="961" customWidth="1"/>
    <col min="10517" max="10517" width="28" style="961" customWidth="1"/>
    <col min="10518" max="10518" width="19.453125" style="961" customWidth="1"/>
    <col min="10519" max="10755" width="9.08984375" style="961"/>
    <col min="10756" max="10756" width="14.54296875" style="961" customWidth="1"/>
    <col min="10757" max="10757" width="14.453125" style="961" customWidth="1"/>
    <col min="10758" max="10758" width="58.08984375" style="961" customWidth="1"/>
    <col min="10759" max="10759" width="30.453125" style="961" customWidth="1"/>
    <col min="10760" max="10760" width="27.36328125" style="961" customWidth="1"/>
    <col min="10761" max="10761" width="30.90625" style="961" customWidth="1"/>
    <col min="10762" max="10762" width="24.90625" style="961" customWidth="1"/>
    <col min="10763" max="10763" width="27.36328125" style="961" customWidth="1"/>
    <col min="10764" max="10764" width="32" style="961" customWidth="1"/>
    <col min="10765" max="10765" width="25.54296875" style="961" customWidth="1"/>
    <col min="10766" max="10766" width="27.36328125" style="961" customWidth="1"/>
    <col min="10767" max="10767" width="31.453125" style="961" customWidth="1"/>
    <col min="10768" max="10768" width="30.54296875" style="961" customWidth="1"/>
    <col min="10769" max="10769" width="27.36328125" style="961" customWidth="1"/>
    <col min="10770" max="10770" width="32.54296875" style="961" customWidth="1"/>
    <col min="10771" max="10771" width="30.453125" style="961" customWidth="1"/>
    <col min="10772" max="10772" width="24.36328125" style="961" customWidth="1"/>
    <col min="10773" max="10773" width="28" style="961" customWidth="1"/>
    <col min="10774" max="10774" width="19.453125" style="961" customWidth="1"/>
    <col min="10775" max="11011" width="9.08984375" style="961"/>
    <col min="11012" max="11012" width="14.54296875" style="961" customWidth="1"/>
    <col min="11013" max="11013" width="14.453125" style="961" customWidth="1"/>
    <col min="11014" max="11014" width="58.08984375" style="961" customWidth="1"/>
    <col min="11015" max="11015" width="30.453125" style="961" customWidth="1"/>
    <col min="11016" max="11016" width="27.36328125" style="961" customWidth="1"/>
    <col min="11017" max="11017" width="30.90625" style="961" customWidth="1"/>
    <col min="11018" max="11018" width="24.90625" style="961" customWidth="1"/>
    <col min="11019" max="11019" width="27.36328125" style="961" customWidth="1"/>
    <col min="11020" max="11020" width="32" style="961" customWidth="1"/>
    <col min="11021" max="11021" width="25.54296875" style="961" customWidth="1"/>
    <col min="11022" max="11022" width="27.36328125" style="961" customWidth="1"/>
    <col min="11023" max="11023" width="31.453125" style="961" customWidth="1"/>
    <col min="11024" max="11024" width="30.54296875" style="961" customWidth="1"/>
    <col min="11025" max="11025" width="27.36328125" style="961" customWidth="1"/>
    <col min="11026" max="11026" width="32.54296875" style="961" customWidth="1"/>
    <col min="11027" max="11027" width="30.453125" style="961" customWidth="1"/>
    <col min="11028" max="11028" width="24.36328125" style="961" customWidth="1"/>
    <col min="11029" max="11029" width="28" style="961" customWidth="1"/>
    <col min="11030" max="11030" width="19.453125" style="961" customWidth="1"/>
    <col min="11031" max="11267" width="9.08984375" style="961"/>
    <col min="11268" max="11268" width="14.54296875" style="961" customWidth="1"/>
    <col min="11269" max="11269" width="14.453125" style="961" customWidth="1"/>
    <col min="11270" max="11270" width="58.08984375" style="961" customWidth="1"/>
    <col min="11271" max="11271" width="30.453125" style="961" customWidth="1"/>
    <col min="11272" max="11272" width="27.36328125" style="961" customWidth="1"/>
    <col min="11273" max="11273" width="30.90625" style="961" customWidth="1"/>
    <col min="11274" max="11274" width="24.90625" style="961" customWidth="1"/>
    <col min="11275" max="11275" width="27.36328125" style="961" customWidth="1"/>
    <col min="11276" max="11276" width="32" style="961" customWidth="1"/>
    <col min="11277" max="11277" width="25.54296875" style="961" customWidth="1"/>
    <col min="11278" max="11278" width="27.36328125" style="961" customWidth="1"/>
    <col min="11279" max="11279" width="31.453125" style="961" customWidth="1"/>
    <col min="11280" max="11280" width="30.54296875" style="961" customWidth="1"/>
    <col min="11281" max="11281" width="27.36328125" style="961" customWidth="1"/>
    <col min="11282" max="11282" width="32.54296875" style="961" customWidth="1"/>
    <col min="11283" max="11283" width="30.453125" style="961" customWidth="1"/>
    <col min="11284" max="11284" width="24.36328125" style="961" customWidth="1"/>
    <col min="11285" max="11285" width="28" style="961" customWidth="1"/>
    <col min="11286" max="11286" width="19.453125" style="961" customWidth="1"/>
    <col min="11287" max="11523" width="9.08984375" style="961"/>
    <col min="11524" max="11524" width="14.54296875" style="961" customWidth="1"/>
    <col min="11525" max="11525" width="14.453125" style="961" customWidth="1"/>
    <col min="11526" max="11526" width="58.08984375" style="961" customWidth="1"/>
    <col min="11527" max="11527" width="30.453125" style="961" customWidth="1"/>
    <col min="11528" max="11528" width="27.36328125" style="961" customWidth="1"/>
    <col min="11529" max="11529" width="30.90625" style="961" customWidth="1"/>
    <col min="11530" max="11530" width="24.90625" style="961" customWidth="1"/>
    <col min="11531" max="11531" width="27.36328125" style="961" customWidth="1"/>
    <col min="11532" max="11532" width="32" style="961" customWidth="1"/>
    <col min="11533" max="11533" width="25.54296875" style="961" customWidth="1"/>
    <col min="11534" max="11534" width="27.36328125" style="961" customWidth="1"/>
    <col min="11535" max="11535" width="31.453125" style="961" customWidth="1"/>
    <col min="11536" max="11536" width="30.54296875" style="961" customWidth="1"/>
    <col min="11537" max="11537" width="27.36328125" style="961" customWidth="1"/>
    <col min="11538" max="11538" width="32.54296875" style="961" customWidth="1"/>
    <col min="11539" max="11539" width="30.453125" style="961" customWidth="1"/>
    <col min="11540" max="11540" width="24.36328125" style="961" customWidth="1"/>
    <col min="11541" max="11541" width="28" style="961" customWidth="1"/>
    <col min="11542" max="11542" width="19.453125" style="961" customWidth="1"/>
    <col min="11543" max="11779" width="9.08984375" style="961"/>
    <col min="11780" max="11780" width="14.54296875" style="961" customWidth="1"/>
    <col min="11781" max="11781" width="14.453125" style="961" customWidth="1"/>
    <col min="11782" max="11782" width="58.08984375" style="961" customWidth="1"/>
    <col min="11783" max="11783" width="30.453125" style="961" customWidth="1"/>
    <col min="11784" max="11784" width="27.36328125" style="961" customWidth="1"/>
    <col min="11785" max="11785" width="30.90625" style="961" customWidth="1"/>
    <col min="11786" max="11786" width="24.90625" style="961" customWidth="1"/>
    <col min="11787" max="11787" width="27.36328125" style="961" customWidth="1"/>
    <col min="11788" max="11788" width="32" style="961" customWidth="1"/>
    <col min="11789" max="11789" width="25.54296875" style="961" customWidth="1"/>
    <col min="11790" max="11790" width="27.36328125" style="961" customWidth="1"/>
    <col min="11791" max="11791" width="31.453125" style="961" customWidth="1"/>
    <col min="11792" max="11792" width="30.54296875" style="961" customWidth="1"/>
    <col min="11793" max="11793" width="27.36328125" style="961" customWidth="1"/>
    <col min="11794" max="11794" width="32.54296875" style="961" customWidth="1"/>
    <col min="11795" max="11795" width="30.453125" style="961" customWidth="1"/>
    <col min="11796" max="11796" width="24.36328125" style="961" customWidth="1"/>
    <col min="11797" max="11797" width="28" style="961" customWidth="1"/>
    <col min="11798" max="11798" width="19.453125" style="961" customWidth="1"/>
    <col min="11799" max="12035" width="9.08984375" style="961"/>
    <col min="12036" max="12036" width="14.54296875" style="961" customWidth="1"/>
    <col min="12037" max="12037" width="14.453125" style="961" customWidth="1"/>
    <col min="12038" max="12038" width="58.08984375" style="961" customWidth="1"/>
    <col min="12039" max="12039" width="30.453125" style="961" customWidth="1"/>
    <col min="12040" max="12040" width="27.36328125" style="961" customWidth="1"/>
    <col min="12041" max="12041" width="30.90625" style="961" customWidth="1"/>
    <col min="12042" max="12042" width="24.90625" style="961" customWidth="1"/>
    <col min="12043" max="12043" width="27.36328125" style="961" customWidth="1"/>
    <col min="12044" max="12044" width="32" style="961" customWidth="1"/>
    <col min="12045" max="12045" width="25.54296875" style="961" customWidth="1"/>
    <col min="12046" max="12046" width="27.36328125" style="961" customWidth="1"/>
    <col min="12047" max="12047" width="31.453125" style="961" customWidth="1"/>
    <col min="12048" max="12048" width="30.54296875" style="961" customWidth="1"/>
    <col min="12049" max="12049" width="27.36328125" style="961" customWidth="1"/>
    <col min="12050" max="12050" width="32.54296875" style="961" customWidth="1"/>
    <col min="12051" max="12051" width="30.453125" style="961" customWidth="1"/>
    <col min="12052" max="12052" width="24.36328125" style="961" customWidth="1"/>
    <col min="12053" max="12053" width="28" style="961" customWidth="1"/>
    <col min="12054" max="12054" width="19.453125" style="961" customWidth="1"/>
    <col min="12055" max="12291" width="9.08984375" style="961"/>
    <col min="12292" max="12292" width="14.54296875" style="961" customWidth="1"/>
    <col min="12293" max="12293" width="14.453125" style="961" customWidth="1"/>
    <col min="12294" max="12294" width="58.08984375" style="961" customWidth="1"/>
    <col min="12295" max="12295" width="30.453125" style="961" customWidth="1"/>
    <col min="12296" max="12296" width="27.36328125" style="961" customWidth="1"/>
    <col min="12297" max="12297" width="30.90625" style="961" customWidth="1"/>
    <col min="12298" max="12298" width="24.90625" style="961" customWidth="1"/>
    <col min="12299" max="12299" width="27.36328125" style="961" customWidth="1"/>
    <col min="12300" max="12300" width="32" style="961" customWidth="1"/>
    <col min="12301" max="12301" width="25.54296875" style="961" customWidth="1"/>
    <col min="12302" max="12302" width="27.36328125" style="961" customWidth="1"/>
    <col min="12303" max="12303" width="31.453125" style="961" customWidth="1"/>
    <col min="12304" max="12304" width="30.54296875" style="961" customWidth="1"/>
    <col min="12305" max="12305" width="27.36328125" style="961" customWidth="1"/>
    <col min="12306" max="12306" width="32.54296875" style="961" customWidth="1"/>
    <col min="12307" max="12307" width="30.453125" style="961" customWidth="1"/>
    <col min="12308" max="12308" width="24.36328125" style="961" customWidth="1"/>
    <col min="12309" max="12309" width="28" style="961" customWidth="1"/>
    <col min="12310" max="12310" width="19.453125" style="961" customWidth="1"/>
    <col min="12311" max="12547" width="9.08984375" style="961"/>
    <col min="12548" max="12548" width="14.54296875" style="961" customWidth="1"/>
    <col min="12549" max="12549" width="14.453125" style="961" customWidth="1"/>
    <col min="12550" max="12550" width="58.08984375" style="961" customWidth="1"/>
    <col min="12551" max="12551" width="30.453125" style="961" customWidth="1"/>
    <col min="12552" max="12552" width="27.36328125" style="961" customWidth="1"/>
    <col min="12553" max="12553" width="30.90625" style="961" customWidth="1"/>
    <col min="12554" max="12554" width="24.90625" style="961" customWidth="1"/>
    <col min="12555" max="12555" width="27.36328125" style="961" customWidth="1"/>
    <col min="12556" max="12556" width="32" style="961" customWidth="1"/>
    <col min="12557" max="12557" width="25.54296875" style="961" customWidth="1"/>
    <col min="12558" max="12558" width="27.36328125" style="961" customWidth="1"/>
    <col min="12559" max="12559" width="31.453125" style="961" customWidth="1"/>
    <col min="12560" max="12560" width="30.54296875" style="961" customWidth="1"/>
    <col min="12561" max="12561" width="27.36328125" style="961" customWidth="1"/>
    <col min="12562" max="12562" width="32.54296875" style="961" customWidth="1"/>
    <col min="12563" max="12563" width="30.453125" style="961" customWidth="1"/>
    <col min="12564" max="12564" width="24.36328125" style="961" customWidth="1"/>
    <col min="12565" max="12565" width="28" style="961" customWidth="1"/>
    <col min="12566" max="12566" width="19.453125" style="961" customWidth="1"/>
    <col min="12567" max="12803" width="9.08984375" style="961"/>
    <col min="12804" max="12804" width="14.54296875" style="961" customWidth="1"/>
    <col min="12805" max="12805" width="14.453125" style="961" customWidth="1"/>
    <col min="12806" max="12806" width="58.08984375" style="961" customWidth="1"/>
    <col min="12807" max="12807" width="30.453125" style="961" customWidth="1"/>
    <col min="12808" max="12808" width="27.36328125" style="961" customWidth="1"/>
    <col min="12809" max="12809" width="30.90625" style="961" customWidth="1"/>
    <col min="12810" max="12810" width="24.90625" style="961" customWidth="1"/>
    <col min="12811" max="12811" width="27.36328125" style="961" customWidth="1"/>
    <col min="12812" max="12812" width="32" style="961" customWidth="1"/>
    <col min="12813" max="12813" width="25.54296875" style="961" customWidth="1"/>
    <col min="12814" max="12814" width="27.36328125" style="961" customWidth="1"/>
    <col min="12815" max="12815" width="31.453125" style="961" customWidth="1"/>
    <col min="12816" max="12816" width="30.54296875" style="961" customWidth="1"/>
    <col min="12817" max="12817" width="27.36328125" style="961" customWidth="1"/>
    <col min="12818" max="12818" width="32.54296875" style="961" customWidth="1"/>
    <col min="12819" max="12819" width="30.453125" style="961" customWidth="1"/>
    <col min="12820" max="12820" width="24.36328125" style="961" customWidth="1"/>
    <col min="12821" max="12821" width="28" style="961" customWidth="1"/>
    <col min="12822" max="12822" width="19.453125" style="961" customWidth="1"/>
    <col min="12823" max="13059" width="9.08984375" style="961"/>
    <col min="13060" max="13060" width="14.54296875" style="961" customWidth="1"/>
    <col min="13061" max="13061" width="14.453125" style="961" customWidth="1"/>
    <col min="13062" max="13062" width="58.08984375" style="961" customWidth="1"/>
    <col min="13063" max="13063" width="30.453125" style="961" customWidth="1"/>
    <col min="13064" max="13064" width="27.36328125" style="961" customWidth="1"/>
    <col min="13065" max="13065" width="30.90625" style="961" customWidth="1"/>
    <col min="13066" max="13066" width="24.90625" style="961" customWidth="1"/>
    <col min="13067" max="13067" width="27.36328125" style="961" customWidth="1"/>
    <col min="13068" max="13068" width="32" style="961" customWidth="1"/>
    <col min="13069" max="13069" width="25.54296875" style="961" customWidth="1"/>
    <col min="13070" max="13070" width="27.36328125" style="961" customWidth="1"/>
    <col min="13071" max="13071" width="31.453125" style="961" customWidth="1"/>
    <col min="13072" max="13072" width="30.54296875" style="961" customWidth="1"/>
    <col min="13073" max="13073" width="27.36328125" style="961" customWidth="1"/>
    <col min="13074" max="13074" width="32.54296875" style="961" customWidth="1"/>
    <col min="13075" max="13075" width="30.453125" style="961" customWidth="1"/>
    <col min="13076" max="13076" width="24.36328125" style="961" customWidth="1"/>
    <col min="13077" max="13077" width="28" style="961" customWidth="1"/>
    <col min="13078" max="13078" width="19.453125" style="961" customWidth="1"/>
    <col min="13079" max="13315" width="9.08984375" style="961"/>
    <col min="13316" max="13316" width="14.54296875" style="961" customWidth="1"/>
    <col min="13317" max="13317" width="14.453125" style="961" customWidth="1"/>
    <col min="13318" max="13318" width="58.08984375" style="961" customWidth="1"/>
    <col min="13319" max="13319" width="30.453125" style="961" customWidth="1"/>
    <col min="13320" max="13320" width="27.36328125" style="961" customWidth="1"/>
    <col min="13321" max="13321" width="30.90625" style="961" customWidth="1"/>
    <col min="13322" max="13322" width="24.90625" style="961" customWidth="1"/>
    <col min="13323" max="13323" width="27.36328125" style="961" customWidth="1"/>
    <col min="13324" max="13324" width="32" style="961" customWidth="1"/>
    <col min="13325" max="13325" width="25.54296875" style="961" customWidth="1"/>
    <col min="13326" max="13326" width="27.36328125" style="961" customWidth="1"/>
    <col min="13327" max="13327" width="31.453125" style="961" customWidth="1"/>
    <col min="13328" max="13328" width="30.54296875" style="961" customWidth="1"/>
    <col min="13329" max="13329" width="27.36328125" style="961" customWidth="1"/>
    <col min="13330" max="13330" width="32.54296875" style="961" customWidth="1"/>
    <col min="13331" max="13331" width="30.453125" style="961" customWidth="1"/>
    <col min="13332" max="13332" width="24.36328125" style="961" customWidth="1"/>
    <col min="13333" max="13333" width="28" style="961" customWidth="1"/>
    <col min="13334" max="13334" width="19.453125" style="961" customWidth="1"/>
    <col min="13335" max="13571" width="9.08984375" style="961"/>
    <col min="13572" max="13572" width="14.54296875" style="961" customWidth="1"/>
    <col min="13573" max="13573" width="14.453125" style="961" customWidth="1"/>
    <col min="13574" max="13574" width="58.08984375" style="961" customWidth="1"/>
    <col min="13575" max="13575" width="30.453125" style="961" customWidth="1"/>
    <col min="13576" max="13576" width="27.36328125" style="961" customWidth="1"/>
    <col min="13577" max="13577" width="30.90625" style="961" customWidth="1"/>
    <col min="13578" max="13578" width="24.90625" style="961" customWidth="1"/>
    <col min="13579" max="13579" width="27.36328125" style="961" customWidth="1"/>
    <col min="13580" max="13580" width="32" style="961" customWidth="1"/>
    <col min="13581" max="13581" width="25.54296875" style="961" customWidth="1"/>
    <col min="13582" max="13582" width="27.36328125" style="961" customWidth="1"/>
    <col min="13583" max="13583" width="31.453125" style="961" customWidth="1"/>
    <col min="13584" max="13584" width="30.54296875" style="961" customWidth="1"/>
    <col min="13585" max="13585" width="27.36328125" style="961" customWidth="1"/>
    <col min="13586" max="13586" width="32.54296875" style="961" customWidth="1"/>
    <col min="13587" max="13587" width="30.453125" style="961" customWidth="1"/>
    <col min="13588" max="13588" width="24.36328125" style="961" customWidth="1"/>
    <col min="13589" max="13589" width="28" style="961" customWidth="1"/>
    <col min="13590" max="13590" width="19.453125" style="961" customWidth="1"/>
    <col min="13591" max="13827" width="9.08984375" style="961"/>
    <col min="13828" max="13828" width="14.54296875" style="961" customWidth="1"/>
    <col min="13829" max="13829" width="14.453125" style="961" customWidth="1"/>
    <col min="13830" max="13830" width="58.08984375" style="961" customWidth="1"/>
    <col min="13831" max="13831" width="30.453125" style="961" customWidth="1"/>
    <col min="13832" max="13832" width="27.36328125" style="961" customWidth="1"/>
    <col min="13833" max="13833" width="30.90625" style="961" customWidth="1"/>
    <col min="13834" max="13834" width="24.90625" style="961" customWidth="1"/>
    <col min="13835" max="13835" width="27.36328125" style="961" customWidth="1"/>
    <col min="13836" max="13836" width="32" style="961" customWidth="1"/>
    <col min="13837" max="13837" width="25.54296875" style="961" customWidth="1"/>
    <col min="13838" max="13838" width="27.36328125" style="961" customWidth="1"/>
    <col min="13839" max="13839" width="31.453125" style="961" customWidth="1"/>
    <col min="13840" max="13840" width="30.54296875" style="961" customWidth="1"/>
    <col min="13841" max="13841" width="27.36328125" style="961" customWidth="1"/>
    <col min="13842" max="13842" width="32.54296875" style="961" customWidth="1"/>
    <col min="13843" max="13843" width="30.453125" style="961" customWidth="1"/>
    <col min="13844" max="13844" width="24.36328125" style="961" customWidth="1"/>
    <col min="13845" max="13845" width="28" style="961" customWidth="1"/>
    <col min="13846" max="13846" width="19.453125" style="961" customWidth="1"/>
    <col min="13847" max="14083" width="9.08984375" style="961"/>
    <col min="14084" max="14084" width="14.54296875" style="961" customWidth="1"/>
    <col min="14085" max="14085" width="14.453125" style="961" customWidth="1"/>
    <col min="14086" max="14086" width="58.08984375" style="961" customWidth="1"/>
    <col min="14087" max="14087" width="30.453125" style="961" customWidth="1"/>
    <col min="14088" max="14088" width="27.36328125" style="961" customWidth="1"/>
    <col min="14089" max="14089" width="30.90625" style="961" customWidth="1"/>
    <col min="14090" max="14090" width="24.90625" style="961" customWidth="1"/>
    <col min="14091" max="14091" width="27.36328125" style="961" customWidth="1"/>
    <col min="14092" max="14092" width="32" style="961" customWidth="1"/>
    <col min="14093" max="14093" width="25.54296875" style="961" customWidth="1"/>
    <col min="14094" max="14094" width="27.36328125" style="961" customWidth="1"/>
    <col min="14095" max="14095" width="31.453125" style="961" customWidth="1"/>
    <col min="14096" max="14096" width="30.54296875" style="961" customWidth="1"/>
    <col min="14097" max="14097" width="27.36328125" style="961" customWidth="1"/>
    <col min="14098" max="14098" width="32.54296875" style="961" customWidth="1"/>
    <col min="14099" max="14099" width="30.453125" style="961" customWidth="1"/>
    <col min="14100" max="14100" width="24.36328125" style="961" customWidth="1"/>
    <col min="14101" max="14101" width="28" style="961" customWidth="1"/>
    <col min="14102" max="14102" width="19.453125" style="961" customWidth="1"/>
    <col min="14103" max="14339" width="9.08984375" style="961"/>
    <col min="14340" max="14340" width="14.54296875" style="961" customWidth="1"/>
    <col min="14341" max="14341" width="14.453125" style="961" customWidth="1"/>
    <col min="14342" max="14342" width="58.08984375" style="961" customWidth="1"/>
    <col min="14343" max="14343" width="30.453125" style="961" customWidth="1"/>
    <col min="14344" max="14344" width="27.36328125" style="961" customWidth="1"/>
    <col min="14345" max="14345" width="30.90625" style="961" customWidth="1"/>
    <col min="14346" max="14346" width="24.90625" style="961" customWidth="1"/>
    <col min="14347" max="14347" width="27.36328125" style="961" customWidth="1"/>
    <col min="14348" max="14348" width="32" style="961" customWidth="1"/>
    <col min="14349" max="14349" width="25.54296875" style="961" customWidth="1"/>
    <col min="14350" max="14350" width="27.36328125" style="961" customWidth="1"/>
    <col min="14351" max="14351" width="31.453125" style="961" customWidth="1"/>
    <col min="14352" max="14352" width="30.54296875" style="961" customWidth="1"/>
    <col min="14353" max="14353" width="27.36328125" style="961" customWidth="1"/>
    <col min="14354" max="14354" width="32.54296875" style="961" customWidth="1"/>
    <col min="14355" max="14355" width="30.453125" style="961" customWidth="1"/>
    <col min="14356" max="14356" width="24.36328125" style="961" customWidth="1"/>
    <col min="14357" max="14357" width="28" style="961" customWidth="1"/>
    <col min="14358" max="14358" width="19.453125" style="961" customWidth="1"/>
    <col min="14359" max="14595" width="9.08984375" style="961"/>
    <col min="14596" max="14596" width="14.54296875" style="961" customWidth="1"/>
    <col min="14597" max="14597" width="14.453125" style="961" customWidth="1"/>
    <col min="14598" max="14598" width="58.08984375" style="961" customWidth="1"/>
    <col min="14599" max="14599" width="30.453125" style="961" customWidth="1"/>
    <col min="14600" max="14600" width="27.36328125" style="961" customWidth="1"/>
    <col min="14601" max="14601" width="30.90625" style="961" customWidth="1"/>
    <col min="14602" max="14602" width="24.90625" style="961" customWidth="1"/>
    <col min="14603" max="14603" width="27.36328125" style="961" customWidth="1"/>
    <col min="14604" max="14604" width="32" style="961" customWidth="1"/>
    <col min="14605" max="14605" width="25.54296875" style="961" customWidth="1"/>
    <col min="14606" max="14606" width="27.36328125" style="961" customWidth="1"/>
    <col min="14607" max="14607" width="31.453125" style="961" customWidth="1"/>
    <col min="14608" max="14608" width="30.54296875" style="961" customWidth="1"/>
    <col min="14609" max="14609" width="27.36328125" style="961" customWidth="1"/>
    <col min="14610" max="14610" width="32.54296875" style="961" customWidth="1"/>
    <col min="14611" max="14611" width="30.453125" style="961" customWidth="1"/>
    <col min="14612" max="14612" width="24.36328125" style="961" customWidth="1"/>
    <col min="14613" max="14613" width="28" style="961" customWidth="1"/>
    <col min="14614" max="14614" width="19.453125" style="961" customWidth="1"/>
    <col min="14615" max="14851" width="9.08984375" style="961"/>
    <col min="14852" max="14852" width="14.54296875" style="961" customWidth="1"/>
    <col min="14853" max="14853" width="14.453125" style="961" customWidth="1"/>
    <col min="14854" max="14854" width="58.08984375" style="961" customWidth="1"/>
    <col min="14855" max="14855" width="30.453125" style="961" customWidth="1"/>
    <col min="14856" max="14856" width="27.36328125" style="961" customWidth="1"/>
    <col min="14857" max="14857" width="30.90625" style="961" customWidth="1"/>
    <col min="14858" max="14858" width="24.90625" style="961" customWidth="1"/>
    <col min="14859" max="14859" width="27.36328125" style="961" customWidth="1"/>
    <col min="14860" max="14860" width="32" style="961" customWidth="1"/>
    <col min="14861" max="14861" width="25.54296875" style="961" customWidth="1"/>
    <col min="14862" max="14862" width="27.36328125" style="961" customWidth="1"/>
    <col min="14863" max="14863" width="31.453125" style="961" customWidth="1"/>
    <col min="14864" max="14864" width="30.54296875" style="961" customWidth="1"/>
    <col min="14865" max="14865" width="27.36328125" style="961" customWidth="1"/>
    <col min="14866" max="14866" width="32.54296875" style="961" customWidth="1"/>
    <col min="14867" max="14867" width="30.453125" style="961" customWidth="1"/>
    <col min="14868" max="14868" width="24.36328125" style="961" customWidth="1"/>
    <col min="14869" max="14869" width="28" style="961" customWidth="1"/>
    <col min="14870" max="14870" width="19.453125" style="961" customWidth="1"/>
    <col min="14871" max="15107" width="9.08984375" style="961"/>
    <col min="15108" max="15108" width="14.54296875" style="961" customWidth="1"/>
    <col min="15109" max="15109" width="14.453125" style="961" customWidth="1"/>
    <col min="15110" max="15110" width="58.08984375" style="961" customWidth="1"/>
    <col min="15111" max="15111" width="30.453125" style="961" customWidth="1"/>
    <col min="15112" max="15112" width="27.36328125" style="961" customWidth="1"/>
    <col min="15113" max="15113" width="30.90625" style="961" customWidth="1"/>
    <col min="15114" max="15114" width="24.90625" style="961" customWidth="1"/>
    <col min="15115" max="15115" width="27.36328125" style="961" customWidth="1"/>
    <col min="15116" max="15116" width="32" style="961" customWidth="1"/>
    <col min="15117" max="15117" width="25.54296875" style="961" customWidth="1"/>
    <col min="15118" max="15118" width="27.36328125" style="961" customWidth="1"/>
    <col min="15119" max="15119" width="31.453125" style="961" customWidth="1"/>
    <col min="15120" max="15120" width="30.54296875" style="961" customWidth="1"/>
    <col min="15121" max="15121" width="27.36328125" style="961" customWidth="1"/>
    <col min="15122" max="15122" width="32.54296875" style="961" customWidth="1"/>
    <col min="15123" max="15123" width="30.453125" style="961" customWidth="1"/>
    <col min="15124" max="15124" width="24.36328125" style="961" customWidth="1"/>
    <col min="15125" max="15125" width="28" style="961" customWidth="1"/>
    <col min="15126" max="15126" width="19.453125" style="961" customWidth="1"/>
    <col min="15127" max="15363" width="9.08984375" style="961"/>
    <col min="15364" max="15364" width="14.54296875" style="961" customWidth="1"/>
    <col min="15365" max="15365" width="14.453125" style="961" customWidth="1"/>
    <col min="15366" max="15366" width="58.08984375" style="961" customWidth="1"/>
    <col min="15367" max="15367" width="30.453125" style="961" customWidth="1"/>
    <col min="15368" max="15368" width="27.36328125" style="961" customWidth="1"/>
    <col min="15369" max="15369" width="30.90625" style="961" customWidth="1"/>
    <col min="15370" max="15370" width="24.90625" style="961" customWidth="1"/>
    <col min="15371" max="15371" width="27.36328125" style="961" customWidth="1"/>
    <col min="15372" max="15372" width="32" style="961" customWidth="1"/>
    <col min="15373" max="15373" width="25.54296875" style="961" customWidth="1"/>
    <col min="15374" max="15374" width="27.36328125" style="961" customWidth="1"/>
    <col min="15375" max="15375" width="31.453125" style="961" customWidth="1"/>
    <col min="15376" max="15376" width="30.54296875" style="961" customWidth="1"/>
    <col min="15377" max="15377" width="27.36328125" style="961" customWidth="1"/>
    <col min="15378" max="15378" width="32.54296875" style="961" customWidth="1"/>
    <col min="15379" max="15379" width="30.453125" style="961" customWidth="1"/>
    <col min="15380" max="15380" width="24.36328125" style="961" customWidth="1"/>
    <col min="15381" max="15381" width="28" style="961" customWidth="1"/>
    <col min="15382" max="15382" width="19.453125" style="961" customWidth="1"/>
    <col min="15383" max="15619" width="9.08984375" style="961"/>
    <col min="15620" max="15620" width="14.54296875" style="961" customWidth="1"/>
    <col min="15621" max="15621" width="14.453125" style="961" customWidth="1"/>
    <col min="15622" max="15622" width="58.08984375" style="961" customWidth="1"/>
    <col min="15623" max="15623" width="30.453125" style="961" customWidth="1"/>
    <col min="15624" max="15624" width="27.36328125" style="961" customWidth="1"/>
    <col min="15625" max="15625" width="30.90625" style="961" customWidth="1"/>
    <col min="15626" max="15626" width="24.90625" style="961" customWidth="1"/>
    <col min="15627" max="15627" width="27.36328125" style="961" customWidth="1"/>
    <col min="15628" max="15628" width="32" style="961" customWidth="1"/>
    <col min="15629" max="15629" width="25.54296875" style="961" customWidth="1"/>
    <col min="15630" max="15630" width="27.36328125" style="961" customWidth="1"/>
    <col min="15631" max="15631" width="31.453125" style="961" customWidth="1"/>
    <col min="15632" max="15632" width="30.54296875" style="961" customWidth="1"/>
    <col min="15633" max="15633" width="27.36328125" style="961" customWidth="1"/>
    <col min="15634" max="15634" width="32.54296875" style="961" customWidth="1"/>
    <col min="15635" max="15635" width="30.453125" style="961" customWidth="1"/>
    <col min="15636" max="15636" width="24.36328125" style="961" customWidth="1"/>
    <col min="15637" max="15637" width="28" style="961" customWidth="1"/>
    <col min="15638" max="15638" width="19.453125" style="961" customWidth="1"/>
    <col min="15639" max="15875" width="9.08984375" style="961"/>
    <col min="15876" max="15876" width="14.54296875" style="961" customWidth="1"/>
    <col min="15877" max="15877" width="14.453125" style="961" customWidth="1"/>
    <col min="15878" max="15878" width="58.08984375" style="961" customWidth="1"/>
    <col min="15879" max="15879" width="30.453125" style="961" customWidth="1"/>
    <col min="15880" max="15880" width="27.36328125" style="961" customWidth="1"/>
    <col min="15881" max="15881" width="30.90625" style="961" customWidth="1"/>
    <col min="15882" max="15882" width="24.90625" style="961" customWidth="1"/>
    <col min="15883" max="15883" width="27.36328125" style="961" customWidth="1"/>
    <col min="15884" max="15884" width="32" style="961" customWidth="1"/>
    <col min="15885" max="15885" width="25.54296875" style="961" customWidth="1"/>
    <col min="15886" max="15886" width="27.36328125" style="961" customWidth="1"/>
    <col min="15887" max="15887" width="31.453125" style="961" customWidth="1"/>
    <col min="15888" max="15888" width="30.54296875" style="961" customWidth="1"/>
    <col min="15889" max="15889" width="27.36328125" style="961" customWidth="1"/>
    <col min="15890" max="15890" width="32.54296875" style="961" customWidth="1"/>
    <col min="15891" max="15891" width="30.453125" style="961" customWidth="1"/>
    <col min="15892" max="15892" width="24.36328125" style="961" customWidth="1"/>
    <col min="15893" max="15893" width="28" style="961" customWidth="1"/>
    <col min="15894" max="15894" width="19.453125" style="961" customWidth="1"/>
    <col min="15895" max="16131" width="9.08984375" style="961"/>
    <col min="16132" max="16132" width="14.54296875" style="961" customWidth="1"/>
    <col min="16133" max="16133" width="14.453125" style="961" customWidth="1"/>
    <col min="16134" max="16134" width="58.08984375" style="961" customWidth="1"/>
    <col min="16135" max="16135" width="30.453125" style="961" customWidth="1"/>
    <col min="16136" max="16136" width="27.36328125" style="961" customWidth="1"/>
    <col min="16137" max="16137" width="30.90625" style="961" customWidth="1"/>
    <col min="16138" max="16138" width="24.90625" style="961" customWidth="1"/>
    <col min="16139" max="16139" width="27.36328125" style="961" customWidth="1"/>
    <col min="16140" max="16140" width="32" style="961" customWidth="1"/>
    <col min="16141" max="16141" width="25.54296875" style="961" customWidth="1"/>
    <col min="16142" max="16142" width="27.36328125" style="961" customWidth="1"/>
    <col min="16143" max="16143" width="31.453125" style="961" customWidth="1"/>
    <col min="16144" max="16144" width="30.54296875" style="961" customWidth="1"/>
    <col min="16145" max="16145" width="27.36328125" style="961" customWidth="1"/>
    <col min="16146" max="16146" width="32.54296875" style="961" customWidth="1"/>
    <col min="16147" max="16147" width="30.453125" style="961" customWidth="1"/>
    <col min="16148" max="16148" width="24.36328125" style="961" customWidth="1"/>
    <col min="16149" max="16149" width="28" style="961" customWidth="1"/>
    <col min="16150" max="16150" width="19.453125" style="961" customWidth="1"/>
    <col min="16151" max="16384" width="9.08984375" style="961"/>
  </cols>
  <sheetData>
    <row r="1" spans="2:21">
      <c r="C1" s="959"/>
      <c r="D1" s="960"/>
      <c r="E1" s="960"/>
      <c r="F1" s="960"/>
      <c r="G1" s="960"/>
      <c r="K1" s="960"/>
      <c r="L1" s="960"/>
      <c r="M1" s="960"/>
    </row>
    <row r="2" spans="2:21" s="874" customFormat="1">
      <c r="B2" s="22"/>
      <c r="C2" s="964"/>
      <c r="D2" s="22"/>
      <c r="E2" s="22"/>
      <c r="F2" s="22"/>
      <c r="G2" s="22"/>
      <c r="H2" s="892" t="str">
        <f>Index!B2</f>
        <v xml:space="preserve">      Maharashtra State Power Generation Company Ltd.</v>
      </c>
    </row>
    <row r="3" spans="2:21" s="874" customFormat="1">
      <c r="B3" s="965"/>
      <c r="C3" s="964"/>
      <c r="D3" s="950"/>
      <c r="E3" s="950"/>
      <c r="F3" s="950"/>
      <c r="G3" s="950"/>
      <c r="H3" s="894" t="s">
        <v>1077</v>
      </c>
    </row>
    <row r="4" spans="2:21" s="874" customFormat="1" ht="15" customHeight="1">
      <c r="B4" s="965"/>
      <c r="C4" s="964"/>
      <c r="D4" s="950"/>
      <c r="E4" s="950"/>
      <c r="F4" s="950"/>
      <c r="G4" s="950"/>
      <c r="H4" s="894" t="s">
        <v>1098</v>
      </c>
    </row>
    <row r="5" spans="2:21" ht="15" customHeight="1">
      <c r="U5" s="967" t="s">
        <v>10</v>
      </c>
    </row>
    <row r="6" spans="2:21" s="968" customFormat="1">
      <c r="B6" s="1881" t="s">
        <v>341</v>
      </c>
      <c r="C6" s="1881" t="s">
        <v>1099</v>
      </c>
      <c r="D6" s="1886" t="s">
        <v>1100</v>
      </c>
      <c r="E6" s="1887"/>
      <c r="F6" s="1887"/>
      <c r="G6" s="1887"/>
      <c r="H6" s="1887"/>
      <c r="I6" s="1887"/>
      <c r="J6" s="1887"/>
      <c r="K6" s="1887"/>
      <c r="L6" s="1887"/>
      <c r="M6" s="1887"/>
      <c r="N6" s="1887"/>
      <c r="O6" s="1887"/>
      <c r="P6" s="1887"/>
      <c r="Q6" s="1887"/>
      <c r="R6" s="1887"/>
      <c r="S6" s="1888"/>
      <c r="T6" s="1889" t="s">
        <v>1101</v>
      </c>
      <c r="U6" s="1892" t="s">
        <v>1102</v>
      </c>
    </row>
    <row r="7" spans="2:21" s="969" customFormat="1">
      <c r="B7" s="1882"/>
      <c r="C7" s="1882"/>
      <c r="D7" s="1895" t="s">
        <v>1103</v>
      </c>
      <c r="E7" s="1895"/>
      <c r="F7" s="1895"/>
      <c r="G7" s="1895"/>
      <c r="H7" s="1895" t="s">
        <v>1104</v>
      </c>
      <c r="I7" s="1895"/>
      <c r="J7" s="1895"/>
      <c r="K7" s="1895" t="s">
        <v>1104</v>
      </c>
      <c r="L7" s="1895"/>
      <c r="M7" s="1895"/>
      <c r="N7" s="1895" t="s">
        <v>1105</v>
      </c>
      <c r="O7" s="1895"/>
      <c r="P7" s="1895"/>
      <c r="Q7" s="1895" t="s">
        <v>1106</v>
      </c>
      <c r="R7" s="1895"/>
      <c r="S7" s="1895"/>
      <c r="T7" s="1890"/>
      <c r="U7" s="1893"/>
    </row>
    <row r="8" spans="2:21" s="971" customFormat="1" ht="70">
      <c r="B8" s="1883"/>
      <c r="C8" s="1882"/>
      <c r="D8" s="970" t="s">
        <v>1107</v>
      </c>
      <c r="E8" s="970" t="s">
        <v>1108</v>
      </c>
      <c r="F8" s="970" t="s">
        <v>1109</v>
      </c>
      <c r="G8" s="970" t="s">
        <v>1110</v>
      </c>
      <c r="H8" s="970" t="s">
        <v>1108</v>
      </c>
      <c r="I8" s="970" t="s">
        <v>1109</v>
      </c>
      <c r="J8" s="970" t="s">
        <v>1110</v>
      </c>
      <c r="K8" s="970" t="s">
        <v>1108</v>
      </c>
      <c r="L8" s="970" t="s">
        <v>1109</v>
      </c>
      <c r="M8" s="970" t="s">
        <v>1110</v>
      </c>
      <c r="N8" s="970" t="s">
        <v>24</v>
      </c>
      <c r="O8" s="970" t="s">
        <v>24</v>
      </c>
      <c r="P8" s="970" t="s">
        <v>24</v>
      </c>
      <c r="Q8" s="970" t="s">
        <v>1108</v>
      </c>
      <c r="R8" s="970" t="s">
        <v>1109</v>
      </c>
      <c r="S8" s="970" t="s">
        <v>1110</v>
      </c>
      <c r="T8" s="1891"/>
      <c r="U8" s="1893"/>
    </row>
    <row r="9" spans="2:21" s="971" customFormat="1">
      <c r="B9" s="1884"/>
      <c r="C9" s="1885"/>
      <c r="D9" s="970"/>
      <c r="E9" s="970" t="s">
        <v>81</v>
      </c>
      <c r="F9" s="970" t="s">
        <v>82</v>
      </c>
      <c r="G9" s="970" t="s">
        <v>1111</v>
      </c>
      <c r="H9" s="970" t="s">
        <v>392</v>
      </c>
      <c r="I9" s="970" t="s">
        <v>410</v>
      </c>
      <c r="J9" s="970" t="s">
        <v>1112</v>
      </c>
      <c r="K9" s="970" t="s">
        <v>411</v>
      </c>
      <c r="L9" s="970" t="s">
        <v>412</v>
      </c>
      <c r="M9" s="970" t="s">
        <v>1113</v>
      </c>
      <c r="N9" s="970"/>
      <c r="O9" s="970"/>
      <c r="P9" s="970"/>
      <c r="Q9" s="970" t="s">
        <v>1114</v>
      </c>
      <c r="R9" s="970" t="s">
        <v>1115</v>
      </c>
      <c r="S9" s="970" t="s">
        <v>1116</v>
      </c>
      <c r="T9" s="972" t="s">
        <v>1117</v>
      </c>
      <c r="U9" s="1894"/>
    </row>
    <row r="10" spans="2:21" s="976" customFormat="1">
      <c r="B10" s="973">
        <v>1</v>
      </c>
      <c r="C10" s="974" t="s">
        <v>1118</v>
      </c>
      <c r="D10" s="975"/>
      <c r="E10" s="975"/>
      <c r="F10" s="975"/>
      <c r="G10" s="975"/>
      <c r="H10" s="975"/>
      <c r="I10" s="975"/>
      <c r="J10" s="975"/>
      <c r="K10" s="975"/>
      <c r="L10" s="975"/>
      <c r="M10" s="975"/>
      <c r="N10" s="975"/>
      <c r="O10" s="975"/>
      <c r="P10" s="975"/>
      <c r="Q10" s="975"/>
      <c r="R10" s="975"/>
      <c r="S10" s="975"/>
      <c r="T10" s="975"/>
      <c r="U10" s="975"/>
    </row>
    <row r="11" spans="2:21">
      <c r="B11" s="977">
        <v>1.1000000000000001</v>
      </c>
      <c r="C11" s="978" t="s">
        <v>1119</v>
      </c>
      <c r="D11" s="975"/>
      <c r="E11" s="975"/>
      <c r="F11" s="975"/>
      <c r="G11" s="975"/>
      <c r="H11" s="975"/>
      <c r="I11" s="975"/>
      <c r="J11" s="975"/>
      <c r="K11" s="975"/>
      <c r="L11" s="975"/>
      <c r="M11" s="975"/>
      <c r="N11" s="975"/>
      <c r="O11" s="975"/>
      <c r="P11" s="975"/>
      <c r="Q11" s="975"/>
      <c r="R11" s="975"/>
      <c r="S11" s="975"/>
      <c r="T11" s="975"/>
      <c r="U11" s="975"/>
    </row>
    <row r="12" spans="2:21">
      <c r="B12" s="977">
        <v>1.2</v>
      </c>
      <c r="C12" s="979" t="s">
        <v>1120</v>
      </c>
      <c r="D12" s="975"/>
      <c r="E12" s="975"/>
      <c r="F12" s="975"/>
      <c r="G12" s="975"/>
      <c r="H12" s="975"/>
      <c r="I12" s="975"/>
      <c r="J12" s="975"/>
      <c r="K12" s="975"/>
      <c r="L12" s="975"/>
      <c r="M12" s="975"/>
      <c r="N12" s="975"/>
      <c r="O12" s="975"/>
      <c r="P12" s="975"/>
      <c r="Q12" s="975"/>
      <c r="R12" s="975"/>
      <c r="S12" s="975"/>
      <c r="T12" s="975"/>
      <c r="U12" s="975"/>
    </row>
    <row r="13" spans="2:21">
      <c r="B13" s="980">
        <v>1.3</v>
      </c>
      <c r="C13" s="979" t="s">
        <v>1121</v>
      </c>
      <c r="D13" s="975"/>
      <c r="E13" s="975"/>
      <c r="F13" s="975"/>
      <c r="G13" s="975"/>
      <c r="H13" s="975"/>
      <c r="I13" s="975"/>
      <c r="J13" s="975"/>
      <c r="K13" s="975"/>
      <c r="L13" s="975"/>
      <c r="M13" s="975"/>
      <c r="N13" s="975"/>
      <c r="O13" s="975"/>
      <c r="P13" s="975"/>
      <c r="Q13" s="975"/>
      <c r="R13" s="975"/>
      <c r="S13" s="975"/>
      <c r="T13" s="975"/>
      <c r="U13" s="975"/>
    </row>
    <row r="14" spans="2:21" s="976" customFormat="1">
      <c r="B14" s="981"/>
      <c r="C14" s="982" t="s">
        <v>1122</v>
      </c>
      <c r="D14" s="975"/>
      <c r="E14" s="975"/>
      <c r="F14" s="975"/>
      <c r="G14" s="975"/>
      <c r="H14" s="975"/>
      <c r="I14" s="975"/>
      <c r="J14" s="975"/>
      <c r="K14" s="975"/>
      <c r="L14" s="975"/>
      <c r="M14" s="975"/>
      <c r="N14" s="975"/>
      <c r="O14" s="975"/>
      <c r="P14" s="975"/>
      <c r="Q14" s="975"/>
      <c r="R14" s="975"/>
      <c r="S14" s="975"/>
      <c r="T14" s="975"/>
      <c r="U14" s="975"/>
    </row>
    <row r="15" spans="2:21" s="976" customFormat="1">
      <c r="B15" s="981"/>
      <c r="C15" s="982"/>
      <c r="D15" s="975"/>
      <c r="E15" s="975"/>
      <c r="F15" s="975"/>
      <c r="G15" s="975"/>
      <c r="H15" s="975"/>
      <c r="I15" s="975"/>
      <c r="J15" s="975"/>
      <c r="K15" s="975"/>
      <c r="L15" s="975"/>
      <c r="M15" s="975"/>
      <c r="N15" s="975"/>
      <c r="O15" s="975"/>
      <c r="P15" s="975"/>
      <c r="Q15" s="975"/>
      <c r="R15" s="975"/>
      <c r="S15" s="975"/>
      <c r="T15" s="975"/>
      <c r="U15" s="975"/>
    </row>
    <row r="16" spans="2:21" s="976" customFormat="1">
      <c r="B16" s="983">
        <v>2</v>
      </c>
      <c r="C16" s="982" t="s">
        <v>1123</v>
      </c>
      <c r="D16" s="975"/>
      <c r="E16" s="975"/>
      <c r="F16" s="975"/>
      <c r="G16" s="975"/>
      <c r="H16" s="975"/>
      <c r="I16" s="975"/>
      <c r="J16" s="975"/>
      <c r="K16" s="975"/>
      <c r="L16" s="975"/>
      <c r="M16" s="975"/>
      <c r="N16" s="975"/>
      <c r="O16" s="975"/>
      <c r="P16" s="975"/>
      <c r="Q16" s="975"/>
      <c r="R16" s="975"/>
      <c r="S16" s="975"/>
      <c r="T16" s="975"/>
      <c r="U16" s="975"/>
    </row>
    <row r="17" spans="2:22" s="976" customFormat="1">
      <c r="B17" s="983">
        <v>2.1</v>
      </c>
      <c r="C17" s="982" t="s">
        <v>1124</v>
      </c>
      <c r="D17" s="975"/>
      <c r="E17" s="975"/>
      <c r="F17" s="975"/>
      <c r="G17" s="975"/>
      <c r="H17" s="975"/>
      <c r="I17" s="975"/>
      <c r="J17" s="975"/>
      <c r="K17" s="975"/>
      <c r="L17" s="975"/>
      <c r="M17" s="975"/>
      <c r="N17" s="975"/>
      <c r="O17" s="975"/>
      <c r="P17" s="975"/>
      <c r="Q17" s="975"/>
      <c r="R17" s="975"/>
      <c r="S17" s="975"/>
      <c r="T17" s="975"/>
      <c r="U17" s="975"/>
    </row>
    <row r="18" spans="2:22">
      <c r="B18" s="984" t="s">
        <v>109</v>
      </c>
      <c r="C18" s="985" t="s">
        <v>1125</v>
      </c>
      <c r="D18" s="975"/>
      <c r="E18" s="975"/>
      <c r="F18" s="975"/>
      <c r="G18" s="975"/>
      <c r="H18" s="975"/>
      <c r="I18" s="975"/>
      <c r="J18" s="975"/>
      <c r="K18" s="975"/>
      <c r="L18" s="975"/>
      <c r="M18" s="975"/>
      <c r="N18" s="975"/>
      <c r="O18" s="975"/>
      <c r="P18" s="975"/>
      <c r="Q18" s="975"/>
      <c r="R18" s="975"/>
      <c r="S18" s="975"/>
      <c r="T18" s="975"/>
      <c r="U18" s="975"/>
    </row>
    <row r="19" spans="2:22">
      <c r="B19" s="984" t="s">
        <v>111</v>
      </c>
      <c r="C19" s="985" t="s">
        <v>1126</v>
      </c>
      <c r="D19" s="975"/>
      <c r="E19" s="975"/>
      <c r="F19" s="975"/>
      <c r="G19" s="975"/>
      <c r="H19" s="975"/>
      <c r="I19" s="975"/>
      <c r="J19" s="975"/>
      <c r="K19" s="975"/>
      <c r="L19" s="975"/>
      <c r="M19" s="975"/>
      <c r="N19" s="975"/>
      <c r="O19" s="975"/>
      <c r="P19" s="975"/>
      <c r="Q19" s="975"/>
      <c r="R19" s="975"/>
      <c r="S19" s="975"/>
      <c r="T19" s="975"/>
      <c r="U19" s="975"/>
    </row>
    <row r="20" spans="2:22">
      <c r="B20" s="984" t="s">
        <v>113</v>
      </c>
      <c r="C20" s="985" t="s">
        <v>1127</v>
      </c>
      <c r="D20" s="975"/>
      <c r="E20" s="975"/>
      <c r="F20" s="975"/>
      <c r="G20" s="975"/>
      <c r="H20" s="975"/>
      <c r="I20" s="975"/>
      <c r="J20" s="975"/>
      <c r="K20" s="975"/>
      <c r="L20" s="975"/>
      <c r="M20" s="975"/>
      <c r="N20" s="975"/>
      <c r="O20" s="975"/>
      <c r="P20" s="975"/>
      <c r="Q20" s="975"/>
      <c r="R20" s="975"/>
      <c r="S20" s="975"/>
      <c r="T20" s="975"/>
      <c r="U20" s="975"/>
    </row>
    <row r="21" spans="2:22">
      <c r="B21" s="984" t="s">
        <v>713</v>
      </c>
      <c r="C21" s="985" t="s">
        <v>1128</v>
      </c>
      <c r="D21" s="975"/>
      <c r="E21" s="975"/>
      <c r="F21" s="975"/>
      <c r="G21" s="975"/>
      <c r="H21" s="975"/>
      <c r="I21" s="975"/>
      <c r="J21" s="975"/>
      <c r="K21" s="975"/>
      <c r="L21" s="975"/>
      <c r="M21" s="975"/>
      <c r="N21" s="975"/>
      <c r="O21" s="975"/>
      <c r="P21" s="975"/>
      <c r="Q21" s="975"/>
      <c r="R21" s="975"/>
      <c r="S21" s="975"/>
      <c r="T21" s="975"/>
      <c r="U21" s="975"/>
    </row>
    <row r="22" spans="2:22">
      <c r="B22" s="984" t="s">
        <v>825</v>
      </c>
      <c r="C22" s="985" t="s">
        <v>1129</v>
      </c>
      <c r="D22" s="975"/>
      <c r="E22" s="975"/>
      <c r="F22" s="975"/>
      <c r="G22" s="975"/>
      <c r="H22" s="975"/>
      <c r="I22" s="975"/>
      <c r="J22" s="975"/>
      <c r="K22" s="975"/>
      <c r="L22" s="975"/>
      <c r="M22" s="975"/>
      <c r="N22" s="975"/>
      <c r="O22" s="975"/>
      <c r="P22" s="975"/>
      <c r="Q22" s="975"/>
      <c r="R22" s="975"/>
      <c r="S22" s="975"/>
      <c r="T22" s="975"/>
      <c r="U22" s="975"/>
    </row>
    <row r="23" spans="2:22">
      <c r="B23" s="984" t="s">
        <v>826</v>
      </c>
      <c r="C23" s="985" t="s">
        <v>1130</v>
      </c>
      <c r="D23" s="975"/>
      <c r="E23" s="975"/>
      <c r="F23" s="975"/>
      <c r="G23" s="975"/>
      <c r="H23" s="975"/>
      <c r="I23" s="975"/>
      <c r="J23" s="975"/>
      <c r="K23" s="975"/>
      <c r="L23" s="975"/>
      <c r="M23" s="975"/>
      <c r="N23" s="975"/>
      <c r="O23" s="975"/>
      <c r="P23" s="975"/>
      <c r="Q23" s="975"/>
      <c r="R23" s="975"/>
      <c r="S23" s="975"/>
      <c r="T23" s="975"/>
      <c r="U23" s="975"/>
    </row>
    <row r="24" spans="2:22">
      <c r="B24" s="984" t="s">
        <v>827</v>
      </c>
      <c r="C24" s="985" t="s">
        <v>1131</v>
      </c>
      <c r="D24" s="975"/>
      <c r="E24" s="975"/>
      <c r="F24" s="975"/>
      <c r="G24" s="975"/>
      <c r="H24" s="975"/>
      <c r="I24" s="975"/>
      <c r="J24" s="975"/>
      <c r="K24" s="975"/>
      <c r="L24" s="975"/>
      <c r="M24" s="975"/>
      <c r="N24" s="975"/>
      <c r="O24" s="975"/>
      <c r="P24" s="975"/>
      <c r="Q24" s="975"/>
      <c r="R24" s="975"/>
      <c r="S24" s="975"/>
      <c r="T24" s="975"/>
      <c r="U24" s="975"/>
    </row>
    <row r="25" spans="2:22">
      <c r="B25" s="984" t="s">
        <v>1132</v>
      </c>
      <c r="C25" s="985" t="s">
        <v>1133</v>
      </c>
      <c r="D25" s="975"/>
      <c r="E25" s="975"/>
      <c r="F25" s="975"/>
      <c r="G25" s="975"/>
      <c r="H25" s="975"/>
      <c r="I25" s="975"/>
      <c r="J25" s="975"/>
      <c r="K25" s="975"/>
      <c r="L25" s="975"/>
      <c r="M25" s="975"/>
      <c r="N25" s="975"/>
      <c r="O25" s="975"/>
      <c r="P25" s="975"/>
      <c r="Q25" s="975"/>
      <c r="R25" s="975"/>
      <c r="S25" s="975"/>
      <c r="T25" s="975"/>
      <c r="U25" s="975"/>
    </row>
    <row r="26" spans="2:22">
      <c r="B26" s="984"/>
      <c r="C26" s="985"/>
      <c r="D26" s="975"/>
      <c r="E26" s="975"/>
      <c r="F26" s="975"/>
      <c r="G26" s="975"/>
      <c r="H26" s="975"/>
      <c r="I26" s="975"/>
      <c r="J26" s="975"/>
      <c r="K26" s="975"/>
      <c r="L26" s="975"/>
      <c r="M26" s="975"/>
      <c r="N26" s="975"/>
      <c r="O26" s="975"/>
      <c r="P26" s="975"/>
      <c r="Q26" s="975"/>
      <c r="R26" s="975"/>
      <c r="S26" s="975"/>
      <c r="T26" s="975"/>
      <c r="U26" s="975"/>
    </row>
    <row r="27" spans="2:22" s="976" customFormat="1">
      <c r="B27" s="983">
        <v>2.2000000000000002</v>
      </c>
      <c r="C27" s="982" t="s">
        <v>1134</v>
      </c>
      <c r="D27" s="975"/>
      <c r="E27" s="975"/>
      <c r="F27" s="975"/>
      <c r="G27" s="975"/>
      <c r="H27" s="975"/>
      <c r="I27" s="975"/>
      <c r="J27" s="975"/>
      <c r="K27" s="975"/>
      <c r="L27" s="975"/>
      <c r="M27" s="975"/>
      <c r="N27" s="975"/>
      <c r="O27" s="975"/>
      <c r="P27" s="975"/>
      <c r="Q27" s="975"/>
      <c r="R27" s="975"/>
      <c r="S27" s="975"/>
      <c r="T27" s="975"/>
      <c r="U27" s="975"/>
      <c r="V27" s="986"/>
    </row>
    <row r="28" spans="2:22">
      <c r="B28" s="984" t="s">
        <v>116</v>
      </c>
      <c r="C28" s="985" t="s">
        <v>1135</v>
      </c>
      <c r="D28" s="975"/>
      <c r="E28" s="975"/>
      <c r="F28" s="975"/>
      <c r="G28" s="975"/>
      <c r="H28" s="975"/>
      <c r="I28" s="975"/>
      <c r="J28" s="975"/>
      <c r="K28" s="975"/>
      <c r="L28" s="975"/>
      <c r="M28" s="975"/>
      <c r="N28" s="975"/>
      <c r="O28" s="975"/>
      <c r="P28" s="975"/>
      <c r="Q28" s="975"/>
      <c r="R28" s="975"/>
      <c r="S28" s="975"/>
      <c r="T28" s="975"/>
      <c r="U28" s="975"/>
      <c r="V28" s="987"/>
    </row>
    <row r="29" spans="2:22" ht="29.4" customHeight="1">
      <c r="B29" s="984" t="s">
        <v>118</v>
      </c>
      <c r="C29" s="985" t="s">
        <v>1136</v>
      </c>
      <c r="D29" s="975"/>
      <c r="E29" s="975"/>
      <c r="F29" s="975"/>
      <c r="G29" s="975"/>
      <c r="H29" s="975"/>
      <c r="I29" s="975"/>
      <c r="J29" s="975"/>
      <c r="K29" s="975"/>
      <c r="L29" s="975"/>
      <c r="M29" s="975"/>
      <c r="N29" s="975"/>
      <c r="O29" s="975"/>
      <c r="P29" s="975"/>
      <c r="Q29" s="975"/>
      <c r="R29" s="975"/>
      <c r="S29" s="975"/>
      <c r="T29" s="975"/>
      <c r="U29" s="975"/>
      <c r="V29" s="987"/>
    </row>
    <row r="30" spans="2:22">
      <c r="B30" s="984" t="s">
        <v>119</v>
      </c>
      <c r="C30" s="985" t="s">
        <v>1137</v>
      </c>
      <c r="D30" s="975"/>
      <c r="E30" s="975"/>
      <c r="F30" s="975"/>
      <c r="G30" s="975"/>
      <c r="H30" s="975"/>
      <c r="I30" s="975"/>
      <c r="J30" s="975"/>
      <c r="K30" s="975"/>
      <c r="L30" s="975"/>
      <c r="M30" s="975"/>
      <c r="N30" s="975"/>
      <c r="O30" s="975"/>
      <c r="P30" s="975"/>
      <c r="Q30" s="975"/>
      <c r="R30" s="975"/>
      <c r="S30" s="975"/>
      <c r="T30" s="975"/>
      <c r="U30" s="975"/>
    </row>
    <row r="31" spans="2:22">
      <c r="B31" s="984" t="s">
        <v>718</v>
      </c>
      <c r="C31" s="985" t="s">
        <v>1138</v>
      </c>
      <c r="D31" s="975"/>
      <c r="E31" s="975"/>
      <c r="F31" s="975"/>
      <c r="G31" s="975"/>
      <c r="H31" s="975"/>
      <c r="I31" s="975"/>
      <c r="J31" s="975"/>
      <c r="K31" s="975"/>
      <c r="L31" s="975"/>
      <c r="M31" s="975"/>
      <c r="N31" s="975"/>
      <c r="O31" s="975"/>
      <c r="P31" s="975"/>
      <c r="Q31" s="975"/>
      <c r="R31" s="975"/>
      <c r="S31" s="975"/>
      <c r="T31" s="975"/>
      <c r="U31" s="975"/>
    </row>
    <row r="32" spans="2:22" ht="28">
      <c r="B32" s="984" t="s">
        <v>828</v>
      </c>
      <c r="C32" s="985" t="s">
        <v>1139</v>
      </c>
      <c r="D32" s="975"/>
      <c r="E32" s="975"/>
      <c r="F32" s="975"/>
      <c r="G32" s="975"/>
      <c r="H32" s="975"/>
      <c r="I32" s="975"/>
      <c r="J32" s="975"/>
      <c r="K32" s="975"/>
      <c r="L32" s="975"/>
      <c r="M32" s="975"/>
      <c r="N32" s="975"/>
      <c r="O32" s="975"/>
      <c r="P32" s="975"/>
      <c r="Q32" s="975"/>
      <c r="R32" s="975"/>
      <c r="S32" s="975"/>
      <c r="T32" s="975"/>
      <c r="U32" s="975"/>
      <c r="V32" s="962"/>
    </row>
    <row r="33" spans="2:21">
      <c r="B33" s="984" t="s">
        <v>829</v>
      </c>
      <c r="C33" s="985" t="s">
        <v>1140</v>
      </c>
      <c r="D33" s="975"/>
      <c r="E33" s="975"/>
      <c r="F33" s="975"/>
      <c r="G33" s="975"/>
      <c r="H33" s="975"/>
      <c r="I33" s="975"/>
      <c r="J33" s="975"/>
      <c r="K33" s="975"/>
      <c r="L33" s="975"/>
      <c r="M33" s="975"/>
      <c r="N33" s="975"/>
      <c r="O33" s="975"/>
      <c r="P33" s="975"/>
      <c r="Q33" s="975"/>
      <c r="R33" s="975"/>
      <c r="S33" s="975"/>
      <c r="T33" s="975"/>
      <c r="U33" s="975"/>
    </row>
    <row r="34" spans="2:21">
      <c r="B34" s="984" t="s">
        <v>830</v>
      </c>
      <c r="C34" s="985" t="s">
        <v>1141</v>
      </c>
      <c r="D34" s="975"/>
      <c r="E34" s="975"/>
      <c r="F34" s="975"/>
      <c r="G34" s="975"/>
      <c r="H34" s="975"/>
      <c r="I34" s="975"/>
      <c r="J34" s="975"/>
      <c r="K34" s="975"/>
      <c r="L34" s="975"/>
      <c r="M34" s="975"/>
      <c r="N34" s="975"/>
      <c r="O34" s="975"/>
      <c r="P34" s="975"/>
      <c r="Q34" s="975"/>
      <c r="R34" s="975"/>
      <c r="S34" s="975"/>
      <c r="T34" s="975"/>
      <c r="U34" s="975"/>
    </row>
    <row r="35" spans="2:21" ht="17.399999999999999" customHeight="1">
      <c r="B35" s="984" t="s">
        <v>1142</v>
      </c>
      <c r="C35" s="985" t="s">
        <v>1143</v>
      </c>
      <c r="D35" s="975"/>
      <c r="E35" s="975"/>
      <c r="F35" s="975"/>
      <c r="G35" s="975"/>
      <c r="H35" s="975"/>
      <c r="I35" s="975"/>
      <c r="J35" s="975"/>
      <c r="K35" s="975"/>
      <c r="L35" s="975"/>
      <c r="M35" s="975"/>
      <c r="N35" s="975"/>
      <c r="O35" s="975"/>
      <c r="P35" s="975"/>
      <c r="Q35" s="975"/>
      <c r="R35" s="975"/>
      <c r="S35" s="975"/>
      <c r="T35" s="975"/>
      <c r="U35" s="975"/>
    </row>
    <row r="36" spans="2:21">
      <c r="B36" s="984" t="s">
        <v>1144</v>
      </c>
      <c r="C36" s="985" t="s">
        <v>1145</v>
      </c>
      <c r="D36" s="975"/>
      <c r="E36" s="975"/>
      <c r="F36" s="975"/>
      <c r="G36" s="975"/>
      <c r="H36" s="975"/>
      <c r="I36" s="975"/>
      <c r="J36" s="975"/>
      <c r="K36" s="975"/>
      <c r="L36" s="975"/>
      <c r="M36" s="975"/>
      <c r="N36" s="975"/>
      <c r="O36" s="975"/>
      <c r="P36" s="975"/>
      <c r="Q36" s="975"/>
      <c r="R36" s="975"/>
      <c r="S36" s="975"/>
      <c r="T36" s="975"/>
      <c r="U36" s="975"/>
    </row>
    <row r="37" spans="2:21" s="976" customFormat="1">
      <c r="B37" s="984" t="s">
        <v>1146</v>
      </c>
      <c r="C37" s="979" t="s">
        <v>1147</v>
      </c>
      <c r="D37" s="975"/>
      <c r="E37" s="975"/>
      <c r="F37" s="975"/>
      <c r="G37" s="975"/>
      <c r="H37" s="975"/>
      <c r="I37" s="975"/>
      <c r="J37" s="975"/>
      <c r="K37" s="975"/>
      <c r="L37" s="975"/>
      <c r="M37" s="975"/>
      <c r="N37" s="975"/>
      <c r="O37" s="975"/>
      <c r="P37" s="975"/>
      <c r="Q37" s="975"/>
      <c r="R37" s="975"/>
      <c r="S37" s="975"/>
      <c r="T37" s="975"/>
      <c r="U37" s="975"/>
    </row>
    <row r="38" spans="2:21">
      <c r="B38" s="984" t="s">
        <v>1148</v>
      </c>
      <c r="C38" s="985" t="s">
        <v>1149</v>
      </c>
      <c r="D38" s="975"/>
      <c r="E38" s="975"/>
      <c r="F38" s="975"/>
      <c r="G38" s="975"/>
      <c r="H38" s="975"/>
      <c r="I38" s="975"/>
      <c r="J38" s="975"/>
      <c r="K38" s="975"/>
      <c r="L38" s="975"/>
      <c r="M38" s="975"/>
      <c r="N38" s="975"/>
      <c r="O38" s="975"/>
      <c r="P38" s="975"/>
      <c r="Q38" s="975"/>
      <c r="R38" s="975"/>
      <c r="S38" s="975"/>
      <c r="T38" s="975"/>
      <c r="U38" s="975"/>
    </row>
    <row r="39" spans="2:21">
      <c r="B39" s="984" t="s">
        <v>1150</v>
      </c>
      <c r="C39" s="985" t="s">
        <v>1151</v>
      </c>
      <c r="D39" s="975"/>
      <c r="E39" s="975"/>
      <c r="F39" s="975"/>
      <c r="G39" s="975"/>
      <c r="H39" s="975"/>
      <c r="I39" s="975"/>
      <c r="J39" s="975"/>
      <c r="K39" s="975"/>
      <c r="L39" s="975"/>
      <c r="M39" s="975"/>
      <c r="N39" s="975"/>
      <c r="O39" s="975"/>
      <c r="P39" s="975"/>
      <c r="Q39" s="975"/>
      <c r="R39" s="975"/>
      <c r="S39" s="975"/>
      <c r="T39" s="975"/>
      <c r="U39" s="975"/>
    </row>
    <row r="40" spans="2:21">
      <c r="B40" s="984" t="s">
        <v>1152</v>
      </c>
      <c r="C40" s="985" t="s">
        <v>1153</v>
      </c>
      <c r="D40" s="975"/>
      <c r="E40" s="975"/>
      <c r="F40" s="975"/>
      <c r="G40" s="975"/>
      <c r="H40" s="975"/>
      <c r="I40" s="975"/>
      <c r="J40" s="975"/>
      <c r="K40" s="975"/>
      <c r="L40" s="975"/>
      <c r="M40" s="975"/>
      <c r="N40" s="975"/>
      <c r="O40" s="975"/>
      <c r="P40" s="975"/>
      <c r="Q40" s="975"/>
      <c r="R40" s="975"/>
      <c r="S40" s="975"/>
      <c r="T40" s="975"/>
      <c r="U40" s="975"/>
    </row>
    <row r="41" spans="2:21">
      <c r="B41" s="984" t="s">
        <v>1154</v>
      </c>
      <c r="C41" s="985" t="s">
        <v>1155</v>
      </c>
      <c r="D41" s="975"/>
      <c r="E41" s="975"/>
      <c r="F41" s="975"/>
      <c r="G41" s="975"/>
      <c r="H41" s="975"/>
      <c r="I41" s="975"/>
      <c r="J41" s="975"/>
      <c r="K41" s="975"/>
      <c r="L41" s="975"/>
      <c r="M41" s="975"/>
      <c r="N41" s="975"/>
      <c r="O41" s="975"/>
      <c r="P41" s="975"/>
      <c r="Q41" s="975"/>
      <c r="R41" s="975"/>
      <c r="S41" s="975"/>
      <c r="T41" s="975"/>
      <c r="U41" s="975"/>
    </row>
    <row r="42" spans="2:21">
      <c r="B42" s="984" t="s">
        <v>1156</v>
      </c>
      <c r="C42" s="985" t="s">
        <v>1157</v>
      </c>
      <c r="D42" s="975"/>
      <c r="E42" s="975"/>
      <c r="F42" s="975"/>
      <c r="G42" s="975"/>
      <c r="H42" s="975"/>
      <c r="I42" s="975"/>
      <c r="J42" s="975"/>
      <c r="K42" s="975"/>
      <c r="L42" s="975"/>
      <c r="M42" s="975"/>
      <c r="N42" s="975"/>
      <c r="O42" s="975"/>
      <c r="P42" s="975"/>
      <c r="Q42" s="975"/>
      <c r="R42" s="975"/>
      <c r="S42" s="975"/>
      <c r="T42" s="975"/>
      <c r="U42" s="975"/>
    </row>
    <row r="43" spans="2:21">
      <c r="B43" s="984" t="s">
        <v>1158</v>
      </c>
      <c r="C43" s="985" t="s">
        <v>1159</v>
      </c>
      <c r="D43" s="975"/>
      <c r="E43" s="975"/>
      <c r="F43" s="975"/>
      <c r="G43" s="975"/>
      <c r="H43" s="975"/>
      <c r="I43" s="975"/>
      <c r="J43" s="975"/>
      <c r="K43" s="975"/>
      <c r="L43" s="975"/>
      <c r="M43" s="975"/>
      <c r="N43" s="975"/>
      <c r="O43" s="975"/>
      <c r="P43" s="975"/>
      <c r="Q43" s="975"/>
      <c r="R43" s="975"/>
      <c r="S43" s="975"/>
      <c r="T43" s="975"/>
      <c r="U43" s="975"/>
    </row>
    <row r="44" spans="2:21">
      <c r="B44" s="984" t="s">
        <v>1160</v>
      </c>
      <c r="C44" s="985" t="s">
        <v>1161</v>
      </c>
      <c r="D44" s="975"/>
      <c r="E44" s="975"/>
      <c r="F44" s="975"/>
      <c r="G44" s="975"/>
      <c r="H44" s="975"/>
      <c r="I44" s="975"/>
      <c r="J44" s="975"/>
      <c r="K44" s="975"/>
      <c r="L44" s="975"/>
      <c r="M44" s="975"/>
      <c r="N44" s="975"/>
      <c r="O44" s="975"/>
      <c r="P44" s="975"/>
      <c r="Q44" s="975"/>
      <c r="R44" s="975"/>
      <c r="S44" s="975"/>
      <c r="T44" s="975"/>
      <c r="U44" s="975"/>
    </row>
    <row r="45" spans="2:21">
      <c r="B45" s="984"/>
      <c r="C45" s="985"/>
      <c r="D45" s="975"/>
      <c r="E45" s="975"/>
      <c r="F45" s="975"/>
      <c r="G45" s="975"/>
      <c r="H45" s="975"/>
      <c r="I45" s="975"/>
      <c r="J45" s="975"/>
      <c r="K45" s="975"/>
      <c r="L45" s="975"/>
      <c r="M45" s="975"/>
      <c r="N45" s="975"/>
      <c r="O45" s="975"/>
      <c r="P45" s="975"/>
      <c r="Q45" s="975"/>
      <c r="R45" s="975"/>
      <c r="S45" s="975"/>
      <c r="T45" s="975"/>
      <c r="U45" s="975"/>
    </row>
    <row r="46" spans="2:21" s="976" customFormat="1">
      <c r="B46" s="983">
        <v>2.2999999999999998</v>
      </c>
      <c r="C46" s="982" t="s">
        <v>1162</v>
      </c>
      <c r="D46" s="975"/>
      <c r="E46" s="975"/>
      <c r="F46" s="975"/>
      <c r="G46" s="975"/>
      <c r="H46" s="975"/>
      <c r="I46" s="975"/>
      <c r="J46" s="975"/>
      <c r="K46" s="975"/>
      <c r="L46" s="975"/>
      <c r="M46" s="975"/>
      <c r="N46" s="975"/>
      <c r="O46" s="975"/>
      <c r="P46" s="975"/>
      <c r="Q46" s="975"/>
      <c r="R46" s="975"/>
      <c r="S46" s="975"/>
      <c r="T46" s="975"/>
      <c r="U46" s="975"/>
    </row>
    <row r="47" spans="2:21">
      <c r="B47" s="984" t="s">
        <v>1163</v>
      </c>
      <c r="C47" s="985" t="s">
        <v>1164</v>
      </c>
      <c r="D47" s="975"/>
      <c r="E47" s="975"/>
      <c r="F47" s="975"/>
      <c r="G47" s="975"/>
      <c r="H47" s="975"/>
      <c r="I47" s="975"/>
      <c r="J47" s="975"/>
      <c r="K47" s="975"/>
      <c r="L47" s="975"/>
      <c r="M47" s="975"/>
      <c r="N47" s="975"/>
      <c r="O47" s="975"/>
      <c r="P47" s="975"/>
      <c r="Q47" s="975"/>
      <c r="R47" s="975"/>
      <c r="S47" s="975"/>
      <c r="T47" s="975"/>
      <c r="U47" s="975"/>
    </row>
    <row r="48" spans="2:21">
      <c r="B48" s="984" t="s">
        <v>1165</v>
      </c>
      <c r="C48" s="985" t="s">
        <v>1166</v>
      </c>
      <c r="D48" s="975"/>
      <c r="E48" s="975"/>
      <c r="F48" s="975"/>
      <c r="G48" s="975"/>
      <c r="H48" s="975"/>
      <c r="I48" s="975"/>
      <c r="J48" s="975"/>
      <c r="K48" s="975"/>
      <c r="L48" s="975"/>
      <c r="M48" s="975"/>
      <c r="N48" s="975"/>
      <c r="O48" s="975"/>
      <c r="P48" s="975"/>
      <c r="Q48" s="975"/>
      <c r="R48" s="975"/>
      <c r="S48" s="975"/>
      <c r="T48" s="975"/>
      <c r="U48" s="975"/>
    </row>
    <row r="49" spans="2:21">
      <c r="B49" s="984" t="s">
        <v>1167</v>
      </c>
      <c r="C49" s="985" t="s">
        <v>1168</v>
      </c>
      <c r="D49" s="975"/>
      <c r="E49" s="975"/>
      <c r="F49" s="975"/>
      <c r="G49" s="975"/>
      <c r="H49" s="975"/>
      <c r="I49" s="975"/>
      <c r="J49" s="975"/>
      <c r="K49" s="975"/>
      <c r="L49" s="975"/>
      <c r="M49" s="975"/>
      <c r="N49" s="975"/>
      <c r="O49" s="975"/>
      <c r="P49" s="975"/>
      <c r="Q49" s="975"/>
      <c r="R49" s="975"/>
      <c r="S49" s="975"/>
      <c r="T49" s="975"/>
      <c r="U49" s="975"/>
    </row>
    <row r="50" spans="2:21">
      <c r="B50" s="984" t="s">
        <v>1169</v>
      </c>
      <c r="C50" s="985" t="s">
        <v>1170</v>
      </c>
      <c r="D50" s="975"/>
      <c r="E50" s="975"/>
      <c r="F50" s="975"/>
      <c r="G50" s="975"/>
      <c r="H50" s="975"/>
      <c r="I50" s="975"/>
      <c r="J50" s="975"/>
      <c r="K50" s="975"/>
      <c r="L50" s="975"/>
      <c r="M50" s="975"/>
      <c r="N50" s="975"/>
      <c r="O50" s="975"/>
      <c r="P50" s="975"/>
      <c r="Q50" s="975"/>
      <c r="R50" s="975"/>
      <c r="S50" s="975"/>
      <c r="T50" s="975"/>
      <c r="U50" s="975"/>
    </row>
    <row r="51" spans="2:21">
      <c r="B51" s="984" t="s">
        <v>1171</v>
      </c>
      <c r="C51" s="985" t="s">
        <v>1172</v>
      </c>
      <c r="D51" s="975"/>
      <c r="E51" s="975"/>
      <c r="F51" s="975"/>
      <c r="G51" s="975"/>
      <c r="H51" s="975"/>
      <c r="I51" s="975"/>
      <c r="J51" s="975"/>
      <c r="K51" s="975"/>
      <c r="L51" s="975"/>
      <c r="M51" s="975"/>
      <c r="N51" s="975"/>
      <c r="O51" s="975"/>
      <c r="P51" s="975"/>
      <c r="Q51" s="975"/>
      <c r="R51" s="975"/>
      <c r="S51" s="975"/>
      <c r="T51" s="975"/>
      <c r="U51" s="975"/>
    </row>
    <row r="52" spans="2:21">
      <c r="B52" s="984" t="s">
        <v>1173</v>
      </c>
      <c r="C52" s="985" t="s">
        <v>1174</v>
      </c>
      <c r="D52" s="975"/>
      <c r="E52" s="975"/>
      <c r="F52" s="975"/>
      <c r="G52" s="975"/>
      <c r="H52" s="975"/>
      <c r="I52" s="975"/>
      <c r="J52" s="975"/>
      <c r="K52" s="975"/>
      <c r="L52" s="975"/>
      <c r="M52" s="975"/>
      <c r="N52" s="975"/>
      <c r="O52" s="975"/>
      <c r="P52" s="975"/>
      <c r="Q52" s="975"/>
      <c r="R52" s="975"/>
      <c r="S52" s="975"/>
      <c r="T52" s="975"/>
      <c r="U52" s="975"/>
    </row>
    <row r="53" spans="2:21">
      <c r="B53" s="984" t="s">
        <v>1175</v>
      </c>
      <c r="C53" s="985" t="s">
        <v>1176</v>
      </c>
      <c r="D53" s="975"/>
      <c r="E53" s="975"/>
      <c r="F53" s="975"/>
      <c r="G53" s="975"/>
      <c r="H53" s="975"/>
      <c r="I53" s="975"/>
      <c r="J53" s="975"/>
      <c r="K53" s="975"/>
      <c r="L53" s="975"/>
      <c r="M53" s="975"/>
      <c r="N53" s="975"/>
      <c r="O53" s="975"/>
      <c r="P53" s="975"/>
      <c r="Q53" s="975"/>
      <c r="R53" s="975"/>
      <c r="S53" s="975"/>
      <c r="T53" s="975"/>
      <c r="U53" s="975"/>
    </row>
    <row r="54" spans="2:21">
      <c r="B54" s="984" t="s">
        <v>1177</v>
      </c>
      <c r="C54" s="985" t="s">
        <v>1178</v>
      </c>
      <c r="D54" s="975"/>
      <c r="E54" s="975"/>
      <c r="F54" s="975"/>
      <c r="G54" s="975"/>
      <c r="H54" s="975"/>
      <c r="I54" s="975"/>
      <c r="J54" s="975"/>
      <c r="K54" s="975"/>
      <c r="L54" s="975"/>
      <c r="M54" s="975"/>
      <c r="N54" s="975"/>
      <c r="O54" s="975"/>
      <c r="P54" s="975"/>
      <c r="Q54" s="975"/>
      <c r="R54" s="975"/>
      <c r="S54" s="975"/>
      <c r="T54" s="975"/>
      <c r="U54" s="975"/>
    </row>
    <row r="55" spans="2:21">
      <c r="B55" s="984" t="s">
        <v>1179</v>
      </c>
      <c r="C55" s="985" t="s">
        <v>1180</v>
      </c>
      <c r="D55" s="975"/>
      <c r="E55" s="975"/>
      <c r="F55" s="975"/>
      <c r="G55" s="975"/>
      <c r="H55" s="975"/>
      <c r="I55" s="975"/>
      <c r="J55" s="975"/>
      <c r="K55" s="975"/>
      <c r="L55" s="975"/>
      <c r="M55" s="975"/>
      <c r="N55" s="975"/>
      <c r="O55" s="975"/>
      <c r="P55" s="975"/>
      <c r="Q55" s="975"/>
      <c r="R55" s="975"/>
      <c r="S55" s="975"/>
      <c r="T55" s="975"/>
      <c r="U55" s="975"/>
    </row>
    <row r="56" spans="2:21">
      <c r="B56" s="984" t="s">
        <v>1181</v>
      </c>
      <c r="C56" s="985" t="s">
        <v>1182</v>
      </c>
      <c r="D56" s="975"/>
      <c r="E56" s="975"/>
      <c r="F56" s="975"/>
      <c r="G56" s="975"/>
      <c r="H56" s="975"/>
      <c r="I56" s="975"/>
      <c r="J56" s="975"/>
      <c r="K56" s="975"/>
      <c r="L56" s="975"/>
      <c r="M56" s="975"/>
      <c r="N56" s="975"/>
      <c r="O56" s="975"/>
      <c r="P56" s="975"/>
      <c r="Q56" s="975"/>
      <c r="R56" s="975"/>
      <c r="S56" s="975"/>
      <c r="T56" s="975"/>
      <c r="U56" s="975"/>
    </row>
    <row r="57" spans="2:21">
      <c r="B57" s="984" t="s">
        <v>1183</v>
      </c>
      <c r="C57" s="985" t="s">
        <v>1184</v>
      </c>
      <c r="D57" s="975"/>
      <c r="E57" s="975"/>
      <c r="F57" s="975"/>
      <c r="G57" s="975"/>
      <c r="H57" s="975"/>
      <c r="I57" s="975"/>
      <c r="J57" s="975"/>
      <c r="K57" s="975"/>
      <c r="L57" s="975"/>
      <c r="M57" s="975"/>
      <c r="N57" s="975"/>
      <c r="O57" s="975"/>
      <c r="P57" s="975"/>
      <c r="Q57" s="975"/>
      <c r="R57" s="975"/>
      <c r="S57" s="975"/>
      <c r="T57" s="975"/>
      <c r="U57" s="975"/>
    </row>
    <row r="58" spans="2:21">
      <c r="B58" s="984" t="s">
        <v>1185</v>
      </c>
      <c r="C58" s="985" t="s">
        <v>1186</v>
      </c>
      <c r="D58" s="975"/>
      <c r="E58" s="975"/>
      <c r="F58" s="975"/>
      <c r="G58" s="975"/>
      <c r="H58" s="975"/>
      <c r="I58" s="975"/>
      <c r="J58" s="975"/>
      <c r="K58" s="975"/>
      <c r="L58" s="975"/>
      <c r="M58" s="975"/>
      <c r="N58" s="975"/>
      <c r="O58" s="975"/>
      <c r="P58" s="975"/>
      <c r="Q58" s="975"/>
      <c r="R58" s="975"/>
      <c r="S58" s="975"/>
      <c r="T58" s="975"/>
      <c r="U58" s="975"/>
    </row>
    <row r="59" spans="2:21">
      <c r="B59" s="984" t="s">
        <v>1187</v>
      </c>
      <c r="C59" s="985" t="s">
        <v>1188</v>
      </c>
      <c r="D59" s="975"/>
      <c r="E59" s="975"/>
      <c r="F59" s="975"/>
      <c r="G59" s="975"/>
      <c r="H59" s="975"/>
      <c r="I59" s="975"/>
      <c r="J59" s="975"/>
      <c r="K59" s="975"/>
      <c r="L59" s="975"/>
      <c r="M59" s="975"/>
      <c r="N59" s="975"/>
      <c r="O59" s="975"/>
      <c r="P59" s="975"/>
      <c r="Q59" s="975"/>
      <c r="R59" s="975"/>
      <c r="S59" s="975"/>
      <c r="T59" s="975"/>
      <c r="U59" s="975"/>
    </row>
    <row r="60" spans="2:21">
      <c r="B60" s="984" t="s">
        <v>1189</v>
      </c>
      <c r="C60" s="985" t="s">
        <v>1190</v>
      </c>
      <c r="D60" s="975"/>
      <c r="E60" s="975"/>
      <c r="F60" s="975"/>
      <c r="G60" s="975"/>
      <c r="H60" s="975"/>
      <c r="I60" s="975"/>
      <c r="J60" s="975"/>
      <c r="K60" s="975"/>
      <c r="L60" s="975"/>
      <c r="M60" s="975"/>
      <c r="N60" s="975"/>
      <c r="O60" s="975"/>
      <c r="P60" s="975"/>
      <c r="Q60" s="975"/>
      <c r="R60" s="975"/>
      <c r="S60" s="975"/>
      <c r="T60" s="975"/>
      <c r="U60" s="975"/>
    </row>
    <row r="61" spans="2:21">
      <c r="B61" s="984" t="s">
        <v>1191</v>
      </c>
      <c r="C61" s="985" t="s">
        <v>1192</v>
      </c>
      <c r="D61" s="975"/>
      <c r="E61" s="975"/>
      <c r="F61" s="975"/>
      <c r="G61" s="975"/>
      <c r="H61" s="975"/>
      <c r="I61" s="975"/>
      <c r="J61" s="975"/>
      <c r="K61" s="975"/>
      <c r="L61" s="975"/>
      <c r="M61" s="975"/>
      <c r="N61" s="975"/>
      <c r="O61" s="975"/>
      <c r="P61" s="975"/>
      <c r="Q61" s="975"/>
      <c r="R61" s="975"/>
      <c r="S61" s="975"/>
      <c r="T61" s="975"/>
      <c r="U61" s="975"/>
    </row>
    <row r="62" spans="2:21">
      <c r="B62" s="984" t="s">
        <v>1193</v>
      </c>
      <c r="C62" s="985" t="s">
        <v>1194</v>
      </c>
      <c r="D62" s="975"/>
      <c r="E62" s="975"/>
      <c r="F62" s="975"/>
      <c r="G62" s="975"/>
      <c r="H62" s="975"/>
      <c r="I62" s="975"/>
      <c r="J62" s="975"/>
      <c r="K62" s="975"/>
      <c r="L62" s="975"/>
      <c r="M62" s="975"/>
      <c r="N62" s="975"/>
      <c r="O62" s="975"/>
      <c r="P62" s="975"/>
      <c r="Q62" s="975"/>
      <c r="R62" s="975"/>
      <c r="S62" s="975"/>
      <c r="T62" s="975"/>
      <c r="U62" s="975"/>
    </row>
    <row r="63" spans="2:21">
      <c r="B63" s="984" t="s">
        <v>1195</v>
      </c>
      <c r="C63" s="985" t="s">
        <v>1196</v>
      </c>
      <c r="D63" s="975"/>
      <c r="E63" s="975"/>
      <c r="F63" s="975"/>
      <c r="G63" s="975"/>
      <c r="H63" s="975"/>
      <c r="I63" s="975"/>
      <c r="J63" s="975"/>
      <c r="K63" s="975"/>
      <c r="L63" s="975"/>
      <c r="M63" s="975"/>
      <c r="N63" s="975"/>
      <c r="O63" s="975"/>
      <c r="P63" s="975"/>
      <c r="Q63" s="975"/>
      <c r="R63" s="975"/>
      <c r="S63" s="975"/>
      <c r="T63" s="975"/>
      <c r="U63" s="975"/>
    </row>
    <row r="64" spans="2:21">
      <c r="B64" s="984" t="s">
        <v>1197</v>
      </c>
      <c r="C64" s="985" t="s">
        <v>1198</v>
      </c>
      <c r="D64" s="975"/>
      <c r="E64" s="975"/>
      <c r="F64" s="975"/>
      <c r="G64" s="975"/>
      <c r="H64" s="975"/>
      <c r="I64" s="975"/>
      <c r="J64" s="975"/>
      <c r="K64" s="975"/>
      <c r="L64" s="975"/>
      <c r="M64" s="975"/>
      <c r="N64" s="975"/>
      <c r="O64" s="975"/>
      <c r="P64" s="975"/>
      <c r="Q64" s="975"/>
      <c r="R64" s="975"/>
      <c r="S64" s="975"/>
      <c r="T64" s="975"/>
      <c r="U64" s="975"/>
    </row>
    <row r="65" spans="2:21">
      <c r="B65" s="984" t="s">
        <v>1199</v>
      </c>
      <c r="C65" s="985" t="s">
        <v>1200</v>
      </c>
      <c r="D65" s="975"/>
      <c r="E65" s="975"/>
      <c r="F65" s="975"/>
      <c r="G65" s="975"/>
      <c r="H65" s="975"/>
      <c r="I65" s="975"/>
      <c r="J65" s="975"/>
      <c r="K65" s="975"/>
      <c r="L65" s="975"/>
      <c r="M65" s="975"/>
      <c r="N65" s="975"/>
      <c r="O65" s="975"/>
      <c r="P65" s="975"/>
      <c r="Q65" s="975"/>
      <c r="R65" s="975"/>
      <c r="S65" s="975"/>
      <c r="T65" s="975"/>
      <c r="U65" s="975"/>
    </row>
    <row r="66" spans="2:21">
      <c r="B66" s="984" t="s">
        <v>1201</v>
      </c>
      <c r="C66" s="985" t="s">
        <v>1202</v>
      </c>
      <c r="D66" s="975"/>
      <c r="E66" s="975"/>
      <c r="F66" s="975"/>
      <c r="G66" s="975"/>
      <c r="H66" s="975"/>
      <c r="I66" s="975"/>
      <c r="J66" s="975"/>
      <c r="K66" s="975"/>
      <c r="L66" s="975"/>
      <c r="M66" s="975"/>
      <c r="N66" s="975"/>
      <c r="O66" s="975"/>
      <c r="P66" s="975"/>
      <c r="Q66" s="975"/>
      <c r="R66" s="975"/>
      <c r="S66" s="975"/>
      <c r="T66" s="975"/>
      <c r="U66" s="975"/>
    </row>
    <row r="67" spans="2:21">
      <c r="B67" s="984" t="s">
        <v>1203</v>
      </c>
      <c r="C67" s="985" t="s">
        <v>1204</v>
      </c>
      <c r="D67" s="975"/>
      <c r="E67" s="975"/>
      <c r="F67" s="975"/>
      <c r="G67" s="975"/>
      <c r="H67" s="975"/>
      <c r="I67" s="975"/>
      <c r="J67" s="975"/>
      <c r="K67" s="975"/>
      <c r="L67" s="975"/>
      <c r="M67" s="975"/>
      <c r="N67" s="975"/>
      <c r="O67" s="975"/>
      <c r="P67" s="975"/>
      <c r="Q67" s="975"/>
      <c r="R67" s="975"/>
      <c r="S67" s="975"/>
      <c r="T67" s="975"/>
      <c r="U67" s="975"/>
    </row>
    <row r="68" spans="2:21">
      <c r="B68" s="984" t="s">
        <v>1205</v>
      </c>
      <c r="C68" s="985" t="s">
        <v>1206</v>
      </c>
      <c r="D68" s="975"/>
      <c r="E68" s="975"/>
      <c r="F68" s="975"/>
      <c r="G68" s="975"/>
      <c r="H68" s="975"/>
      <c r="I68" s="975"/>
      <c r="J68" s="975"/>
      <c r="K68" s="975"/>
      <c r="L68" s="975"/>
      <c r="M68" s="975"/>
      <c r="N68" s="975"/>
      <c r="O68" s="975"/>
      <c r="P68" s="975"/>
      <c r="Q68" s="975"/>
      <c r="R68" s="975"/>
      <c r="S68" s="975"/>
      <c r="T68" s="975"/>
      <c r="U68" s="975"/>
    </row>
    <row r="69" spans="2:21">
      <c r="B69" s="984" t="s">
        <v>1207</v>
      </c>
      <c r="C69" s="985" t="s">
        <v>1208</v>
      </c>
      <c r="D69" s="975"/>
      <c r="E69" s="975"/>
      <c r="F69" s="975"/>
      <c r="G69" s="975"/>
      <c r="H69" s="975"/>
      <c r="I69" s="975"/>
      <c r="J69" s="975"/>
      <c r="K69" s="975"/>
      <c r="L69" s="975"/>
      <c r="M69" s="975"/>
      <c r="N69" s="975"/>
      <c r="O69" s="975"/>
      <c r="P69" s="975"/>
      <c r="Q69" s="975"/>
      <c r="R69" s="975"/>
      <c r="S69" s="975"/>
      <c r="T69" s="975"/>
      <c r="U69" s="975"/>
    </row>
    <row r="70" spans="2:21">
      <c r="B70" s="984" t="s">
        <v>1209</v>
      </c>
      <c r="C70" s="985" t="s">
        <v>1210</v>
      </c>
      <c r="D70" s="975"/>
      <c r="E70" s="975"/>
      <c r="F70" s="975"/>
      <c r="G70" s="975"/>
      <c r="H70" s="975"/>
      <c r="I70" s="975"/>
      <c r="J70" s="975"/>
      <c r="K70" s="975"/>
      <c r="L70" s="975"/>
      <c r="M70" s="975"/>
      <c r="N70" s="975"/>
      <c r="O70" s="975"/>
      <c r="P70" s="975"/>
      <c r="Q70" s="975"/>
      <c r="R70" s="975"/>
      <c r="S70" s="975"/>
      <c r="T70" s="975"/>
      <c r="U70" s="975"/>
    </row>
    <row r="71" spans="2:21">
      <c r="B71" s="984" t="s">
        <v>1211</v>
      </c>
      <c r="C71" s="985" t="s">
        <v>1212</v>
      </c>
      <c r="D71" s="975"/>
      <c r="E71" s="975"/>
      <c r="F71" s="975"/>
      <c r="G71" s="975"/>
      <c r="H71" s="975"/>
      <c r="I71" s="975"/>
      <c r="J71" s="975"/>
      <c r="K71" s="975"/>
      <c r="L71" s="975"/>
      <c r="M71" s="975"/>
      <c r="N71" s="975"/>
      <c r="O71" s="975"/>
      <c r="P71" s="975"/>
      <c r="Q71" s="975"/>
      <c r="R71" s="975"/>
      <c r="S71" s="975"/>
      <c r="T71" s="975"/>
      <c r="U71" s="975"/>
    </row>
    <row r="72" spans="2:21">
      <c r="B72" s="984" t="s">
        <v>1213</v>
      </c>
      <c r="C72" s="985" t="s">
        <v>1214</v>
      </c>
      <c r="D72" s="975"/>
      <c r="E72" s="975"/>
      <c r="F72" s="975"/>
      <c r="G72" s="975"/>
      <c r="H72" s="975"/>
      <c r="I72" s="975"/>
      <c r="J72" s="975"/>
      <c r="K72" s="975"/>
      <c r="L72" s="975"/>
      <c r="M72" s="975"/>
      <c r="N72" s="975"/>
      <c r="O72" s="975"/>
      <c r="P72" s="975"/>
      <c r="Q72" s="975"/>
      <c r="R72" s="975"/>
      <c r="S72" s="975"/>
      <c r="T72" s="975"/>
      <c r="U72" s="975"/>
    </row>
    <row r="73" spans="2:21">
      <c r="B73" s="984" t="s">
        <v>1215</v>
      </c>
      <c r="C73" s="985" t="s">
        <v>1216</v>
      </c>
      <c r="D73" s="975"/>
      <c r="E73" s="975"/>
      <c r="F73" s="975"/>
      <c r="G73" s="975"/>
      <c r="H73" s="975"/>
      <c r="I73" s="975"/>
      <c r="J73" s="975"/>
      <c r="K73" s="975"/>
      <c r="L73" s="975"/>
      <c r="M73" s="975"/>
      <c r="N73" s="975"/>
      <c r="O73" s="975"/>
      <c r="P73" s="975"/>
      <c r="Q73" s="975"/>
      <c r="R73" s="975"/>
      <c r="S73" s="975"/>
      <c r="T73" s="975"/>
      <c r="U73" s="975"/>
    </row>
    <row r="74" spans="2:21">
      <c r="B74" s="984" t="s">
        <v>1217</v>
      </c>
      <c r="C74" s="985" t="s">
        <v>1218</v>
      </c>
      <c r="D74" s="975"/>
      <c r="E74" s="975"/>
      <c r="F74" s="975"/>
      <c r="G74" s="975"/>
      <c r="H74" s="975"/>
      <c r="I74" s="975"/>
      <c r="J74" s="975"/>
      <c r="K74" s="975"/>
      <c r="L74" s="975"/>
      <c r="M74" s="975"/>
      <c r="N74" s="975"/>
      <c r="O74" s="975"/>
      <c r="P74" s="975"/>
      <c r="Q74" s="975"/>
      <c r="R74" s="975"/>
      <c r="S74" s="975"/>
      <c r="T74" s="975"/>
      <c r="U74" s="975"/>
    </row>
    <row r="75" spans="2:21">
      <c r="B75" s="984" t="s">
        <v>1219</v>
      </c>
      <c r="C75" s="985" t="s">
        <v>1220</v>
      </c>
      <c r="D75" s="975"/>
      <c r="E75" s="975"/>
      <c r="F75" s="975"/>
      <c r="G75" s="975"/>
      <c r="H75" s="975"/>
      <c r="I75" s="975"/>
      <c r="J75" s="975"/>
      <c r="K75" s="975"/>
      <c r="L75" s="975"/>
      <c r="M75" s="975"/>
      <c r="N75" s="975"/>
      <c r="O75" s="975"/>
      <c r="P75" s="975"/>
      <c r="Q75" s="975"/>
      <c r="R75" s="975"/>
      <c r="S75" s="975"/>
      <c r="T75" s="975"/>
      <c r="U75" s="975"/>
    </row>
    <row r="76" spans="2:21">
      <c r="B76" s="984" t="s">
        <v>1221</v>
      </c>
      <c r="C76" s="985" t="s">
        <v>1222</v>
      </c>
      <c r="D76" s="975"/>
      <c r="E76" s="975"/>
      <c r="F76" s="975"/>
      <c r="G76" s="975"/>
      <c r="H76" s="975"/>
      <c r="I76" s="975"/>
      <c r="J76" s="975"/>
      <c r="K76" s="975"/>
      <c r="L76" s="975"/>
      <c r="M76" s="975"/>
      <c r="N76" s="975"/>
      <c r="O76" s="975"/>
      <c r="P76" s="975"/>
      <c r="Q76" s="975"/>
      <c r="R76" s="975"/>
      <c r="S76" s="975"/>
      <c r="T76" s="975"/>
      <c r="U76" s="975"/>
    </row>
    <row r="77" spans="2:21">
      <c r="B77" s="984" t="s">
        <v>1223</v>
      </c>
      <c r="C77" s="985" t="s">
        <v>816</v>
      </c>
      <c r="D77" s="975"/>
      <c r="E77" s="975"/>
      <c r="F77" s="975"/>
      <c r="G77" s="975"/>
      <c r="H77" s="975"/>
      <c r="I77" s="975"/>
      <c r="J77" s="975"/>
      <c r="K77" s="975"/>
      <c r="L77" s="975"/>
      <c r="M77" s="975"/>
      <c r="N77" s="975"/>
      <c r="O77" s="975"/>
      <c r="P77" s="975"/>
      <c r="Q77" s="975"/>
      <c r="R77" s="975"/>
      <c r="S77" s="975"/>
      <c r="T77" s="975"/>
      <c r="U77" s="975"/>
    </row>
    <row r="78" spans="2:21">
      <c r="B78" s="984" t="s">
        <v>1224</v>
      </c>
      <c r="C78" s="985" t="s">
        <v>1225</v>
      </c>
      <c r="D78" s="975"/>
      <c r="E78" s="975"/>
      <c r="F78" s="975"/>
      <c r="G78" s="975"/>
      <c r="H78" s="975"/>
      <c r="I78" s="975"/>
      <c r="J78" s="975"/>
      <c r="K78" s="975"/>
      <c r="L78" s="975"/>
      <c r="M78" s="975"/>
      <c r="N78" s="975"/>
      <c r="O78" s="975"/>
      <c r="P78" s="975"/>
      <c r="Q78" s="975"/>
      <c r="R78" s="975"/>
      <c r="S78" s="975"/>
      <c r="T78" s="975"/>
      <c r="U78" s="975"/>
    </row>
    <row r="79" spans="2:21">
      <c r="B79" s="984" t="s">
        <v>1226</v>
      </c>
      <c r="C79" s="985" t="s">
        <v>1227</v>
      </c>
      <c r="D79" s="975"/>
      <c r="E79" s="975"/>
      <c r="F79" s="975"/>
      <c r="G79" s="975"/>
      <c r="H79" s="975"/>
      <c r="I79" s="975"/>
      <c r="J79" s="975"/>
      <c r="K79" s="975"/>
      <c r="L79" s="975"/>
      <c r="M79" s="975"/>
      <c r="N79" s="975"/>
      <c r="O79" s="975"/>
      <c r="P79" s="975"/>
      <c r="Q79" s="975"/>
      <c r="R79" s="975"/>
      <c r="S79" s="975"/>
      <c r="T79" s="975"/>
      <c r="U79" s="975"/>
    </row>
    <row r="80" spans="2:21" s="976" customFormat="1">
      <c r="B80" s="983"/>
      <c r="C80" s="988" t="s">
        <v>1228</v>
      </c>
      <c r="D80" s="975"/>
      <c r="E80" s="975"/>
      <c r="F80" s="975"/>
      <c r="G80" s="975"/>
      <c r="H80" s="975"/>
      <c r="I80" s="975"/>
      <c r="J80" s="975"/>
      <c r="K80" s="975"/>
      <c r="L80" s="975"/>
      <c r="M80" s="975"/>
      <c r="N80" s="975"/>
      <c r="O80" s="975"/>
      <c r="P80" s="975"/>
      <c r="Q80" s="975"/>
      <c r="R80" s="975"/>
      <c r="S80" s="975"/>
      <c r="T80" s="975"/>
      <c r="U80" s="975"/>
    </row>
    <row r="81" spans="2:21" s="976" customFormat="1">
      <c r="B81" s="983"/>
      <c r="C81" s="988"/>
      <c r="D81" s="975"/>
      <c r="E81" s="975"/>
      <c r="F81" s="975"/>
      <c r="G81" s="975"/>
      <c r="H81" s="975"/>
      <c r="I81" s="975"/>
      <c r="J81" s="975"/>
      <c r="K81" s="975"/>
      <c r="L81" s="975"/>
      <c r="M81" s="975"/>
      <c r="N81" s="975"/>
      <c r="O81" s="975"/>
      <c r="P81" s="975"/>
      <c r="Q81" s="975"/>
      <c r="R81" s="975"/>
      <c r="S81" s="975"/>
      <c r="T81" s="975"/>
      <c r="U81" s="975"/>
    </row>
    <row r="82" spans="2:21" s="976" customFormat="1">
      <c r="B82" s="983">
        <v>2.4</v>
      </c>
      <c r="C82" s="982" t="s">
        <v>1229</v>
      </c>
      <c r="D82" s="975"/>
      <c r="E82" s="975"/>
      <c r="F82" s="975"/>
      <c r="G82" s="975"/>
      <c r="H82" s="975"/>
      <c r="I82" s="975"/>
      <c r="J82" s="975"/>
      <c r="K82" s="975"/>
      <c r="L82" s="975"/>
      <c r="M82" s="975"/>
      <c r="N82" s="975"/>
      <c r="O82" s="975"/>
      <c r="P82" s="975"/>
      <c r="Q82" s="975"/>
      <c r="R82" s="975"/>
      <c r="S82" s="975"/>
      <c r="T82" s="975"/>
      <c r="U82" s="975"/>
    </row>
    <row r="83" spans="2:21">
      <c r="B83" s="984" t="s">
        <v>1230</v>
      </c>
      <c r="C83" s="985" t="s">
        <v>1231</v>
      </c>
      <c r="D83" s="975"/>
      <c r="E83" s="975"/>
      <c r="F83" s="975"/>
      <c r="G83" s="975"/>
      <c r="H83" s="975"/>
      <c r="I83" s="975"/>
      <c r="J83" s="975"/>
      <c r="K83" s="975"/>
      <c r="L83" s="975"/>
      <c r="M83" s="975"/>
      <c r="N83" s="975"/>
      <c r="O83" s="975"/>
      <c r="P83" s="975"/>
      <c r="Q83" s="975"/>
      <c r="R83" s="975"/>
      <c r="S83" s="975"/>
      <c r="T83" s="975"/>
      <c r="U83" s="975"/>
    </row>
    <row r="84" spans="2:21">
      <c r="B84" s="984" t="s">
        <v>1232</v>
      </c>
      <c r="C84" s="985" t="s">
        <v>1233</v>
      </c>
      <c r="D84" s="975"/>
      <c r="E84" s="975"/>
      <c r="F84" s="975"/>
      <c r="G84" s="975"/>
      <c r="H84" s="975"/>
      <c r="I84" s="975"/>
      <c r="J84" s="975"/>
      <c r="K84" s="975"/>
      <c r="L84" s="975"/>
      <c r="M84" s="975"/>
      <c r="N84" s="975"/>
      <c r="O84" s="975"/>
      <c r="P84" s="975"/>
      <c r="Q84" s="975"/>
      <c r="R84" s="975"/>
      <c r="S84" s="975"/>
      <c r="T84" s="975"/>
      <c r="U84" s="975"/>
    </row>
    <row r="85" spans="2:21">
      <c r="B85" s="984" t="s">
        <v>1234</v>
      </c>
      <c r="C85" s="985" t="s">
        <v>1235</v>
      </c>
      <c r="D85" s="975"/>
      <c r="E85" s="975"/>
      <c r="F85" s="975"/>
      <c r="G85" s="975"/>
      <c r="H85" s="975"/>
      <c r="I85" s="975"/>
      <c r="J85" s="975"/>
      <c r="K85" s="975"/>
      <c r="L85" s="975"/>
      <c r="M85" s="975"/>
      <c r="N85" s="975"/>
      <c r="O85" s="975"/>
      <c r="P85" s="975"/>
      <c r="Q85" s="975"/>
      <c r="R85" s="975"/>
      <c r="S85" s="975"/>
      <c r="T85" s="975"/>
      <c r="U85" s="975"/>
    </row>
    <row r="86" spans="2:21">
      <c r="B86" s="984" t="s">
        <v>1236</v>
      </c>
      <c r="C86" s="985" t="s">
        <v>1237</v>
      </c>
      <c r="D86" s="975"/>
      <c r="E86" s="975"/>
      <c r="F86" s="975"/>
      <c r="G86" s="975"/>
      <c r="H86" s="975"/>
      <c r="I86" s="975"/>
      <c r="J86" s="975"/>
      <c r="K86" s="975"/>
      <c r="L86" s="975"/>
      <c r="M86" s="975"/>
      <c r="N86" s="975"/>
      <c r="O86" s="975"/>
      <c r="P86" s="975"/>
      <c r="Q86" s="975"/>
      <c r="R86" s="975"/>
      <c r="S86" s="975"/>
      <c r="T86" s="975"/>
      <c r="U86" s="975"/>
    </row>
    <row r="87" spans="2:21">
      <c r="B87" s="984" t="s">
        <v>1238</v>
      </c>
      <c r="C87" s="985" t="s">
        <v>1239</v>
      </c>
      <c r="D87" s="975"/>
      <c r="E87" s="975"/>
      <c r="F87" s="975"/>
      <c r="G87" s="975"/>
      <c r="H87" s="975"/>
      <c r="I87" s="975"/>
      <c r="J87" s="975"/>
      <c r="K87" s="975"/>
      <c r="L87" s="975"/>
      <c r="M87" s="975"/>
      <c r="N87" s="975"/>
      <c r="O87" s="975"/>
      <c r="P87" s="975"/>
      <c r="Q87" s="975"/>
      <c r="R87" s="975"/>
      <c r="S87" s="975"/>
      <c r="T87" s="975"/>
      <c r="U87" s="975"/>
    </row>
    <row r="88" spans="2:21">
      <c r="B88" s="984" t="s">
        <v>1240</v>
      </c>
      <c r="C88" s="985" t="s">
        <v>1241</v>
      </c>
      <c r="D88" s="975"/>
      <c r="E88" s="975"/>
      <c r="F88" s="975"/>
      <c r="G88" s="975"/>
      <c r="H88" s="975"/>
      <c r="I88" s="975"/>
      <c r="J88" s="975"/>
      <c r="K88" s="975"/>
      <c r="L88" s="975"/>
      <c r="M88" s="975"/>
      <c r="N88" s="975"/>
      <c r="O88" s="975"/>
      <c r="P88" s="975"/>
      <c r="Q88" s="975"/>
      <c r="R88" s="975"/>
      <c r="S88" s="975"/>
      <c r="T88" s="975"/>
      <c r="U88" s="975"/>
    </row>
    <row r="89" spans="2:21">
      <c r="B89" s="984" t="s">
        <v>1242</v>
      </c>
      <c r="C89" s="985" t="s">
        <v>1243</v>
      </c>
      <c r="D89" s="975"/>
      <c r="E89" s="975"/>
      <c r="F89" s="975"/>
      <c r="G89" s="975"/>
      <c r="H89" s="975"/>
      <c r="I89" s="975"/>
      <c r="J89" s="975"/>
      <c r="K89" s="975"/>
      <c r="L89" s="975"/>
      <c r="M89" s="975"/>
      <c r="N89" s="975"/>
      <c r="O89" s="975"/>
      <c r="P89" s="975"/>
      <c r="Q89" s="975"/>
      <c r="R89" s="975"/>
      <c r="S89" s="975"/>
      <c r="T89" s="975"/>
      <c r="U89" s="975"/>
    </row>
    <row r="90" spans="2:21">
      <c r="B90" s="984" t="s">
        <v>1244</v>
      </c>
      <c r="C90" s="985" t="s">
        <v>1245</v>
      </c>
      <c r="D90" s="975"/>
      <c r="E90" s="975"/>
      <c r="F90" s="975"/>
      <c r="G90" s="975"/>
      <c r="H90" s="975"/>
      <c r="I90" s="975"/>
      <c r="J90" s="975"/>
      <c r="K90" s="975"/>
      <c r="L90" s="975"/>
      <c r="M90" s="975"/>
      <c r="N90" s="975"/>
      <c r="O90" s="975"/>
      <c r="P90" s="975"/>
      <c r="Q90" s="975"/>
      <c r="R90" s="975"/>
      <c r="S90" s="975"/>
      <c r="T90" s="975"/>
      <c r="U90" s="975"/>
    </row>
    <row r="91" spans="2:21">
      <c r="B91" s="984" t="s">
        <v>1246</v>
      </c>
      <c r="C91" s="985" t="s">
        <v>1247</v>
      </c>
      <c r="D91" s="975"/>
      <c r="E91" s="975"/>
      <c r="F91" s="975"/>
      <c r="G91" s="975"/>
      <c r="H91" s="975"/>
      <c r="I91" s="975"/>
      <c r="J91" s="975"/>
      <c r="K91" s="975"/>
      <c r="L91" s="975"/>
      <c r="M91" s="975"/>
      <c r="N91" s="975"/>
      <c r="O91" s="975"/>
      <c r="P91" s="975"/>
      <c r="Q91" s="975"/>
      <c r="R91" s="975"/>
      <c r="S91" s="975"/>
      <c r="T91" s="975"/>
      <c r="U91" s="975"/>
    </row>
    <row r="92" spans="2:21">
      <c r="B92" s="984" t="s">
        <v>1248</v>
      </c>
      <c r="C92" s="985" t="s">
        <v>1249</v>
      </c>
      <c r="D92" s="975"/>
      <c r="E92" s="975"/>
      <c r="F92" s="975"/>
      <c r="G92" s="975"/>
      <c r="H92" s="975"/>
      <c r="I92" s="975"/>
      <c r="J92" s="975"/>
      <c r="K92" s="975"/>
      <c r="L92" s="975"/>
      <c r="M92" s="975"/>
      <c r="N92" s="975"/>
      <c r="O92" s="975"/>
      <c r="P92" s="975"/>
      <c r="Q92" s="975"/>
      <c r="R92" s="975"/>
      <c r="S92" s="975"/>
      <c r="T92" s="975"/>
      <c r="U92" s="975"/>
    </row>
    <row r="93" spans="2:21">
      <c r="B93" s="984" t="s">
        <v>1250</v>
      </c>
      <c r="C93" s="985" t="s">
        <v>1251</v>
      </c>
      <c r="D93" s="975"/>
      <c r="E93" s="975"/>
      <c r="F93" s="975"/>
      <c r="G93" s="975"/>
      <c r="H93" s="975"/>
      <c r="I93" s="975"/>
      <c r="J93" s="975"/>
      <c r="K93" s="975"/>
      <c r="L93" s="975"/>
      <c r="M93" s="975"/>
      <c r="N93" s="975"/>
      <c r="O93" s="975"/>
      <c r="P93" s="975"/>
      <c r="Q93" s="975"/>
      <c r="R93" s="975"/>
      <c r="S93" s="975"/>
      <c r="T93" s="975"/>
      <c r="U93" s="975"/>
    </row>
    <row r="94" spans="2:21">
      <c r="B94" s="984" t="s">
        <v>1252</v>
      </c>
      <c r="C94" s="985" t="s">
        <v>1253</v>
      </c>
      <c r="D94" s="975"/>
      <c r="E94" s="975"/>
      <c r="F94" s="975"/>
      <c r="G94" s="975"/>
      <c r="H94" s="975"/>
      <c r="I94" s="975"/>
      <c r="J94" s="975"/>
      <c r="K94" s="975"/>
      <c r="L94" s="975"/>
      <c r="M94" s="975"/>
      <c r="N94" s="975"/>
      <c r="O94" s="975"/>
      <c r="P94" s="975"/>
      <c r="Q94" s="975"/>
      <c r="R94" s="975"/>
      <c r="S94" s="975"/>
      <c r="T94" s="975"/>
      <c r="U94" s="975"/>
    </row>
    <row r="95" spans="2:21">
      <c r="B95" s="984" t="s">
        <v>1254</v>
      </c>
      <c r="C95" s="985" t="s">
        <v>1255</v>
      </c>
      <c r="D95" s="975"/>
      <c r="E95" s="975"/>
      <c r="F95" s="975"/>
      <c r="G95" s="975"/>
      <c r="H95" s="975"/>
      <c r="I95" s="975"/>
      <c r="J95" s="975"/>
      <c r="K95" s="975"/>
      <c r="L95" s="975"/>
      <c r="M95" s="975"/>
      <c r="N95" s="975"/>
      <c r="O95" s="975"/>
      <c r="P95" s="975"/>
      <c r="Q95" s="975"/>
      <c r="R95" s="975"/>
      <c r="S95" s="975"/>
      <c r="T95" s="975"/>
      <c r="U95" s="975"/>
    </row>
    <row r="96" spans="2:21">
      <c r="B96" s="984" t="s">
        <v>1256</v>
      </c>
      <c r="C96" s="985" t="s">
        <v>1257</v>
      </c>
      <c r="D96" s="975"/>
      <c r="E96" s="975"/>
      <c r="F96" s="975"/>
      <c r="G96" s="975"/>
      <c r="H96" s="975"/>
      <c r="I96" s="975"/>
      <c r="J96" s="975"/>
      <c r="K96" s="975"/>
      <c r="L96" s="975"/>
      <c r="M96" s="975"/>
      <c r="N96" s="975"/>
      <c r="O96" s="975"/>
      <c r="P96" s="975"/>
      <c r="Q96" s="975"/>
      <c r="R96" s="975"/>
      <c r="S96" s="975"/>
      <c r="T96" s="975"/>
      <c r="U96" s="975"/>
    </row>
    <row r="97" spans="2:21">
      <c r="B97" s="984" t="s">
        <v>1258</v>
      </c>
      <c r="C97" s="985" t="s">
        <v>1259</v>
      </c>
      <c r="D97" s="975"/>
      <c r="E97" s="975"/>
      <c r="F97" s="975"/>
      <c r="G97" s="975"/>
      <c r="H97" s="975"/>
      <c r="I97" s="975"/>
      <c r="J97" s="975"/>
      <c r="K97" s="975"/>
      <c r="L97" s="975"/>
      <c r="M97" s="975"/>
      <c r="N97" s="975"/>
      <c r="O97" s="975"/>
      <c r="P97" s="975"/>
      <c r="Q97" s="975"/>
      <c r="R97" s="975"/>
      <c r="S97" s="975"/>
      <c r="T97" s="975"/>
      <c r="U97" s="975"/>
    </row>
    <row r="98" spans="2:21" s="976" customFormat="1">
      <c r="B98" s="983" t="s">
        <v>1260</v>
      </c>
      <c r="C98" s="982" t="s">
        <v>1261</v>
      </c>
      <c r="D98" s="975"/>
      <c r="E98" s="975"/>
      <c r="F98" s="975"/>
      <c r="G98" s="975"/>
      <c r="H98" s="975"/>
      <c r="I98" s="975"/>
      <c r="J98" s="975"/>
      <c r="K98" s="975"/>
      <c r="L98" s="975"/>
      <c r="M98" s="975"/>
      <c r="N98" s="975"/>
      <c r="O98" s="975"/>
      <c r="P98" s="975"/>
      <c r="Q98" s="975"/>
      <c r="R98" s="975"/>
      <c r="S98" s="975"/>
      <c r="T98" s="975"/>
      <c r="U98" s="975"/>
    </row>
    <row r="99" spans="2:21" s="976" customFormat="1">
      <c r="B99" s="983"/>
      <c r="C99" s="982" t="s">
        <v>1262</v>
      </c>
      <c r="D99" s="975"/>
      <c r="E99" s="975"/>
      <c r="F99" s="975"/>
      <c r="G99" s="975"/>
      <c r="H99" s="975"/>
      <c r="I99" s="975"/>
      <c r="J99" s="975"/>
      <c r="K99" s="975"/>
      <c r="L99" s="975"/>
      <c r="M99" s="975"/>
      <c r="N99" s="975"/>
      <c r="O99" s="975"/>
      <c r="P99" s="975"/>
      <c r="Q99" s="975"/>
      <c r="R99" s="975"/>
      <c r="S99" s="975"/>
      <c r="T99" s="975"/>
      <c r="U99" s="975"/>
    </row>
    <row r="100" spans="2:21" s="976" customFormat="1">
      <c r="B100" s="983"/>
      <c r="C100" s="982"/>
      <c r="D100" s="975"/>
      <c r="E100" s="975"/>
      <c r="F100" s="975"/>
      <c r="G100" s="975"/>
      <c r="H100" s="975"/>
      <c r="I100" s="975"/>
      <c r="J100" s="975"/>
      <c r="K100" s="975"/>
      <c r="L100" s="975"/>
      <c r="M100" s="975"/>
      <c r="N100" s="975"/>
      <c r="O100" s="975"/>
      <c r="P100" s="975"/>
      <c r="Q100" s="975"/>
      <c r="R100" s="975"/>
      <c r="S100" s="975"/>
      <c r="T100" s="975"/>
      <c r="U100" s="975"/>
    </row>
    <row r="101" spans="2:21" s="976" customFormat="1">
      <c r="B101" s="983">
        <v>2.5</v>
      </c>
      <c r="C101" s="988" t="s">
        <v>1263</v>
      </c>
      <c r="D101" s="975"/>
      <c r="E101" s="975"/>
      <c r="F101" s="975"/>
      <c r="G101" s="975"/>
      <c r="H101" s="975"/>
      <c r="I101" s="975"/>
      <c r="J101" s="975"/>
      <c r="K101" s="975"/>
      <c r="L101" s="975"/>
      <c r="M101" s="975"/>
      <c r="N101" s="975"/>
      <c r="O101" s="975"/>
      <c r="P101" s="975"/>
      <c r="Q101" s="975"/>
      <c r="R101" s="975"/>
      <c r="S101" s="975"/>
      <c r="T101" s="975"/>
      <c r="U101" s="975"/>
    </row>
    <row r="102" spans="2:21">
      <c r="B102" s="989" t="s">
        <v>413</v>
      </c>
      <c r="C102" s="985" t="s">
        <v>1264</v>
      </c>
      <c r="D102" s="975"/>
      <c r="E102" s="975"/>
      <c r="F102" s="975"/>
      <c r="G102" s="975"/>
      <c r="H102" s="975"/>
      <c r="I102" s="975"/>
      <c r="J102" s="975"/>
      <c r="K102" s="975"/>
      <c r="L102" s="975"/>
      <c r="M102" s="975"/>
      <c r="N102" s="975"/>
      <c r="O102" s="975"/>
      <c r="P102" s="975"/>
      <c r="Q102" s="975"/>
      <c r="R102" s="975"/>
      <c r="S102" s="975"/>
      <c r="T102" s="975"/>
      <c r="U102" s="975"/>
    </row>
    <row r="103" spans="2:21">
      <c r="B103" s="989" t="s">
        <v>416</v>
      </c>
      <c r="C103" s="985" t="s">
        <v>1265</v>
      </c>
      <c r="D103" s="975"/>
      <c r="E103" s="975"/>
      <c r="F103" s="975"/>
      <c r="G103" s="975"/>
      <c r="H103" s="975"/>
      <c r="I103" s="975"/>
      <c r="J103" s="975"/>
      <c r="K103" s="975"/>
      <c r="L103" s="975"/>
      <c r="M103" s="975"/>
      <c r="N103" s="975"/>
      <c r="O103" s="975"/>
      <c r="P103" s="975"/>
      <c r="Q103" s="975"/>
      <c r="R103" s="975"/>
      <c r="S103" s="975"/>
      <c r="T103" s="975"/>
      <c r="U103" s="975"/>
    </row>
    <row r="104" spans="2:21" s="976" customFormat="1">
      <c r="B104" s="983" t="s">
        <v>417</v>
      </c>
      <c r="C104" s="990" t="s">
        <v>1266</v>
      </c>
      <c r="D104" s="975"/>
      <c r="E104" s="975"/>
      <c r="F104" s="975"/>
      <c r="G104" s="975"/>
      <c r="H104" s="975"/>
      <c r="I104" s="975"/>
      <c r="J104" s="975"/>
      <c r="K104" s="975"/>
      <c r="L104" s="975"/>
      <c r="M104" s="975"/>
      <c r="N104" s="975"/>
      <c r="O104" s="975"/>
      <c r="P104" s="975"/>
      <c r="Q104" s="975"/>
      <c r="R104" s="975"/>
      <c r="S104" s="975"/>
      <c r="T104" s="975"/>
      <c r="U104" s="975"/>
    </row>
    <row r="105" spans="2:21" s="976" customFormat="1">
      <c r="B105" s="983"/>
      <c r="C105" s="990"/>
      <c r="D105" s="975"/>
      <c r="E105" s="975"/>
      <c r="F105" s="975"/>
      <c r="G105" s="975"/>
      <c r="H105" s="975"/>
      <c r="I105" s="975"/>
      <c r="J105" s="975"/>
      <c r="K105" s="975"/>
      <c r="L105" s="975"/>
      <c r="M105" s="975"/>
      <c r="N105" s="975"/>
      <c r="O105" s="975"/>
      <c r="P105" s="975"/>
      <c r="Q105" s="975"/>
      <c r="R105" s="975"/>
      <c r="S105" s="975"/>
      <c r="T105" s="975"/>
      <c r="U105" s="975"/>
    </row>
    <row r="106" spans="2:21" s="976" customFormat="1">
      <c r="B106" s="983">
        <v>2.6</v>
      </c>
      <c r="C106" s="982" t="s">
        <v>1267</v>
      </c>
      <c r="D106" s="975"/>
      <c r="E106" s="975"/>
      <c r="F106" s="975"/>
      <c r="G106" s="975"/>
      <c r="H106" s="975"/>
      <c r="I106" s="975"/>
      <c r="J106" s="975"/>
      <c r="K106" s="975"/>
      <c r="L106" s="975"/>
      <c r="M106" s="975"/>
      <c r="N106" s="975"/>
      <c r="O106" s="975"/>
      <c r="P106" s="975"/>
      <c r="Q106" s="975"/>
      <c r="R106" s="975"/>
      <c r="S106" s="975"/>
      <c r="T106" s="975"/>
      <c r="U106" s="975"/>
    </row>
    <row r="107" spans="2:21">
      <c r="B107" s="984" t="s">
        <v>1268</v>
      </c>
      <c r="C107" s="979" t="s">
        <v>1269</v>
      </c>
      <c r="D107" s="975"/>
      <c r="E107" s="975"/>
      <c r="F107" s="975"/>
      <c r="G107" s="975"/>
      <c r="H107" s="975"/>
      <c r="I107" s="975"/>
      <c r="J107" s="975"/>
      <c r="K107" s="975"/>
      <c r="L107" s="975"/>
      <c r="M107" s="975"/>
      <c r="N107" s="975"/>
      <c r="O107" s="975"/>
      <c r="P107" s="975"/>
      <c r="Q107" s="975"/>
      <c r="R107" s="975"/>
      <c r="S107" s="975"/>
      <c r="T107" s="975"/>
      <c r="U107" s="975"/>
    </row>
    <row r="108" spans="2:21">
      <c r="B108" s="984" t="s">
        <v>1270</v>
      </c>
      <c r="C108" s="979" t="s">
        <v>1271</v>
      </c>
      <c r="D108" s="975"/>
      <c r="E108" s="975"/>
      <c r="F108" s="975"/>
      <c r="G108" s="975"/>
      <c r="H108" s="975"/>
      <c r="I108" s="975"/>
      <c r="J108" s="975"/>
      <c r="K108" s="975"/>
      <c r="L108" s="975"/>
      <c r="M108" s="975"/>
      <c r="N108" s="975"/>
      <c r="O108" s="975"/>
      <c r="P108" s="975"/>
      <c r="Q108" s="975"/>
      <c r="R108" s="975"/>
      <c r="S108" s="975"/>
      <c r="T108" s="975"/>
      <c r="U108" s="975"/>
    </row>
    <row r="109" spans="2:21" s="976" customFormat="1">
      <c r="B109" s="983" t="s">
        <v>1272</v>
      </c>
      <c r="C109" s="982" t="s">
        <v>1273</v>
      </c>
      <c r="D109" s="975"/>
      <c r="E109" s="975"/>
      <c r="F109" s="975"/>
      <c r="G109" s="975"/>
      <c r="H109" s="975"/>
      <c r="I109" s="975"/>
      <c r="J109" s="975"/>
      <c r="K109" s="975"/>
      <c r="L109" s="975"/>
      <c r="M109" s="975"/>
      <c r="N109" s="975"/>
      <c r="O109" s="975"/>
      <c r="P109" s="975"/>
      <c r="Q109" s="975"/>
      <c r="R109" s="975"/>
      <c r="S109" s="975"/>
      <c r="T109" s="975"/>
      <c r="U109" s="975"/>
    </row>
    <row r="110" spans="2:21" s="976" customFormat="1">
      <c r="B110" s="983" t="s">
        <v>1274</v>
      </c>
      <c r="C110" s="982" t="s">
        <v>1275</v>
      </c>
      <c r="D110" s="975"/>
      <c r="E110" s="975"/>
      <c r="F110" s="975"/>
      <c r="G110" s="975"/>
      <c r="H110" s="975"/>
      <c r="I110" s="975"/>
      <c r="J110" s="975"/>
      <c r="K110" s="975"/>
      <c r="L110" s="975"/>
      <c r="M110" s="975"/>
      <c r="N110" s="975"/>
      <c r="O110" s="975"/>
      <c r="P110" s="975"/>
      <c r="Q110" s="975"/>
      <c r="R110" s="975"/>
      <c r="S110" s="975"/>
      <c r="T110" s="975"/>
      <c r="U110" s="975"/>
    </row>
    <row r="111" spans="2:21" s="976" customFormat="1">
      <c r="B111" s="983"/>
      <c r="C111" s="982"/>
      <c r="D111" s="975"/>
      <c r="E111" s="975"/>
      <c r="F111" s="975"/>
      <c r="G111" s="975"/>
      <c r="H111" s="975"/>
      <c r="I111" s="975"/>
      <c r="J111" s="975"/>
      <c r="K111" s="975"/>
      <c r="L111" s="975"/>
      <c r="M111" s="975"/>
      <c r="N111" s="975"/>
      <c r="O111" s="975"/>
      <c r="P111" s="975"/>
      <c r="Q111" s="975"/>
      <c r="R111" s="975"/>
      <c r="S111" s="975"/>
      <c r="T111" s="975"/>
      <c r="U111" s="975"/>
    </row>
    <row r="112" spans="2:21" s="976" customFormat="1">
      <c r="B112" s="983">
        <v>3</v>
      </c>
      <c r="C112" s="982" t="s">
        <v>1276</v>
      </c>
      <c r="D112" s="975"/>
      <c r="E112" s="975"/>
      <c r="F112" s="975"/>
      <c r="G112" s="975"/>
      <c r="H112" s="975"/>
      <c r="I112" s="975"/>
      <c r="J112" s="975"/>
      <c r="K112" s="975"/>
      <c r="L112" s="975"/>
      <c r="M112" s="975"/>
      <c r="N112" s="975"/>
      <c r="O112" s="975"/>
      <c r="P112" s="975"/>
      <c r="Q112" s="975"/>
      <c r="R112" s="975"/>
      <c r="S112" s="975"/>
      <c r="T112" s="975"/>
      <c r="U112" s="975"/>
    </row>
    <row r="113" spans="2:21" s="976" customFormat="1">
      <c r="B113" s="991"/>
      <c r="C113" s="991"/>
      <c r="D113" s="975"/>
      <c r="E113" s="975"/>
      <c r="F113" s="975"/>
      <c r="G113" s="975"/>
      <c r="H113" s="975"/>
      <c r="I113" s="975"/>
      <c r="J113" s="975"/>
      <c r="K113" s="975"/>
      <c r="L113" s="975"/>
      <c r="M113" s="975"/>
      <c r="N113" s="975"/>
      <c r="O113" s="975"/>
      <c r="P113" s="975"/>
      <c r="Q113" s="975"/>
      <c r="R113" s="975"/>
      <c r="S113" s="975"/>
      <c r="T113" s="975"/>
      <c r="U113" s="975"/>
    </row>
    <row r="114" spans="2:21" s="976" customFormat="1">
      <c r="B114" s="983">
        <v>4</v>
      </c>
      <c r="C114" s="982" t="s">
        <v>1277</v>
      </c>
      <c r="D114" s="975"/>
      <c r="E114" s="975"/>
      <c r="F114" s="975"/>
      <c r="G114" s="975"/>
      <c r="H114" s="975"/>
      <c r="I114" s="975"/>
      <c r="J114" s="975"/>
      <c r="K114" s="975"/>
      <c r="L114" s="975"/>
      <c r="M114" s="975"/>
      <c r="N114" s="975"/>
      <c r="O114" s="975"/>
      <c r="P114" s="975"/>
      <c r="Q114" s="975"/>
      <c r="R114" s="975"/>
      <c r="S114" s="975"/>
      <c r="T114" s="975"/>
      <c r="U114" s="975"/>
    </row>
    <row r="115" spans="2:21">
      <c r="B115" s="984">
        <v>4.0999999999999996</v>
      </c>
      <c r="C115" s="979" t="s">
        <v>1278</v>
      </c>
      <c r="D115" s="975"/>
      <c r="E115" s="975"/>
      <c r="F115" s="975"/>
      <c r="G115" s="975"/>
      <c r="H115" s="975"/>
      <c r="I115" s="975"/>
      <c r="J115" s="975"/>
      <c r="K115" s="975"/>
      <c r="L115" s="975"/>
      <c r="M115" s="975"/>
      <c r="N115" s="975"/>
      <c r="O115" s="975"/>
      <c r="P115" s="975"/>
      <c r="Q115" s="975"/>
      <c r="R115" s="975"/>
      <c r="S115" s="975"/>
      <c r="T115" s="975"/>
      <c r="U115" s="975"/>
    </row>
    <row r="116" spans="2:21">
      <c r="B116" s="984">
        <v>4.2</v>
      </c>
      <c r="C116" s="979" t="s">
        <v>1279</v>
      </c>
      <c r="D116" s="975"/>
      <c r="E116" s="975"/>
      <c r="F116" s="975"/>
      <c r="G116" s="975"/>
      <c r="H116" s="975"/>
      <c r="I116" s="975"/>
      <c r="J116" s="975"/>
      <c r="K116" s="975"/>
      <c r="L116" s="975"/>
      <c r="M116" s="975"/>
      <c r="N116" s="975"/>
      <c r="O116" s="975"/>
      <c r="P116" s="975"/>
      <c r="Q116" s="975"/>
      <c r="R116" s="975"/>
      <c r="S116" s="975"/>
      <c r="T116" s="975"/>
      <c r="U116" s="975"/>
    </row>
    <row r="117" spans="2:21">
      <c r="B117" s="984">
        <v>4.3</v>
      </c>
      <c r="C117" s="985" t="s">
        <v>1280</v>
      </c>
      <c r="D117" s="975"/>
      <c r="E117" s="975"/>
      <c r="F117" s="975"/>
      <c r="G117" s="975"/>
      <c r="H117" s="975"/>
      <c r="I117" s="975"/>
      <c r="J117" s="975"/>
      <c r="K117" s="975"/>
      <c r="L117" s="975"/>
      <c r="M117" s="975"/>
      <c r="N117" s="975"/>
      <c r="O117" s="975"/>
      <c r="P117" s="975"/>
      <c r="Q117" s="975"/>
      <c r="R117" s="975"/>
      <c r="S117" s="975"/>
      <c r="T117" s="975"/>
      <c r="U117" s="975"/>
    </row>
    <row r="118" spans="2:21">
      <c r="B118" s="984">
        <v>4.4000000000000004</v>
      </c>
      <c r="C118" s="985" t="s">
        <v>1281</v>
      </c>
      <c r="D118" s="975"/>
      <c r="E118" s="975"/>
      <c r="F118" s="975"/>
      <c r="G118" s="975"/>
      <c r="H118" s="975"/>
      <c r="I118" s="975"/>
      <c r="J118" s="975"/>
      <c r="K118" s="975"/>
      <c r="L118" s="975"/>
      <c r="M118" s="975"/>
      <c r="N118" s="975"/>
      <c r="O118" s="975"/>
      <c r="P118" s="975"/>
      <c r="Q118" s="975"/>
      <c r="R118" s="975"/>
      <c r="S118" s="975"/>
      <c r="T118" s="975"/>
      <c r="U118" s="975"/>
    </row>
    <row r="119" spans="2:21">
      <c r="B119" s="984">
        <v>4.5</v>
      </c>
      <c r="C119" s="985" t="s">
        <v>1282</v>
      </c>
      <c r="D119" s="975"/>
      <c r="E119" s="975"/>
      <c r="F119" s="975"/>
      <c r="G119" s="975"/>
      <c r="H119" s="975"/>
      <c r="I119" s="975"/>
      <c r="J119" s="975"/>
      <c r="K119" s="975"/>
      <c r="L119" s="975"/>
      <c r="M119" s="975"/>
      <c r="N119" s="975"/>
      <c r="O119" s="975"/>
      <c r="P119" s="975"/>
      <c r="Q119" s="975"/>
      <c r="R119" s="975"/>
      <c r="S119" s="975"/>
      <c r="T119" s="975"/>
      <c r="U119" s="975"/>
    </row>
    <row r="120" spans="2:21">
      <c r="B120" s="984">
        <v>4.5999999999999996</v>
      </c>
      <c r="C120" s="985" t="s">
        <v>1283</v>
      </c>
      <c r="D120" s="975"/>
      <c r="E120" s="975"/>
      <c r="F120" s="975"/>
      <c r="G120" s="975"/>
      <c r="H120" s="975"/>
      <c r="I120" s="975"/>
      <c r="J120" s="975"/>
      <c r="K120" s="975"/>
      <c r="L120" s="975"/>
      <c r="M120" s="975"/>
      <c r="N120" s="975"/>
      <c r="O120" s="975"/>
      <c r="P120" s="975"/>
      <c r="Q120" s="975"/>
      <c r="R120" s="975"/>
      <c r="S120" s="975"/>
      <c r="T120" s="975"/>
      <c r="U120" s="975"/>
    </row>
    <row r="121" spans="2:21">
      <c r="B121" s="984">
        <v>4.7</v>
      </c>
      <c r="C121" s="985" t="s">
        <v>1284</v>
      </c>
      <c r="D121" s="975"/>
      <c r="E121" s="975"/>
      <c r="F121" s="975"/>
      <c r="G121" s="975"/>
      <c r="H121" s="975"/>
      <c r="I121" s="975"/>
      <c r="J121" s="975"/>
      <c r="K121" s="975"/>
      <c r="L121" s="975"/>
      <c r="M121" s="975"/>
      <c r="N121" s="975"/>
      <c r="O121" s="975"/>
      <c r="P121" s="975"/>
      <c r="Q121" s="975"/>
      <c r="R121" s="975"/>
      <c r="S121" s="975"/>
      <c r="T121" s="975"/>
      <c r="U121" s="975"/>
    </row>
    <row r="122" spans="2:21">
      <c r="B122" s="984">
        <v>4.8</v>
      </c>
      <c r="C122" s="979" t="s">
        <v>1285</v>
      </c>
      <c r="D122" s="975"/>
      <c r="E122" s="975"/>
      <c r="F122" s="975"/>
      <c r="G122" s="975"/>
      <c r="H122" s="975"/>
      <c r="I122" s="975"/>
      <c r="J122" s="975"/>
      <c r="K122" s="975"/>
      <c r="L122" s="975"/>
      <c r="M122" s="975"/>
      <c r="N122" s="975"/>
      <c r="O122" s="975"/>
      <c r="P122" s="975"/>
      <c r="Q122" s="975"/>
      <c r="R122" s="975"/>
      <c r="S122" s="975"/>
      <c r="T122" s="975"/>
      <c r="U122" s="975"/>
    </row>
    <row r="123" spans="2:21">
      <c r="B123" s="984">
        <v>4.9000000000000004</v>
      </c>
      <c r="C123" s="979" t="s">
        <v>1286</v>
      </c>
      <c r="D123" s="975"/>
      <c r="E123" s="975"/>
      <c r="F123" s="975"/>
      <c r="G123" s="975"/>
      <c r="H123" s="975"/>
      <c r="I123" s="975"/>
      <c r="J123" s="975"/>
      <c r="K123" s="975"/>
      <c r="L123" s="975"/>
      <c r="M123" s="975"/>
      <c r="N123" s="975"/>
      <c r="O123" s="975"/>
      <c r="P123" s="975"/>
      <c r="Q123" s="975"/>
      <c r="R123" s="975"/>
      <c r="S123" s="975"/>
      <c r="T123" s="975"/>
      <c r="U123" s="975"/>
    </row>
    <row r="124" spans="2:21">
      <c r="B124" s="992">
        <v>4.0999999999999996</v>
      </c>
      <c r="C124" s="979" t="s">
        <v>1287</v>
      </c>
      <c r="D124" s="975"/>
      <c r="E124" s="975"/>
      <c r="F124" s="975"/>
      <c r="G124" s="975"/>
      <c r="H124" s="975"/>
      <c r="I124" s="975"/>
      <c r="J124" s="975"/>
      <c r="K124" s="975"/>
      <c r="L124" s="975"/>
      <c r="M124" s="975"/>
      <c r="N124" s="975"/>
      <c r="O124" s="975"/>
      <c r="P124" s="975"/>
      <c r="Q124" s="975"/>
      <c r="R124" s="975"/>
      <c r="S124" s="975"/>
      <c r="T124" s="975"/>
      <c r="U124" s="975"/>
    </row>
    <row r="125" spans="2:21">
      <c r="B125" s="992">
        <v>4.1100000000000003</v>
      </c>
      <c r="C125" s="979" t="s">
        <v>1288</v>
      </c>
      <c r="D125" s="975"/>
      <c r="E125" s="975"/>
      <c r="F125" s="975"/>
      <c r="G125" s="975"/>
      <c r="H125" s="975"/>
      <c r="I125" s="975"/>
      <c r="J125" s="975"/>
      <c r="K125" s="975"/>
      <c r="L125" s="975"/>
      <c r="M125" s="975"/>
      <c r="N125" s="975"/>
      <c r="O125" s="975"/>
      <c r="P125" s="975"/>
      <c r="Q125" s="975"/>
      <c r="R125" s="975"/>
      <c r="S125" s="975"/>
      <c r="T125" s="975"/>
      <c r="U125" s="975"/>
    </row>
    <row r="126" spans="2:21">
      <c r="B126" s="992">
        <v>4.12</v>
      </c>
      <c r="C126" s="985" t="s">
        <v>1289</v>
      </c>
      <c r="D126" s="975"/>
      <c r="E126" s="975"/>
      <c r="F126" s="975"/>
      <c r="G126" s="975"/>
      <c r="H126" s="975"/>
      <c r="I126" s="975"/>
      <c r="J126" s="975"/>
      <c r="K126" s="975"/>
      <c r="L126" s="975"/>
      <c r="M126" s="975"/>
      <c r="N126" s="975"/>
      <c r="O126" s="975"/>
      <c r="P126" s="975"/>
      <c r="Q126" s="975"/>
      <c r="R126" s="975"/>
      <c r="S126" s="975"/>
      <c r="T126" s="975"/>
      <c r="U126" s="975"/>
    </row>
    <row r="127" spans="2:21">
      <c r="B127" s="992">
        <v>4.13</v>
      </c>
      <c r="C127" s="979" t="s">
        <v>1290</v>
      </c>
      <c r="D127" s="975"/>
      <c r="E127" s="975"/>
      <c r="F127" s="975"/>
      <c r="G127" s="975"/>
      <c r="H127" s="975"/>
      <c r="I127" s="975"/>
      <c r="J127" s="975"/>
      <c r="K127" s="975"/>
      <c r="L127" s="975"/>
      <c r="M127" s="975"/>
      <c r="N127" s="975"/>
      <c r="O127" s="975"/>
      <c r="P127" s="975"/>
      <c r="Q127" s="975"/>
      <c r="R127" s="975"/>
      <c r="S127" s="975"/>
      <c r="T127" s="975"/>
      <c r="U127" s="975"/>
    </row>
    <row r="128" spans="2:21">
      <c r="B128" s="992">
        <v>4.1399999999999997</v>
      </c>
      <c r="C128" s="979" t="s">
        <v>1291</v>
      </c>
      <c r="D128" s="975"/>
      <c r="E128" s="975"/>
      <c r="F128" s="975"/>
      <c r="G128" s="975"/>
      <c r="H128" s="975"/>
      <c r="I128" s="975"/>
      <c r="J128" s="975"/>
      <c r="K128" s="975"/>
      <c r="L128" s="975"/>
      <c r="M128" s="975"/>
      <c r="N128" s="975"/>
      <c r="O128" s="975"/>
      <c r="P128" s="975"/>
      <c r="Q128" s="975"/>
      <c r="R128" s="975"/>
      <c r="S128" s="975"/>
      <c r="T128" s="975"/>
      <c r="U128" s="975"/>
    </row>
    <row r="129" spans="2:21">
      <c r="B129" s="992">
        <v>4.1500000000000004</v>
      </c>
      <c r="C129" s="979" t="s">
        <v>1292</v>
      </c>
      <c r="D129" s="975"/>
      <c r="E129" s="975"/>
      <c r="F129" s="975"/>
      <c r="G129" s="975"/>
      <c r="H129" s="975"/>
      <c r="I129" s="975"/>
      <c r="J129" s="975"/>
      <c r="K129" s="975"/>
      <c r="L129" s="975"/>
      <c r="M129" s="975"/>
      <c r="N129" s="975"/>
      <c r="O129" s="975"/>
      <c r="P129" s="975"/>
      <c r="Q129" s="975"/>
      <c r="R129" s="975"/>
      <c r="S129" s="975"/>
      <c r="T129" s="975"/>
      <c r="U129" s="975"/>
    </row>
    <row r="130" spans="2:21">
      <c r="B130" s="992">
        <v>4.16</v>
      </c>
      <c r="C130" s="979" t="s">
        <v>1293</v>
      </c>
      <c r="D130" s="975"/>
      <c r="E130" s="975"/>
      <c r="F130" s="975"/>
      <c r="G130" s="975"/>
      <c r="H130" s="975"/>
      <c r="I130" s="975"/>
      <c r="J130" s="975"/>
      <c r="K130" s="975"/>
      <c r="L130" s="975"/>
      <c r="M130" s="975"/>
      <c r="N130" s="975"/>
      <c r="O130" s="975"/>
      <c r="P130" s="975"/>
      <c r="Q130" s="975"/>
      <c r="R130" s="975"/>
      <c r="S130" s="975"/>
      <c r="T130" s="975"/>
      <c r="U130" s="975"/>
    </row>
    <row r="131" spans="2:21">
      <c r="B131" s="992">
        <v>4.17</v>
      </c>
      <c r="C131" s="979" t="s">
        <v>251</v>
      </c>
      <c r="D131" s="975"/>
      <c r="E131" s="975"/>
      <c r="F131" s="975"/>
      <c r="G131" s="975"/>
      <c r="H131" s="975"/>
      <c r="I131" s="975"/>
      <c r="J131" s="975"/>
      <c r="K131" s="975"/>
      <c r="L131" s="975"/>
      <c r="M131" s="975"/>
      <c r="N131" s="975"/>
      <c r="O131" s="975"/>
      <c r="P131" s="975"/>
      <c r="Q131" s="975"/>
      <c r="R131" s="975"/>
      <c r="S131" s="975"/>
      <c r="T131" s="975"/>
      <c r="U131" s="975"/>
    </row>
    <row r="132" spans="2:21" s="976" customFormat="1">
      <c r="B132" s="993"/>
      <c r="C132" s="982" t="s">
        <v>1294</v>
      </c>
      <c r="D132" s="975"/>
      <c r="E132" s="975"/>
      <c r="F132" s="975"/>
      <c r="G132" s="975"/>
      <c r="H132" s="975"/>
      <c r="I132" s="975"/>
      <c r="J132" s="975"/>
      <c r="K132" s="975"/>
      <c r="L132" s="975"/>
      <c r="M132" s="975"/>
      <c r="N132" s="975"/>
      <c r="O132" s="975"/>
      <c r="P132" s="975"/>
      <c r="Q132" s="975"/>
      <c r="R132" s="975"/>
      <c r="S132" s="975"/>
      <c r="T132" s="975"/>
      <c r="U132" s="975"/>
    </row>
    <row r="133" spans="2:21">
      <c r="B133" s="992"/>
      <c r="C133" s="979"/>
      <c r="D133" s="975"/>
      <c r="E133" s="975"/>
      <c r="F133" s="975"/>
      <c r="G133" s="975"/>
      <c r="H133" s="975"/>
      <c r="I133" s="975"/>
      <c r="J133" s="975"/>
      <c r="K133" s="975"/>
      <c r="L133" s="975"/>
      <c r="M133" s="975"/>
      <c r="N133" s="975"/>
      <c r="O133" s="975"/>
      <c r="P133" s="975"/>
      <c r="Q133" s="975"/>
      <c r="R133" s="975"/>
      <c r="S133" s="975"/>
      <c r="T133" s="975"/>
      <c r="U133" s="975"/>
    </row>
    <row r="134" spans="2:21" s="976" customFormat="1">
      <c r="B134" s="983">
        <v>5</v>
      </c>
      <c r="C134" s="990" t="s">
        <v>1295</v>
      </c>
      <c r="D134" s="975"/>
      <c r="E134" s="975"/>
      <c r="F134" s="975"/>
      <c r="G134" s="975"/>
      <c r="H134" s="975"/>
      <c r="I134" s="975"/>
      <c r="J134" s="975"/>
      <c r="K134" s="975"/>
      <c r="L134" s="975"/>
      <c r="M134" s="975"/>
      <c r="N134" s="975"/>
      <c r="O134" s="975"/>
      <c r="P134" s="975"/>
      <c r="Q134" s="975"/>
      <c r="R134" s="975"/>
      <c r="S134" s="975"/>
      <c r="T134" s="975"/>
      <c r="U134" s="975"/>
    </row>
    <row r="135" spans="2:21">
      <c r="B135" s="984">
        <v>5.0999999999999996</v>
      </c>
      <c r="C135" s="979" t="s">
        <v>1296</v>
      </c>
      <c r="D135" s="975"/>
      <c r="E135" s="975"/>
      <c r="F135" s="975"/>
      <c r="G135" s="975"/>
      <c r="H135" s="975"/>
      <c r="I135" s="975"/>
      <c r="J135" s="975"/>
      <c r="K135" s="975"/>
      <c r="L135" s="975"/>
      <c r="M135" s="975"/>
      <c r="N135" s="975"/>
      <c r="O135" s="975"/>
      <c r="P135" s="975"/>
      <c r="Q135" s="975"/>
      <c r="R135" s="975"/>
      <c r="S135" s="975"/>
      <c r="T135" s="975"/>
      <c r="U135" s="975"/>
    </row>
    <row r="136" spans="2:21">
      <c r="B136" s="984">
        <v>5.2</v>
      </c>
      <c r="C136" s="979" t="s">
        <v>1297</v>
      </c>
      <c r="D136" s="975"/>
      <c r="E136" s="975"/>
      <c r="F136" s="975"/>
      <c r="G136" s="975"/>
      <c r="H136" s="975"/>
      <c r="I136" s="975"/>
      <c r="J136" s="975"/>
      <c r="K136" s="975"/>
      <c r="L136" s="975"/>
      <c r="M136" s="975"/>
      <c r="N136" s="975"/>
      <c r="O136" s="975"/>
      <c r="P136" s="975"/>
      <c r="Q136" s="975"/>
      <c r="R136" s="975"/>
      <c r="S136" s="975"/>
      <c r="T136" s="975"/>
      <c r="U136" s="975"/>
    </row>
    <row r="137" spans="2:21">
      <c r="B137" s="984">
        <v>5.3</v>
      </c>
      <c r="C137" s="979" t="s">
        <v>1298</v>
      </c>
      <c r="D137" s="975"/>
      <c r="E137" s="975"/>
      <c r="F137" s="975"/>
      <c r="G137" s="975"/>
      <c r="H137" s="975"/>
      <c r="I137" s="975"/>
      <c r="J137" s="975"/>
      <c r="K137" s="975"/>
      <c r="L137" s="975"/>
      <c r="M137" s="975"/>
      <c r="N137" s="975"/>
      <c r="O137" s="975"/>
      <c r="P137" s="975"/>
      <c r="Q137" s="975"/>
      <c r="R137" s="975"/>
      <c r="S137" s="975"/>
      <c r="T137" s="975"/>
      <c r="U137" s="975"/>
    </row>
    <row r="138" spans="2:21">
      <c r="B138" s="984">
        <v>5.4</v>
      </c>
      <c r="C138" s="979" t="s">
        <v>1299</v>
      </c>
      <c r="D138" s="975"/>
      <c r="E138" s="975"/>
      <c r="F138" s="975"/>
      <c r="G138" s="975"/>
      <c r="H138" s="975"/>
      <c r="I138" s="975"/>
      <c r="J138" s="975"/>
      <c r="K138" s="975"/>
      <c r="L138" s="975"/>
      <c r="M138" s="975"/>
      <c r="N138" s="975"/>
      <c r="O138" s="975"/>
      <c r="P138" s="975"/>
      <c r="Q138" s="975"/>
      <c r="R138" s="975"/>
      <c r="S138" s="975"/>
      <c r="T138" s="975"/>
      <c r="U138" s="975"/>
    </row>
    <row r="139" spans="2:21">
      <c r="B139" s="984">
        <v>5.5</v>
      </c>
      <c r="C139" s="979" t="s">
        <v>1300</v>
      </c>
      <c r="D139" s="975"/>
      <c r="E139" s="975"/>
      <c r="F139" s="975"/>
      <c r="G139" s="975"/>
      <c r="H139" s="975"/>
      <c r="I139" s="975"/>
      <c r="J139" s="975"/>
      <c r="K139" s="975"/>
      <c r="L139" s="975"/>
      <c r="M139" s="975"/>
      <c r="N139" s="975"/>
      <c r="O139" s="975"/>
      <c r="P139" s="975"/>
      <c r="Q139" s="975"/>
      <c r="R139" s="975"/>
      <c r="S139" s="975"/>
      <c r="T139" s="975"/>
      <c r="U139" s="975"/>
    </row>
    <row r="140" spans="2:21">
      <c r="B140" s="984">
        <v>5.6</v>
      </c>
      <c r="C140" s="979" t="s">
        <v>1301</v>
      </c>
      <c r="D140" s="975"/>
      <c r="E140" s="975"/>
      <c r="F140" s="975"/>
      <c r="G140" s="975"/>
      <c r="H140" s="975"/>
      <c r="I140" s="975"/>
      <c r="J140" s="975"/>
      <c r="K140" s="975"/>
      <c r="L140" s="975"/>
      <c r="M140" s="975"/>
      <c r="N140" s="975"/>
      <c r="O140" s="975"/>
      <c r="P140" s="975"/>
      <c r="Q140" s="975"/>
      <c r="R140" s="975"/>
      <c r="S140" s="975"/>
      <c r="T140" s="975"/>
      <c r="U140" s="975"/>
    </row>
    <row r="141" spans="2:21" s="976" customFormat="1">
      <c r="B141" s="983">
        <v>5.7</v>
      </c>
      <c r="C141" s="990" t="s">
        <v>1302</v>
      </c>
      <c r="D141" s="975"/>
      <c r="E141" s="975"/>
      <c r="F141" s="975"/>
      <c r="G141" s="975"/>
      <c r="H141" s="975"/>
      <c r="I141" s="975"/>
      <c r="J141" s="975"/>
      <c r="K141" s="975"/>
      <c r="L141" s="975"/>
      <c r="M141" s="975"/>
      <c r="N141" s="975"/>
      <c r="O141" s="975"/>
      <c r="P141" s="975"/>
      <c r="Q141" s="975"/>
      <c r="R141" s="975"/>
      <c r="S141" s="975"/>
      <c r="T141" s="975"/>
      <c r="U141" s="975"/>
    </row>
    <row r="142" spans="2:21" s="976" customFormat="1">
      <c r="B142" s="983"/>
      <c r="C142" s="990"/>
      <c r="D142" s="975"/>
      <c r="E142" s="975"/>
      <c r="F142" s="975"/>
      <c r="G142" s="975"/>
      <c r="H142" s="975"/>
      <c r="I142" s="975"/>
      <c r="J142" s="975"/>
      <c r="K142" s="975"/>
      <c r="L142" s="975"/>
      <c r="M142" s="975"/>
      <c r="N142" s="975"/>
      <c r="O142" s="975"/>
      <c r="P142" s="975"/>
      <c r="Q142" s="975"/>
      <c r="R142" s="975"/>
      <c r="S142" s="975"/>
      <c r="T142" s="975"/>
      <c r="U142" s="975"/>
    </row>
    <row r="143" spans="2:21" s="976" customFormat="1">
      <c r="B143" s="983">
        <v>6</v>
      </c>
      <c r="C143" s="982" t="s">
        <v>1303</v>
      </c>
      <c r="D143" s="975"/>
      <c r="E143" s="975"/>
      <c r="F143" s="975"/>
      <c r="G143" s="975"/>
      <c r="H143" s="975"/>
      <c r="I143" s="975"/>
      <c r="J143" s="975"/>
      <c r="K143" s="975"/>
      <c r="L143" s="975"/>
      <c r="M143" s="975"/>
      <c r="N143" s="975"/>
      <c r="O143" s="975"/>
      <c r="P143" s="975"/>
      <c r="Q143" s="975"/>
      <c r="R143" s="975"/>
      <c r="S143" s="975"/>
      <c r="T143" s="975"/>
      <c r="U143" s="975"/>
    </row>
    <row r="144" spans="2:21">
      <c r="B144" s="984">
        <v>6.1</v>
      </c>
      <c r="C144" s="979" t="s">
        <v>1304</v>
      </c>
      <c r="D144" s="975"/>
      <c r="E144" s="975"/>
      <c r="F144" s="975"/>
      <c r="G144" s="975"/>
      <c r="H144" s="975"/>
      <c r="I144" s="975"/>
      <c r="J144" s="975"/>
      <c r="K144" s="975"/>
      <c r="L144" s="975"/>
      <c r="M144" s="975"/>
      <c r="N144" s="975"/>
      <c r="O144" s="975"/>
      <c r="P144" s="975"/>
      <c r="Q144" s="975"/>
      <c r="R144" s="975"/>
      <c r="S144" s="975"/>
      <c r="T144" s="975"/>
      <c r="U144" s="975"/>
    </row>
    <row r="145" spans="2:21">
      <c r="B145" s="989">
        <v>6.2</v>
      </c>
      <c r="C145" s="985" t="s">
        <v>1305</v>
      </c>
      <c r="D145" s="975"/>
      <c r="E145" s="975"/>
      <c r="F145" s="975"/>
      <c r="G145" s="975"/>
      <c r="H145" s="975"/>
      <c r="I145" s="975"/>
      <c r="J145" s="975"/>
      <c r="K145" s="975"/>
      <c r="L145" s="975"/>
      <c r="M145" s="975"/>
      <c r="N145" s="975"/>
      <c r="O145" s="975"/>
      <c r="P145" s="975"/>
      <c r="Q145" s="975"/>
      <c r="R145" s="975"/>
      <c r="S145" s="975"/>
      <c r="T145" s="975"/>
      <c r="U145" s="975"/>
    </row>
    <row r="146" spans="2:21">
      <c r="B146" s="984">
        <v>6.3</v>
      </c>
      <c r="C146" s="979" t="s">
        <v>1306</v>
      </c>
      <c r="D146" s="975"/>
      <c r="E146" s="975"/>
      <c r="F146" s="975"/>
      <c r="G146" s="975"/>
      <c r="H146" s="975"/>
      <c r="I146" s="975"/>
      <c r="J146" s="975"/>
      <c r="K146" s="975"/>
      <c r="L146" s="975"/>
      <c r="M146" s="975"/>
      <c r="N146" s="975"/>
      <c r="O146" s="975"/>
      <c r="P146" s="975"/>
      <c r="Q146" s="975"/>
      <c r="R146" s="975"/>
      <c r="S146" s="975"/>
      <c r="T146" s="975"/>
      <c r="U146" s="975"/>
    </row>
    <row r="147" spans="2:21">
      <c r="B147" s="989">
        <v>6.4</v>
      </c>
      <c r="C147" s="979" t="s">
        <v>1307</v>
      </c>
      <c r="D147" s="975"/>
      <c r="E147" s="975"/>
      <c r="F147" s="975"/>
      <c r="G147" s="975"/>
      <c r="H147" s="975"/>
      <c r="I147" s="975"/>
      <c r="J147" s="975"/>
      <c r="K147" s="975"/>
      <c r="L147" s="975"/>
      <c r="M147" s="975"/>
      <c r="N147" s="975"/>
      <c r="O147" s="975"/>
      <c r="P147" s="975"/>
      <c r="Q147" s="975"/>
      <c r="R147" s="975"/>
      <c r="S147" s="975"/>
      <c r="T147" s="975"/>
      <c r="U147" s="975"/>
    </row>
    <row r="148" spans="2:21" s="976" customFormat="1">
      <c r="B148" s="983">
        <v>6.5</v>
      </c>
      <c r="C148" s="982" t="s">
        <v>1308</v>
      </c>
      <c r="D148" s="975"/>
      <c r="E148" s="975"/>
      <c r="F148" s="975"/>
      <c r="G148" s="975"/>
      <c r="H148" s="975"/>
      <c r="I148" s="975"/>
      <c r="J148" s="975"/>
      <c r="K148" s="975"/>
      <c r="L148" s="975"/>
      <c r="M148" s="975"/>
      <c r="N148" s="975"/>
      <c r="O148" s="975"/>
      <c r="P148" s="975"/>
      <c r="Q148" s="975"/>
      <c r="R148" s="975"/>
      <c r="S148" s="975"/>
      <c r="T148" s="975"/>
      <c r="U148" s="975"/>
    </row>
    <row r="149" spans="2:21" s="976" customFormat="1">
      <c r="B149" s="983"/>
      <c r="C149" s="982"/>
      <c r="D149" s="975"/>
      <c r="E149" s="975"/>
      <c r="F149" s="975"/>
      <c r="G149" s="975"/>
      <c r="H149" s="975"/>
      <c r="I149" s="975"/>
      <c r="J149" s="975"/>
      <c r="K149" s="975"/>
      <c r="L149" s="975"/>
      <c r="M149" s="975"/>
      <c r="N149" s="975"/>
      <c r="O149" s="975"/>
      <c r="P149" s="975"/>
      <c r="Q149" s="975"/>
      <c r="R149" s="975"/>
      <c r="S149" s="975"/>
      <c r="T149" s="975"/>
      <c r="U149" s="975"/>
    </row>
    <row r="150" spans="2:21" s="976" customFormat="1">
      <c r="B150" s="983">
        <v>7</v>
      </c>
      <c r="C150" s="982" t="s">
        <v>1309</v>
      </c>
      <c r="D150" s="975"/>
      <c r="E150" s="975"/>
      <c r="F150" s="975"/>
      <c r="G150" s="975"/>
      <c r="H150" s="975"/>
      <c r="I150" s="975"/>
      <c r="J150" s="975"/>
      <c r="K150" s="975"/>
      <c r="L150" s="975"/>
      <c r="M150" s="975"/>
      <c r="N150" s="975"/>
      <c r="O150" s="975"/>
      <c r="P150" s="975"/>
      <c r="Q150" s="975"/>
      <c r="R150" s="975"/>
      <c r="S150" s="975"/>
      <c r="T150" s="975"/>
      <c r="U150" s="975"/>
    </row>
    <row r="151" spans="2:21" s="976" customFormat="1" ht="18" customHeight="1">
      <c r="B151" s="989">
        <v>7.1</v>
      </c>
      <c r="C151" s="979" t="s">
        <v>1310</v>
      </c>
      <c r="D151" s="975"/>
      <c r="E151" s="975"/>
      <c r="F151" s="975"/>
      <c r="G151" s="975"/>
      <c r="H151" s="975"/>
      <c r="I151" s="975"/>
      <c r="J151" s="975"/>
      <c r="K151" s="975"/>
      <c r="L151" s="975"/>
      <c r="M151" s="975"/>
      <c r="N151" s="975"/>
      <c r="O151" s="975"/>
      <c r="P151" s="975"/>
      <c r="Q151" s="975"/>
      <c r="R151" s="975"/>
      <c r="S151" s="975"/>
      <c r="T151" s="975"/>
      <c r="U151" s="975"/>
    </row>
    <row r="152" spans="2:21">
      <c r="B152" s="989">
        <v>7.2</v>
      </c>
      <c r="C152" s="985" t="s">
        <v>1311</v>
      </c>
      <c r="D152" s="975"/>
      <c r="E152" s="975"/>
      <c r="F152" s="975"/>
      <c r="G152" s="975"/>
      <c r="H152" s="975"/>
      <c r="I152" s="975"/>
      <c r="J152" s="975"/>
      <c r="K152" s="975"/>
      <c r="L152" s="975"/>
      <c r="M152" s="975"/>
      <c r="N152" s="975"/>
      <c r="O152" s="975"/>
      <c r="P152" s="975"/>
      <c r="Q152" s="975"/>
      <c r="R152" s="975"/>
      <c r="S152" s="975"/>
      <c r="T152" s="975"/>
      <c r="U152" s="975"/>
    </row>
    <row r="153" spans="2:21">
      <c r="B153" s="989"/>
      <c r="C153" s="985"/>
      <c r="D153" s="975"/>
      <c r="E153" s="975"/>
      <c r="F153" s="975"/>
      <c r="G153" s="975"/>
      <c r="H153" s="975"/>
      <c r="I153" s="975"/>
      <c r="J153" s="975"/>
      <c r="K153" s="975"/>
      <c r="L153" s="975"/>
      <c r="M153" s="975"/>
      <c r="N153" s="975"/>
      <c r="O153" s="975"/>
      <c r="P153" s="975"/>
      <c r="Q153" s="975"/>
      <c r="R153" s="975"/>
      <c r="S153" s="975"/>
      <c r="T153" s="975"/>
      <c r="U153" s="975"/>
    </row>
    <row r="154" spans="2:21" s="976" customFormat="1">
      <c r="B154" s="983">
        <v>8</v>
      </c>
      <c r="C154" s="982" t="s">
        <v>1312</v>
      </c>
      <c r="D154" s="975"/>
      <c r="E154" s="975"/>
      <c r="F154" s="975"/>
      <c r="G154" s="975"/>
      <c r="H154" s="975"/>
      <c r="I154" s="975"/>
      <c r="J154" s="975"/>
      <c r="K154" s="975"/>
      <c r="L154" s="975"/>
      <c r="M154" s="975"/>
      <c r="N154" s="975"/>
      <c r="O154" s="975"/>
      <c r="P154" s="975"/>
      <c r="Q154" s="975"/>
      <c r="R154" s="975"/>
      <c r="S154" s="975"/>
      <c r="T154" s="975"/>
      <c r="U154" s="975"/>
    </row>
    <row r="155" spans="2:21">
      <c r="L155" s="994"/>
    </row>
  </sheetData>
  <mergeCells count="10">
    <mergeCell ref="B6:B9"/>
    <mergeCell ref="C6:C9"/>
    <mergeCell ref="D6:S6"/>
    <mergeCell ref="T6:T8"/>
    <mergeCell ref="U6:U9"/>
    <mergeCell ref="D7:G7"/>
    <mergeCell ref="H7:J7"/>
    <mergeCell ref="K7:M7"/>
    <mergeCell ref="N7:P7"/>
    <mergeCell ref="Q7:S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N76"/>
  <sheetViews>
    <sheetView workbookViewId="0">
      <selection activeCell="H4" sqref="H4"/>
    </sheetView>
  </sheetViews>
  <sheetFormatPr defaultColWidth="9.08984375" defaultRowHeight="14"/>
  <cols>
    <col min="1" max="1" width="4.6328125" style="995" customWidth="1"/>
    <col min="2" max="2" width="9.08984375" style="995" customWidth="1"/>
    <col min="3" max="12" width="16.54296875" style="995" customWidth="1"/>
    <col min="13" max="13" width="16.54296875" style="997" customWidth="1"/>
    <col min="14" max="14" width="23.08984375" style="995" customWidth="1"/>
    <col min="15" max="256" width="9.08984375" style="995"/>
    <col min="257" max="257" width="4.6328125" style="995" customWidth="1"/>
    <col min="258" max="258" width="10.54296875" style="995" customWidth="1"/>
    <col min="259" max="259" width="49.08984375" style="995" customWidth="1"/>
    <col min="260" max="260" width="68.54296875" style="995" customWidth="1"/>
    <col min="261" max="261" width="35.453125" style="995" customWidth="1"/>
    <col min="262" max="262" width="21" style="995" customWidth="1"/>
    <col min="263" max="263" width="28.453125" style="995" customWidth="1"/>
    <col min="264" max="264" width="30.6328125" style="995" customWidth="1"/>
    <col min="265" max="265" width="29.54296875" style="995" customWidth="1"/>
    <col min="266" max="266" width="33.54296875" style="995" customWidth="1"/>
    <col min="267" max="267" width="26.54296875" style="995" customWidth="1"/>
    <col min="268" max="268" width="31.54296875" style="995" customWidth="1"/>
    <col min="269" max="269" width="34.36328125" style="995" customWidth="1"/>
    <col min="270" max="270" width="45.08984375" style="995" customWidth="1"/>
    <col min="271" max="512" width="9.08984375" style="995"/>
    <col min="513" max="513" width="4.6328125" style="995" customWidth="1"/>
    <col min="514" max="514" width="10.54296875" style="995" customWidth="1"/>
    <col min="515" max="515" width="49.08984375" style="995" customWidth="1"/>
    <col min="516" max="516" width="68.54296875" style="995" customWidth="1"/>
    <col min="517" max="517" width="35.453125" style="995" customWidth="1"/>
    <col min="518" max="518" width="21" style="995" customWidth="1"/>
    <col min="519" max="519" width="28.453125" style="995" customWidth="1"/>
    <col min="520" max="520" width="30.6328125" style="995" customWidth="1"/>
    <col min="521" max="521" width="29.54296875" style="995" customWidth="1"/>
    <col min="522" max="522" width="33.54296875" style="995" customWidth="1"/>
    <col min="523" max="523" width="26.54296875" style="995" customWidth="1"/>
    <col min="524" max="524" width="31.54296875" style="995" customWidth="1"/>
    <col min="525" max="525" width="34.36328125" style="995" customWidth="1"/>
    <col min="526" max="526" width="45.08984375" style="995" customWidth="1"/>
    <col min="527" max="768" width="9.08984375" style="995"/>
    <col min="769" max="769" width="4.6328125" style="995" customWidth="1"/>
    <col min="770" max="770" width="10.54296875" style="995" customWidth="1"/>
    <col min="771" max="771" width="49.08984375" style="995" customWidth="1"/>
    <col min="772" max="772" width="68.54296875" style="995" customWidth="1"/>
    <col min="773" max="773" width="35.453125" style="995" customWidth="1"/>
    <col min="774" max="774" width="21" style="995" customWidth="1"/>
    <col min="775" max="775" width="28.453125" style="995" customWidth="1"/>
    <col min="776" max="776" width="30.6328125" style="995" customWidth="1"/>
    <col min="777" max="777" width="29.54296875" style="995" customWidth="1"/>
    <col min="778" max="778" width="33.54296875" style="995" customWidth="1"/>
    <col min="779" max="779" width="26.54296875" style="995" customWidth="1"/>
    <col min="780" max="780" width="31.54296875" style="995" customWidth="1"/>
    <col min="781" max="781" width="34.36328125" style="995" customWidth="1"/>
    <col min="782" max="782" width="45.08984375" style="995" customWidth="1"/>
    <col min="783" max="1024" width="9.08984375" style="995"/>
    <col min="1025" max="1025" width="4.6328125" style="995" customWidth="1"/>
    <col min="1026" max="1026" width="10.54296875" style="995" customWidth="1"/>
    <col min="1027" max="1027" width="49.08984375" style="995" customWidth="1"/>
    <col min="1028" max="1028" width="68.54296875" style="995" customWidth="1"/>
    <col min="1029" max="1029" width="35.453125" style="995" customWidth="1"/>
    <col min="1030" max="1030" width="21" style="995" customWidth="1"/>
    <col min="1031" max="1031" width="28.453125" style="995" customWidth="1"/>
    <col min="1032" max="1032" width="30.6328125" style="995" customWidth="1"/>
    <col min="1033" max="1033" width="29.54296875" style="995" customWidth="1"/>
    <col min="1034" max="1034" width="33.54296875" style="995" customWidth="1"/>
    <col min="1035" max="1035" width="26.54296875" style="995" customWidth="1"/>
    <col min="1036" max="1036" width="31.54296875" style="995" customWidth="1"/>
    <col min="1037" max="1037" width="34.36328125" style="995" customWidth="1"/>
    <col min="1038" max="1038" width="45.08984375" style="995" customWidth="1"/>
    <col min="1039" max="1280" width="9.08984375" style="995"/>
    <col min="1281" max="1281" width="4.6328125" style="995" customWidth="1"/>
    <col min="1282" max="1282" width="10.54296875" style="995" customWidth="1"/>
    <col min="1283" max="1283" width="49.08984375" style="995" customWidth="1"/>
    <col min="1284" max="1284" width="68.54296875" style="995" customWidth="1"/>
    <col min="1285" max="1285" width="35.453125" style="995" customWidth="1"/>
    <col min="1286" max="1286" width="21" style="995" customWidth="1"/>
    <col min="1287" max="1287" width="28.453125" style="995" customWidth="1"/>
    <col min="1288" max="1288" width="30.6328125" style="995" customWidth="1"/>
    <col min="1289" max="1289" width="29.54296875" style="995" customWidth="1"/>
    <col min="1290" max="1290" width="33.54296875" style="995" customWidth="1"/>
    <col min="1291" max="1291" width="26.54296875" style="995" customWidth="1"/>
    <col min="1292" max="1292" width="31.54296875" style="995" customWidth="1"/>
    <col min="1293" max="1293" width="34.36328125" style="995" customWidth="1"/>
    <col min="1294" max="1294" width="45.08984375" style="995" customWidth="1"/>
    <col min="1295" max="1536" width="9.08984375" style="995"/>
    <col min="1537" max="1537" width="4.6328125" style="995" customWidth="1"/>
    <col min="1538" max="1538" width="10.54296875" style="995" customWidth="1"/>
    <col min="1539" max="1539" width="49.08984375" style="995" customWidth="1"/>
    <col min="1540" max="1540" width="68.54296875" style="995" customWidth="1"/>
    <col min="1541" max="1541" width="35.453125" style="995" customWidth="1"/>
    <col min="1542" max="1542" width="21" style="995" customWidth="1"/>
    <col min="1543" max="1543" width="28.453125" style="995" customWidth="1"/>
    <col min="1544" max="1544" width="30.6328125" style="995" customWidth="1"/>
    <col min="1545" max="1545" width="29.54296875" style="995" customWidth="1"/>
    <col min="1546" max="1546" width="33.54296875" style="995" customWidth="1"/>
    <col min="1547" max="1547" width="26.54296875" style="995" customWidth="1"/>
    <col min="1548" max="1548" width="31.54296875" style="995" customWidth="1"/>
    <col min="1549" max="1549" width="34.36328125" style="995" customWidth="1"/>
    <col min="1550" max="1550" width="45.08984375" style="995" customWidth="1"/>
    <col min="1551" max="1792" width="9.08984375" style="995"/>
    <col min="1793" max="1793" width="4.6328125" style="995" customWidth="1"/>
    <col min="1794" max="1794" width="10.54296875" style="995" customWidth="1"/>
    <col min="1795" max="1795" width="49.08984375" style="995" customWidth="1"/>
    <col min="1796" max="1796" width="68.54296875" style="995" customWidth="1"/>
    <col min="1797" max="1797" width="35.453125" style="995" customWidth="1"/>
    <col min="1798" max="1798" width="21" style="995" customWidth="1"/>
    <col min="1799" max="1799" width="28.453125" style="995" customWidth="1"/>
    <col min="1800" max="1800" width="30.6328125" style="995" customWidth="1"/>
    <col min="1801" max="1801" width="29.54296875" style="995" customWidth="1"/>
    <col min="1802" max="1802" width="33.54296875" style="995" customWidth="1"/>
    <col min="1803" max="1803" width="26.54296875" style="995" customWidth="1"/>
    <col min="1804" max="1804" width="31.54296875" style="995" customWidth="1"/>
    <col min="1805" max="1805" width="34.36328125" style="995" customWidth="1"/>
    <col min="1806" max="1806" width="45.08984375" style="995" customWidth="1"/>
    <col min="1807" max="2048" width="9.08984375" style="995"/>
    <col min="2049" max="2049" width="4.6328125" style="995" customWidth="1"/>
    <col min="2050" max="2050" width="10.54296875" style="995" customWidth="1"/>
    <col min="2051" max="2051" width="49.08984375" style="995" customWidth="1"/>
    <col min="2052" max="2052" width="68.54296875" style="995" customWidth="1"/>
    <col min="2053" max="2053" width="35.453125" style="995" customWidth="1"/>
    <col min="2054" max="2054" width="21" style="995" customWidth="1"/>
    <col min="2055" max="2055" width="28.453125" style="995" customWidth="1"/>
    <col min="2056" max="2056" width="30.6328125" style="995" customWidth="1"/>
    <col min="2057" max="2057" width="29.54296875" style="995" customWidth="1"/>
    <col min="2058" max="2058" width="33.54296875" style="995" customWidth="1"/>
    <col min="2059" max="2059" width="26.54296875" style="995" customWidth="1"/>
    <col min="2060" max="2060" width="31.54296875" style="995" customWidth="1"/>
    <col min="2061" max="2061" width="34.36328125" style="995" customWidth="1"/>
    <col min="2062" max="2062" width="45.08984375" style="995" customWidth="1"/>
    <col min="2063" max="2304" width="9.08984375" style="995"/>
    <col min="2305" max="2305" width="4.6328125" style="995" customWidth="1"/>
    <col min="2306" max="2306" width="10.54296875" style="995" customWidth="1"/>
    <col min="2307" max="2307" width="49.08984375" style="995" customWidth="1"/>
    <col min="2308" max="2308" width="68.54296875" style="995" customWidth="1"/>
    <col min="2309" max="2309" width="35.453125" style="995" customWidth="1"/>
    <col min="2310" max="2310" width="21" style="995" customWidth="1"/>
    <col min="2311" max="2311" width="28.453125" style="995" customWidth="1"/>
    <col min="2312" max="2312" width="30.6328125" style="995" customWidth="1"/>
    <col min="2313" max="2313" width="29.54296875" style="995" customWidth="1"/>
    <col min="2314" max="2314" width="33.54296875" style="995" customWidth="1"/>
    <col min="2315" max="2315" width="26.54296875" style="995" customWidth="1"/>
    <col min="2316" max="2316" width="31.54296875" style="995" customWidth="1"/>
    <col min="2317" max="2317" width="34.36328125" style="995" customWidth="1"/>
    <col min="2318" max="2318" width="45.08984375" style="995" customWidth="1"/>
    <col min="2319" max="2560" width="9.08984375" style="995"/>
    <col min="2561" max="2561" width="4.6328125" style="995" customWidth="1"/>
    <col min="2562" max="2562" width="10.54296875" style="995" customWidth="1"/>
    <col min="2563" max="2563" width="49.08984375" style="995" customWidth="1"/>
    <col min="2564" max="2564" width="68.54296875" style="995" customWidth="1"/>
    <col min="2565" max="2565" width="35.453125" style="995" customWidth="1"/>
    <col min="2566" max="2566" width="21" style="995" customWidth="1"/>
    <col min="2567" max="2567" width="28.453125" style="995" customWidth="1"/>
    <col min="2568" max="2568" width="30.6328125" style="995" customWidth="1"/>
    <col min="2569" max="2569" width="29.54296875" style="995" customWidth="1"/>
    <col min="2570" max="2570" width="33.54296875" style="995" customWidth="1"/>
    <col min="2571" max="2571" width="26.54296875" style="995" customWidth="1"/>
    <col min="2572" max="2572" width="31.54296875" style="995" customWidth="1"/>
    <col min="2573" max="2573" width="34.36328125" style="995" customWidth="1"/>
    <col min="2574" max="2574" width="45.08984375" style="995" customWidth="1"/>
    <col min="2575" max="2816" width="9.08984375" style="995"/>
    <col min="2817" max="2817" width="4.6328125" style="995" customWidth="1"/>
    <col min="2818" max="2818" width="10.54296875" style="995" customWidth="1"/>
    <col min="2819" max="2819" width="49.08984375" style="995" customWidth="1"/>
    <col min="2820" max="2820" width="68.54296875" style="995" customWidth="1"/>
    <col min="2821" max="2821" width="35.453125" style="995" customWidth="1"/>
    <col min="2822" max="2822" width="21" style="995" customWidth="1"/>
    <col min="2823" max="2823" width="28.453125" style="995" customWidth="1"/>
    <col min="2824" max="2824" width="30.6328125" style="995" customWidth="1"/>
    <col min="2825" max="2825" width="29.54296875" style="995" customWidth="1"/>
    <col min="2826" max="2826" width="33.54296875" style="995" customWidth="1"/>
    <col min="2827" max="2827" width="26.54296875" style="995" customWidth="1"/>
    <col min="2828" max="2828" width="31.54296875" style="995" customWidth="1"/>
    <col min="2829" max="2829" width="34.36328125" style="995" customWidth="1"/>
    <col min="2830" max="2830" width="45.08984375" style="995" customWidth="1"/>
    <col min="2831" max="3072" width="9.08984375" style="995"/>
    <col min="3073" max="3073" width="4.6328125" style="995" customWidth="1"/>
    <col min="3074" max="3074" width="10.54296875" style="995" customWidth="1"/>
    <col min="3075" max="3075" width="49.08984375" style="995" customWidth="1"/>
    <col min="3076" max="3076" width="68.54296875" style="995" customWidth="1"/>
    <col min="3077" max="3077" width="35.453125" style="995" customWidth="1"/>
    <col min="3078" max="3078" width="21" style="995" customWidth="1"/>
    <col min="3079" max="3079" width="28.453125" style="995" customWidth="1"/>
    <col min="3080" max="3080" width="30.6328125" style="995" customWidth="1"/>
    <col min="3081" max="3081" width="29.54296875" style="995" customWidth="1"/>
    <col min="3082" max="3082" width="33.54296875" style="995" customWidth="1"/>
    <col min="3083" max="3083" width="26.54296875" style="995" customWidth="1"/>
    <col min="3084" max="3084" width="31.54296875" style="995" customWidth="1"/>
    <col min="3085" max="3085" width="34.36328125" style="995" customWidth="1"/>
    <col min="3086" max="3086" width="45.08984375" style="995" customWidth="1"/>
    <col min="3087" max="3328" width="9.08984375" style="995"/>
    <col min="3329" max="3329" width="4.6328125" style="995" customWidth="1"/>
    <col min="3330" max="3330" width="10.54296875" style="995" customWidth="1"/>
    <col min="3331" max="3331" width="49.08984375" style="995" customWidth="1"/>
    <col min="3332" max="3332" width="68.54296875" style="995" customWidth="1"/>
    <col min="3333" max="3333" width="35.453125" style="995" customWidth="1"/>
    <col min="3334" max="3334" width="21" style="995" customWidth="1"/>
    <col min="3335" max="3335" width="28.453125" style="995" customWidth="1"/>
    <col min="3336" max="3336" width="30.6328125" style="995" customWidth="1"/>
    <col min="3337" max="3337" width="29.54296875" style="995" customWidth="1"/>
    <col min="3338" max="3338" width="33.54296875" style="995" customWidth="1"/>
    <col min="3339" max="3339" width="26.54296875" style="995" customWidth="1"/>
    <col min="3340" max="3340" width="31.54296875" style="995" customWidth="1"/>
    <col min="3341" max="3341" width="34.36328125" style="995" customWidth="1"/>
    <col min="3342" max="3342" width="45.08984375" style="995" customWidth="1"/>
    <col min="3343" max="3584" width="9.08984375" style="995"/>
    <col min="3585" max="3585" width="4.6328125" style="995" customWidth="1"/>
    <col min="3586" max="3586" width="10.54296875" style="995" customWidth="1"/>
    <col min="3587" max="3587" width="49.08984375" style="995" customWidth="1"/>
    <col min="3588" max="3588" width="68.54296875" style="995" customWidth="1"/>
    <col min="3589" max="3589" width="35.453125" style="995" customWidth="1"/>
    <col min="3590" max="3590" width="21" style="995" customWidth="1"/>
    <col min="3591" max="3591" width="28.453125" style="995" customWidth="1"/>
    <col min="3592" max="3592" width="30.6328125" style="995" customWidth="1"/>
    <col min="3593" max="3593" width="29.54296875" style="995" customWidth="1"/>
    <col min="3594" max="3594" width="33.54296875" style="995" customWidth="1"/>
    <col min="3595" max="3595" width="26.54296875" style="995" customWidth="1"/>
    <col min="3596" max="3596" width="31.54296875" style="995" customWidth="1"/>
    <col min="3597" max="3597" width="34.36328125" style="995" customWidth="1"/>
    <col min="3598" max="3598" width="45.08984375" style="995" customWidth="1"/>
    <col min="3599" max="3840" width="9.08984375" style="995"/>
    <col min="3841" max="3841" width="4.6328125" style="995" customWidth="1"/>
    <col min="3842" max="3842" width="10.54296875" style="995" customWidth="1"/>
    <col min="3843" max="3843" width="49.08984375" style="995" customWidth="1"/>
    <col min="3844" max="3844" width="68.54296875" style="995" customWidth="1"/>
    <col min="3845" max="3845" width="35.453125" style="995" customWidth="1"/>
    <col min="3846" max="3846" width="21" style="995" customWidth="1"/>
    <col min="3847" max="3847" width="28.453125" style="995" customWidth="1"/>
    <col min="3848" max="3848" width="30.6328125" style="995" customWidth="1"/>
    <col min="3849" max="3849" width="29.54296875" style="995" customWidth="1"/>
    <col min="3850" max="3850" width="33.54296875" style="995" customWidth="1"/>
    <col min="3851" max="3851" width="26.54296875" style="995" customWidth="1"/>
    <col min="3852" max="3852" width="31.54296875" style="995" customWidth="1"/>
    <col min="3853" max="3853" width="34.36328125" style="995" customWidth="1"/>
    <col min="3854" max="3854" width="45.08984375" style="995" customWidth="1"/>
    <col min="3855" max="4096" width="9.08984375" style="995"/>
    <col min="4097" max="4097" width="4.6328125" style="995" customWidth="1"/>
    <col min="4098" max="4098" width="10.54296875" style="995" customWidth="1"/>
    <col min="4099" max="4099" width="49.08984375" style="995" customWidth="1"/>
    <col min="4100" max="4100" width="68.54296875" style="995" customWidth="1"/>
    <col min="4101" max="4101" width="35.453125" style="995" customWidth="1"/>
    <col min="4102" max="4102" width="21" style="995" customWidth="1"/>
    <col min="4103" max="4103" width="28.453125" style="995" customWidth="1"/>
    <col min="4104" max="4104" width="30.6328125" style="995" customWidth="1"/>
    <col min="4105" max="4105" width="29.54296875" style="995" customWidth="1"/>
    <col min="4106" max="4106" width="33.54296875" style="995" customWidth="1"/>
    <col min="4107" max="4107" width="26.54296875" style="995" customWidth="1"/>
    <col min="4108" max="4108" width="31.54296875" style="995" customWidth="1"/>
    <col min="4109" max="4109" width="34.36328125" style="995" customWidth="1"/>
    <col min="4110" max="4110" width="45.08984375" style="995" customWidth="1"/>
    <col min="4111" max="4352" width="9.08984375" style="995"/>
    <col min="4353" max="4353" width="4.6328125" style="995" customWidth="1"/>
    <col min="4354" max="4354" width="10.54296875" style="995" customWidth="1"/>
    <col min="4355" max="4355" width="49.08984375" style="995" customWidth="1"/>
    <col min="4356" max="4356" width="68.54296875" style="995" customWidth="1"/>
    <col min="4357" max="4357" width="35.453125" style="995" customWidth="1"/>
    <col min="4358" max="4358" width="21" style="995" customWidth="1"/>
    <col min="4359" max="4359" width="28.453125" style="995" customWidth="1"/>
    <col min="4360" max="4360" width="30.6328125" style="995" customWidth="1"/>
    <col min="4361" max="4361" width="29.54296875" style="995" customWidth="1"/>
    <col min="4362" max="4362" width="33.54296875" style="995" customWidth="1"/>
    <col min="4363" max="4363" width="26.54296875" style="995" customWidth="1"/>
    <col min="4364" max="4364" width="31.54296875" style="995" customWidth="1"/>
    <col min="4365" max="4365" width="34.36328125" style="995" customWidth="1"/>
    <col min="4366" max="4366" width="45.08984375" style="995" customWidth="1"/>
    <col min="4367" max="4608" width="9.08984375" style="995"/>
    <col min="4609" max="4609" width="4.6328125" style="995" customWidth="1"/>
    <col min="4610" max="4610" width="10.54296875" style="995" customWidth="1"/>
    <col min="4611" max="4611" width="49.08984375" style="995" customWidth="1"/>
    <col min="4612" max="4612" width="68.54296875" style="995" customWidth="1"/>
    <col min="4613" max="4613" width="35.453125" style="995" customWidth="1"/>
    <col min="4614" max="4614" width="21" style="995" customWidth="1"/>
    <col min="4615" max="4615" width="28.453125" style="995" customWidth="1"/>
    <col min="4616" max="4616" width="30.6328125" style="995" customWidth="1"/>
    <col min="4617" max="4617" width="29.54296875" style="995" customWidth="1"/>
    <col min="4618" max="4618" width="33.54296875" style="995" customWidth="1"/>
    <col min="4619" max="4619" width="26.54296875" style="995" customWidth="1"/>
    <col min="4620" max="4620" width="31.54296875" style="995" customWidth="1"/>
    <col min="4621" max="4621" width="34.36328125" style="995" customWidth="1"/>
    <col min="4622" max="4622" width="45.08984375" style="995" customWidth="1"/>
    <col min="4623" max="4864" width="9.08984375" style="995"/>
    <col min="4865" max="4865" width="4.6328125" style="995" customWidth="1"/>
    <col min="4866" max="4866" width="10.54296875" style="995" customWidth="1"/>
    <col min="4867" max="4867" width="49.08984375" style="995" customWidth="1"/>
    <col min="4868" max="4868" width="68.54296875" style="995" customWidth="1"/>
    <col min="4869" max="4869" width="35.453125" style="995" customWidth="1"/>
    <col min="4870" max="4870" width="21" style="995" customWidth="1"/>
    <col min="4871" max="4871" width="28.453125" style="995" customWidth="1"/>
    <col min="4872" max="4872" width="30.6328125" style="995" customWidth="1"/>
    <col min="4873" max="4873" width="29.54296875" style="995" customWidth="1"/>
    <col min="4874" max="4874" width="33.54296875" style="995" customWidth="1"/>
    <col min="4875" max="4875" width="26.54296875" style="995" customWidth="1"/>
    <col min="4876" max="4876" width="31.54296875" style="995" customWidth="1"/>
    <col min="4877" max="4877" width="34.36328125" style="995" customWidth="1"/>
    <col min="4878" max="4878" width="45.08984375" style="995" customWidth="1"/>
    <col min="4879" max="5120" width="9.08984375" style="995"/>
    <col min="5121" max="5121" width="4.6328125" style="995" customWidth="1"/>
    <col min="5122" max="5122" width="10.54296875" style="995" customWidth="1"/>
    <col min="5123" max="5123" width="49.08984375" style="995" customWidth="1"/>
    <col min="5124" max="5124" width="68.54296875" style="995" customWidth="1"/>
    <col min="5125" max="5125" width="35.453125" style="995" customWidth="1"/>
    <col min="5126" max="5126" width="21" style="995" customWidth="1"/>
    <col min="5127" max="5127" width="28.453125" style="995" customWidth="1"/>
    <col min="5128" max="5128" width="30.6328125" style="995" customWidth="1"/>
    <col min="5129" max="5129" width="29.54296875" style="995" customWidth="1"/>
    <col min="5130" max="5130" width="33.54296875" style="995" customWidth="1"/>
    <col min="5131" max="5131" width="26.54296875" style="995" customWidth="1"/>
    <col min="5132" max="5132" width="31.54296875" style="995" customWidth="1"/>
    <col min="5133" max="5133" width="34.36328125" style="995" customWidth="1"/>
    <col min="5134" max="5134" width="45.08984375" style="995" customWidth="1"/>
    <col min="5135" max="5376" width="9.08984375" style="995"/>
    <col min="5377" max="5377" width="4.6328125" style="995" customWidth="1"/>
    <col min="5378" max="5378" width="10.54296875" style="995" customWidth="1"/>
    <col min="5379" max="5379" width="49.08984375" style="995" customWidth="1"/>
    <col min="5380" max="5380" width="68.54296875" style="995" customWidth="1"/>
    <col min="5381" max="5381" width="35.453125" style="995" customWidth="1"/>
    <col min="5382" max="5382" width="21" style="995" customWidth="1"/>
    <col min="5383" max="5383" width="28.453125" style="995" customWidth="1"/>
    <col min="5384" max="5384" width="30.6328125" style="995" customWidth="1"/>
    <col min="5385" max="5385" width="29.54296875" style="995" customWidth="1"/>
    <col min="5386" max="5386" width="33.54296875" style="995" customWidth="1"/>
    <col min="5387" max="5387" width="26.54296875" style="995" customWidth="1"/>
    <col min="5388" max="5388" width="31.54296875" style="995" customWidth="1"/>
    <col min="5389" max="5389" width="34.36328125" style="995" customWidth="1"/>
    <col min="5390" max="5390" width="45.08984375" style="995" customWidth="1"/>
    <col min="5391" max="5632" width="9.08984375" style="995"/>
    <col min="5633" max="5633" width="4.6328125" style="995" customWidth="1"/>
    <col min="5634" max="5634" width="10.54296875" style="995" customWidth="1"/>
    <col min="5635" max="5635" width="49.08984375" style="995" customWidth="1"/>
    <col min="5636" max="5636" width="68.54296875" style="995" customWidth="1"/>
    <col min="5637" max="5637" width="35.453125" style="995" customWidth="1"/>
    <col min="5638" max="5638" width="21" style="995" customWidth="1"/>
    <col min="5639" max="5639" width="28.453125" style="995" customWidth="1"/>
    <col min="5640" max="5640" width="30.6328125" style="995" customWidth="1"/>
    <col min="5641" max="5641" width="29.54296875" style="995" customWidth="1"/>
    <col min="5642" max="5642" width="33.54296875" style="995" customWidth="1"/>
    <col min="5643" max="5643" width="26.54296875" style="995" customWidth="1"/>
    <col min="5644" max="5644" width="31.54296875" style="995" customWidth="1"/>
    <col min="5645" max="5645" width="34.36328125" style="995" customWidth="1"/>
    <col min="5646" max="5646" width="45.08984375" style="995" customWidth="1"/>
    <col min="5647" max="5888" width="9.08984375" style="995"/>
    <col min="5889" max="5889" width="4.6328125" style="995" customWidth="1"/>
    <col min="5890" max="5890" width="10.54296875" style="995" customWidth="1"/>
    <col min="5891" max="5891" width="49.08984375" style="995" customWidth="1"/>
    <col min="5892" max="5892" width="68.54296875" style="995" customWidth="1"/>
    <col min="5893" max="5893" width="35.453125" style="995" customWidth="1"/>
    <col min="5894" max="5894" width="21" style="995" customWidth="1"/>
    <col min="5895" max="5895" width="28.453125" style="995" customWidth="1"/>
    <col min="5896" max="5896" width="30.6328125" style="995" customWidth="1"/>
    <col min="5897" max="5897" width="29.54296875" style="995" customWidth="1"/>
    <col min="5898" max="5898" width="33.54296875" style="995" customWidth="1"/>
    <col min="5899" max="5899" width="26.54296875" style="995" customWidth="1"/>
    <col min="5900" max="5900" width="31.54296875" style="995" customWidth="1"/>
    <col min="5901" max="5901" width="34.36328125" style="995" customWidth="1"/>
    <col min="5902" max="5902" width="45.08984375" style="995" customWidth="1"/>
    <col min="5903" max="6144" width="9.08984375" style="995"/>
    <col min="6145" max="6145" width="4.6328125" style="995" customWidth="1"/>
    <col min="6146" max="6146" width="10.54296875" style="995" customWidth="1"/>
    <col min="6147" max="6147" width="49.08984375" style="995" customWidth="1"/>
    <col min="6148" max="6148" width="68.54296875" style="995" customWidth="1"/>
    <col min="6149" max="6149" width="35.453125" style="995" customWidth="1"/>
    <col min="6150" max="6150" width="21" style="995" customWidth="1"/>
    <col min="6151" max="6151" width="28.453125" style="995" customWidth="1"/>
    <col min="6152" max="6152" width="30.6328125" style="995" customWidth="1"/>
    <col min="6153" max="6153" width="29.54296875" style="995" customWidth="1"/>
    <col min="6154" max="6154" width="33.54296875" style="995" customWidth="1"/>
    <col min="6155" max="6155" width="26.54296875" style="995" customWidth="1"/>
    <col min="6156" max="6156" width="31.54296875" style="995" customWidth="1"/>
    <col min="6157" max="6157" width="34.36328125" style="995" customWidth="1"/>
    <col min="6158" max="6158" width="45.08984375" style="995" customWidth="1"/>
    <col min="6159" max="6400" width="9.08984375" style="995"/>
    <col min="6401" max="6401" width="4.6328125" style="995" customWidth="1"/>
    <col min="6402" max="6402" width="10.54296875" style="995" customWidth="1"/>
    <col min="6403" max="6403" width="49.08984375" style="995" customWidth="1"/>
    <col min="6404" max="6404" width="68.54296875" style="995" customWidth="1"/>
    <col min="6405" max="6405" width="35.453125" style="995" customWidth="1"/>
    <col min="6406" max="6406" width="21" style="995" customWidth="1"/>
    <col min="6407" max="6407" width="28.453125" style="995" customWidth="1"/>
    <col min="6408" max="6408" width="30.6328125" style="995" customWidth="1"/>
    <col min="6409" max="6409" width="29.54296875" style="995" customWidth="1"/>
    <col min="6410" max="6410" width="33.54296875" style="995" customWidth="1"/>
    <col min="6411" max="6411" width="26.54296875" style="995" customWidth="1"/>
    <col min="6412" max="6412" width="31.54296875" style="995" customWidth="1"/>
    <col min="6413" max="6413" width="34.36328125" style="995" customWidth="1"/>
    <col min="6414" max="6414" width="45.08984375" style="995" customWidth="1"/>
    <col min="6415" max="6656" width="9.08984375" style="995"/>
    <col min="6657" max="6657" width="4.6328125" style="995" customWidth="1"/>
    <col min="6658" max="6658" width="10.54296875" style="995" customWidth="1"/>
    <col min="6659" max="6659" width="49.08984375" style="995" customWidth="1"/>
    <col min="6660" max="6660" width="68.54296875" style="995" customWidth="1"/>
    <col min="6661" max="6661" width="35.453125" style="995" customWidth="1"/>
    <col min="6662" max="6662" width="21" style="995" customWidth="1"/>
    <col min="6663" max="6663" width="28.453125" style="995" customWidth="1"/>
    <col min="6664" max="6664" width="30.6328125" style="995" customWidth="1"/>
    <col min="6665" max="6665" width="29.54296875" style="995" customWidth="1"/>
    <col min="6666" max="6666" width="33.54296875" style="995" customWidth="1"/>
    <col min="6667" max="6667" width="26.54296875" style="995" customWidth="1"/>
    <col min="6668" max="6668" width="31.54296875" style="995" customWidth="1"/>
    <col min="6669" max="6669" width="34.36328125" style="995" customWidth="1"/>
    <col min="6670" max="6670" width="45.08984375" style="995" customWidth="1"/>
    <col min="6671" max="6912" width="9.08984375" style="995"/>
    <col min="6913" max="6913" width="4.6328125" style="995" customWidth="1"/>
    <col min="6914" max="6914" width="10.54296875" style="995" customWidth="1"/>
    <col min="6915" max="6915" width="49.08984375" style="995" customWidth="1"/>
    <col min="6916" max="6916" width="68.54296875" style="995" customWidth="1"/>
    <col min="6917" max="6917" width="35.453125" style="995" customWidth="1"/>
    <col min="6918" max="6918" width="21" style="995" customWidth="1"/>
    <col min="6919" max="6919" width="28.453125" style="995" customWidth="1"/>
    <col min="6920" max="6920" width="30.6328125" style="995" customWidth="1"/>
    <col min="6921" max="6921" width="29.54296875" style="995" customWidth="1"/>
    <col min="6922" max="6922" width="33.54296875" style="995" customWidth="1"/>
    <col min="6923" max="6923" width="26.54296875" style="995" customWidth="1"/>
    <col min="6924" max="6924" width="31.54296875" style="995" customWidth="1"/>
    <col min="6925" max="6925" width="34.36328125" style="995" customWidth="1"/>
    <col min="6926" max="6926" width="45.08984375" style="995" customWidth="1"/>
    <col min="6927" max="7168" width="9.08984375" style="995"/>
    <col min="7169" max="7169" width="4.6328125" style="995" customWidth="1"/>
    <col min="7170" max="7170" width="10.54296875" style="995" customWidth="1"/>
    <col min="7171" max="7171" width="49.08984375" style="995" customWidth="1"/>
    <col min="7172" max="7172" width="68.54296875" style="995" customWidth="1"/>
    <col min="7173" max="7173" width="35.453125" style="995" customWidth="1"/>
    <col min="7174" max="7174" width="21" style="995" customWidth="1"/>
    <col min="7175" max="7175" width="28.453125" style="995" customWidth="1"/>
    <col min="7176" max="7176" width="30.6328125" style="995" customWidth="1"/>
    <col min="7177" max="7177" width="29.54296875" style="995" customWidth="1"/>
    <col min="7178" max="7178" width="33.54296875" style="995" customWidth="1"/>
    <col min="7179" max="7179" width="26.54296875" style="995" customWidth="1"/>
    <col min="7180" max="7180" width="31.54296875" style="995" customWidth="1"/>
    <col min="7181" max="7181" width="34.36328125" style="995" customWidth="1"/>
    <col min="7182" max="7182" width="45.08984375" style="995" customWidth="1"/>
    <col min="7183" max="7424" width="9.08984375" style="995"/>
    <col min="7425" max="7425" width="4.6328125" style="995" customWidth="1"/>
    <col min="7426" max="7426" width="10.54296875" style="995" customWidth="1"/>
    <col min="7427" max="7427" width="49.08984375" style="995" customWidth="1"/>
    <col min="7428" max="7428" width="68.54296875" style="995" customWidth="1"/>
    <col min="7429" max="7429" width="35.453125" style="995" customWidth="1"/>
    <col min="7430" max="7430" width="21" style="995" customWidth="1"/>
    <col min="7431" max="7431" width="28.453125" style="995" customWidth="1"/>
    <col min="7432" max="7432" width="30.6328125" style="995" customWidth="1"/>
    <col min="7433" max="7433" width="29.54296875" style="995" customWidth="1"/>
    <col min="7434" max="7434" width="33.54296875" style="995" customWidth="1"/>
    <col min="7435" max="7435" width="26.54296875" style="995" customWidth="1"/>
    <col min="7436" max="7436" width="31.54296875" style="995" customWidth="1"/>
    <col min="7437" max="7437" width="34.36328125" style="995" customWidth="1"/>
    <col min="7438" max="7438" width="45.08984375" style="995" customWidth="1"/>
    <col min="7439" max="7680" width="9.08984375" style="995"/>
    <col min="7681" max="7681" width="4.6328125" style="995" customWidth="1"/>
    <col min="7682" max="7682" width="10.54296875" style="995" customWidth="1"/>
    <col min="7683" max="7683" width="49.08984375" style="995" customWidth="1"/>
    <col min="7684" max="7684" width="68.54296875" style="995" customWidth="1"/>
    <col min="7685" max="7685" width="35.453125" style="995" customWidth="1"/>
    <col min="7686" max="7686" width="21" style="995" customWidth="1"/>
    <col min="7687" max="7687" width="28.453125" style="995" customWidth="1"/>
    <col min="7688" max="7688" width="30.6328125" style="995" customWidth="1"/>
    <col min="7689" max="7689" width="29.54296875" style="995" customWidth="1"/>
    <col min="7690" max="7690" width="33.54296875" style="995" customWidth="1"/>
    <col min="7691" max="7691" width="26.54296875" style="995" customWidth="1"/>
    <col min="7692" max="7692" width="31.54296875" style="995" customWidth="1"/>
    <col min="7693" max="7693" width="34.36328125" style="995" customWidth="1"/>
    <col min="7694" max="7694" width="45.08984375" style="995" customWidth="1"/>
    <col min="7695" max="7936" width="9.08984375" style="995"/>
    <col min="7937" max="7937" width="4.6328125" style="995" customWidth="1"/>
    <col min="7938" max="7938" width="10.54296875" style="995" customWidth="1"/>
    <col min="7939" max="7939" width="49.08984375" style="995" customWidth="1"/>
    <col min="7940" max="7940" width="68.54296875" style="995" customWidth="1"/>
    <col min="7941" max="7941" width="35.453125" style="995" customWidth="1"/>
    <col min="7942" max="7942" width="21" style="995" customWidth="1"/>
    <col min="7943" max="7943" width="28.453125" style="995" customWidth="1"/>
    <col min="7944" max="7944" width="30.6328125" style="995" customWidth="1"/>
    <col min="7945" max="7945" width="29.54296875" style="995" customWidth="1"/>
    <col min="7946" max="7946" width="33.54296875" style="995" customWidth="1"/>
    <col min="7947" max="7947" width="26.54296875" style="995" customWidth="1"/>
    <col min="7948" max="7948" width="31.54296875" style="995" customWidth="1"/>
    <col min="7949" max="7949" width="34.36328125" style="995" customWidth="1"/>
    <col min="7950" max="7950" width="45.08984375" style="995" customWidth="1"/>
    <col min="7951" max="8192" width="9.08984375" style="995"/>
    <col min="8193" max="8193" width="4.6328125" style="995" customWidth="1"/>
    <col min="8194" max="8194" width="10.54296875" style="995" customWidth="1"/>
    <col min="8195" max="8195" width="49.08984375" style="995" customWidth="1"/>
    <col min="8196" max="8196" width="68.54296875" style="995" customWidth="1"/>
    <col min="8197" max="8197" width="35.453125" style="995" customWidth="1"/>
    <col min="8198" max="8198" width="21" style="995" customWidth="1"/>
    <col min="8199" max="8199" width="28.453125" style="995" customWidth="1"/>
    <col min="8200" max="8200" width="30.6328125" style="995" customWidth="1"/>
    <col min="8201" max="8201" width="29.54296875" style="995" customWidth="1"/>
    <col min="8202" max="8202" width="33.54296875" style="995" customWidth="1"/>
    <col min="8203" max="8203" width="26.54296875" style="995" customWidth="1"/>
    <col min="8204" max="8204" width="31.54296875" style="995" customWidth="1"/>
    <col min="8205" max="8205" width="34.36328125" style="995" customWidth="1"/>
    <col min="8206" max="8206" width="45.08984375" style="995" customWidth="1"/>
    <col min="8207" max="8448" width="9.08984375" style="995"/>
    <col min="8449" max="8449" width="4.6328125" style="995" customWidth="1"/>
    <col min="8450" max="8450" width="10.54296875" style="995" customWidth="1"/>
    <col min="8451" max="8451" width="49.08984375" style="995" customWidth="1"/>
    <col min="8452" max="8452" width="68.54296875" style="995" customWidth="1"/>
    <col min="8453" max="8453" width="35.453125" style="995" customWidth="1"/>
    <col min="8454" max="8454" width="21" style="995" customWidth="1"/>
    <col min="8455" max="8455" width="28.453125" style="995" customWidth="1"/>
    <col min="8456" max="8456" width="30.6328125" style="995" customWidth="1"/>
    <col min="8457" max="8457" width="29.54296875" style="995" customWidth="1"/>
    <col min="8458" max="8458" width="33.54296875" style="995" customWidth="1"/>
    <col min="8459" max="8459" width="26.54296875" style="995" customWidth="1"/>
    <col min="8460" max="8460" width="31.54296875" style="995" customWidth="1"/>
    <col min="8461" max="8461" width="34.36328125" style="995" customWidth="1"/>
    <col min="8462" max="8462" width="45.08984375" style="995" customWidth="1"/>
    <col min="8463" max="8704" width="9.08984375" style="995"/>
    <col min="8705" max="8705" width="4.6328125" style="995" customWidth="1"/>
    <col min="8706" max="8706" width="10.54296875" style="995" customWidth="1"/>
    <col min="8707" max="8707" width="49.08984375" style="995" customWidth="1"/>
    <col min="8708" max="8708" width="68.54296875" style="995" customWidth="1"/>
    <col min="8709" max="8709" width="35.453125" style="995" customWidth="1"/>
    <col min="8710" max="8710" width="21" style="995" customWidth="1"/>
    <col min="8711" max="8711" width="28.453125" style="995" customWidth="1"/>
    <col min="8712" max="8712" width="30.6328125" style="995" customWidth="1"/>
    <col min="8713" max="8713" width="29.54296875" style="995" customWidth="1"/>
    <col min="8714" max="8714" width="33.54296875" style="995" customWidth="1"/>
    <col min="8715" max="8715" width="26.54296875" style="995" customWidth="1"/>
    <col min="8716" max="8716" width="31.54296875" style="995" customWidth="1"/>
    <col min="8717" max="8717" width="34.36328125" style="995" customWidth="1"/>
    <col min="8718" max="8718" width="45.08984375" style="995" customWidth="1"/>
    <col min="8719" max="8960" width="9.08984375" style="995"/>
    <col min="8961" max="8961" width="4.6328125" style="995" customWidth="1"/>
    <col min="8962" max="8962" width="10.54296875" style="995" customWidth="1"/>
    <col min="8963" max="8963" width="49.08984375" style="995" customWidth="1"/>
    <col min="8964" max="8964" width="68.54296875" style="995" customWidth="1"/>
    <col min="8965" max="8965" width="35.453125" style="995" customWidth="1"/>
    <col min="8966" max="8966" width="21" style="995" customWidth="1"/>
    <col min="8967" max="8967" width="28.453125" style="995" customWidth="1"/>
    <col min="8968" max="8968" width="30.6328125" style="995" customWidth="1"/>
    <col min="8969" max="8969" width="29.54296875" style="995" customWidth="1"/>
    <col min="8970" max="8970" width="33.54296875" style="995" customWidth="1"/>
    <col min="8971" max="8971" width="26.54296875" style="995" customWidth="1"/>
    <col min="8972" max="8972" width="31.54296875" style="995" customWidth="1"/>
    <col min="8973" max="8973" width="34.36328125" style="995" customWidth="1"/>
    <col min="8974" max="8974" width="45.08984375" style="995" customWidth="1"/>
    <col min="8975" max="9216" width="9.08984375" style="995"/>
    <col min="9217" max="9217" width="4.6328125" style="995" customWidth="1"/>
    <col min="9218" max="9218" width="10.54296875" style="995" customWidth="1"/>
    <col min="9219" max="9219" width="49.08984375" style="995" customWidth="1"/>
    <col min="9220" max="9220" width="68.54296875" style="995" customWidth="1"/>
    <col min="9221" max="9221" width="35.453125" style="995" customWidth="1"/>
    <col min="9222" max="9222" width="21" style="995" customWidth="1"/>
    <col min="9223" max="9223" width="28.453125" style="995" customWidth="1"/>
    <col min="9224" max="9224" width="30.6328125" style="995" customWidth="1"/>
    <col min="9225" max="9225" width="29.54296875" style="995" customWidth="1"/>
    <col min="9226" max="9226" width="33.54296875" style="995" customWidth="1"/>
    <col min="9227" max="9227" width="26.54296875" style="995" customWidth="1"/>
    <col min="9228" max="9228" width="31.54296875" style="995" customWidth="1"/>
    <col min="9229" max="9229" width="34.36328125" style="995" customWidth="1"/>
    <col min="9230" max="9230" width="45.08984375" style="995" customWidth="1"/>
    <col min="9231" max="9472" width="9.08984375" style="995"/>
    <col min="9473" max="9473" width="4.6328125" style="995" customWidth="1"/>
    <col min="9474" max="9474" width="10.54296875" style="995" customWidth="1"/>
    <col min="9475" max="9475" width="49.08984375" style="995" customWidth="1"/>
    <col min="9476" max="9476" width="68.54296875" style="995" customWidth="1"/>
    <col min="9477" max="9477" width="35.453125" style="995" customWidth="1"/>
    <col min="9478" max="9478" width="21" style="995" customWidth="1"/>
    <col min="9479" max="9479" width="28.453125" style="995" customWidth="1"/>
    <col min="9480" max="9480" width="30.6328125" style="995" customWidth="1"/>
    <col min="9481" max="9481" width="29.54296875" style="995" customWidth="1"/>
    <col min="9482" max="9482" width="33.54296875" style="995" customWidth="1"/>
    <col min="9483" max="9483" width="26.54296875" style="995" customWidth="1"/>
    <col min="9484" max="9484" width="31.54296875" style="995" customWidth="1"/>
    <col min="9485" max="9485" width="34.36328125" style="995" customWidth="1"/>
    <col min="9486" max="9486" width="45.08984375" style="995" customWidth="1"/>
    <col min="9487" max="9728" width="9.08984375" style="995"/>
    <col min="9729" max="9729" width="4.6328125" style="995" customWidth="1"/>
    <col min="9730" max="9730" width="10.54296875" style="995" customWidth="1"/>
    <col min="9731" max="9731" width="49.08984375" style="995" customWidth="1"/>
    <col min="9732" max="9732" width="68.54296875" style="995" customWidth="1"/>
    <col min="9733" max="9733" width="35.453125" style="995" customWidth="1"/>
    <col min="9734" max="9734" width="21" style="995" customWidth="1"/>
    <col min="9735" max="9735" width="28.453125" style="995" customWidth="1"/>
    <col min="9736" max="9736" width="30.6328125" style="995" customWidth="1"/>
    <col min="9737" max="9737" width="29.54296875" style="995" customWidth="1"/>
    <col min="9738" max="9738" width="33.54296875" style="995" customWidth="1"/>
    <col min="9739" max="9739" width="26.54296875" style="995" customWidth="1"/>
    <col min="9740" max="9740" width="31.54296875" style="995" customWidth="1"/>
    <col min="9741" max="9741" width="34.36328125" style="995" customWidth="1"/>
    <col min="9742" max="9742" width="45.08984375" style="995" customWidth="1"/>
    <col min="9743" max="9984" width="9.08984375" style="995"/>
    <col min="9985" max="9985" width="4.6328125" style="995" customWidth="1"/>
    <col min="9986" max="9986" width="10.54296875" style="995" customWidth="1"/>
    <col min="9987" max="9987" width="49.08984375" style="995" customWidth="1"/>
    <col min="9988" max="9988" width="68.54296875" style="995" customWidth="1"/>
    <col min="9989" max="9989" width="35.453125" style="995" customWidth="1"/>
    <col min="9990" max="9990" width="21" style="995" customWidth="1"/>
    <col min="9991" max="9991" width="28.453125" style="995" customWidth="1"/>
    <col min="9992" max="9992" width="30.6328125" style="995" customWidth="1"/>
    <col min="9993" max="9993" width="29.54296875" style="995" customWidth="1"/>
    <col min="9994" max="9994" width="33.54296875" style="995" customWidth="1"/>
    <col min="9995" max="9995" width="26.54296875" style="995" customWidth="1"/>
    <col min="9996" max="9996" width="31.54296875" style="995" customWidth="1"/>
    <col min="9997" max="9997" width="34.36328125" style="995" customWidth="1"/>
    <col min="9998" max="9998" width="45.08984375" style="995" customWidth="1"/>
    <col min="9999" max="10240" width="9.08984375" style="995"/>
    <col min="10241" max="10241" width="4.6328125" style="995" customWidth="1"/>
    <col min="10242" max="10242" width="10.54296875" style="995" customWidth="1"/>
    <col min="10243" max="10243" width="49.08984375" style="995" customWidth="1"/>
    <col min="10244" max="10244" width="68.54296875" style="995" customWidth="1"/>
    <col min="10245" max="10245" width="35.453125" style="995" customWidth="1"/>
    <col min="10246" max="10246" width="21" style="995" customWidth="1"/>
    <col min="10247" max="10247" width="28.453125" style="995" customWidth="1"/>
    <col min="10248" max="10248" width="30.6328125" style="995" customWidth="1"/>
    <col min="10249" max="10249" width="29.54296875" style="995" customWidth="1"/>
    <col min="10250" max="10250" width="33.54296875" style="995" customWidth="1"/>
    <col min="10251" max="10251" width="26.54296875" style="995" customWidth="1"/>
    <col min="10252" max="10252" width="31.54296875" style="995" customWidth="1"/>
    <col min="10253" max="10253" width="34.36328125" style="995" customWidth="1"/>
    <col min="10254" max="10254" width="45.08984375" style="995" customWidth="1"/>
    <col min="10255" max="10496" width="9.08984375" style="995"/>
    <col min="10497" max="10497" width="4.6328125" style="995" customWidth="1"/>
    <col min="10498" max="10498" width="10.54296875" style="995" customWidth="1"/>
    <col min="10499" max="10499" width="49.08984375" style="995" customWidth="1"/>
    <col min="10500" max="10500" width="68.54296875" style="995" customWidth="1"/>
    <col min="10501" max="10501" width="35.453125" style="995" customWidth="1"/>
    <col min="10502" max="10502" width="21" style="995" customWidth="1"/>
    <col min="10503" max="10503" width="28.453125" style="995" customWidth="1"/>
    <col min="10504" max="10504" width="30.6328125" style="995" customWidth="1"/>
    <col min="10505" max="10505" width="29.54296875" style="995" customWidth="1"/>
    <col min="10506" max="10506" width="33.54296875" style="995" customWidth="1"/>
    <col min="10507" max="10507" width="26.54296875" style="995" customWidth="1"/>
    <col min="10508" max="10508" width="31.54296875" style="995" customWidth="1"/>
    <col min="10509" max="10509" width="34.36328125" style="995" customWidth="1"/>
    <col min="10510" max="10510" width="45.08984375" style="995" customWidth="1"/>
    <col min="10511" max="10752" width="9.08984375" style="995"/>
    <col min="10753" max="10753" width="4.6328125" style="995" customWidth="1"/>
    <col min="10754" max="10754" width="10.54296875" style="995" customWidth="1"/>
    <col min="10755" max="10755" width="49.08984375" style="995" customWidth="1"/>
    <col min="10756" max="10756" width="68.54296875" style="995" customWidth="1"/>
    <col min="10757" max="10757" width="35.453125" style="995" customWidth="1"/>
    <col min="10758" max="10758" width="21" style="995" customWidth="1"/>
    <col min="10759" max="10759" width="28.453125" style="995" customWidth="1"/>
    <col min="10760" max="10760" width="30.6328125" style="995" customWidth="1"/>
    <col min="10761" max="10761" width="29.54296875" style="995" customWidth="1"/>
    <col min="10762" max="10762" width="33.54296875" style="995" customWidth="1"/>
    <col min="10763" max="10763" width="26.54296875" style="995" customWidth="1"/>
    <col min="10764" max="10764" width="31.54296875" style="995" customWidth="1"/>
    <col min="10765" max="10765" width="34.36328125" style="995" customWidth="1"/>
    <col min="10766" max="10766" width="45.08984375" style="995" customWidth="1"/>
    <col min="10767" max="11008" width="9.08984375" style="995"/>
    <col min="11009" max="11009" width="4.6328125" style="995" customWidth="1"/>
    <col min="11010" max="11010" width="10.54296875" style="995" customWidth="1"/>
    <col min="11011" max="11011" width="49.08984375" style="995" customWidth="1"/>
    <col min="11012" max="11012" width="68.54296875" style="995" customWidth="1"/>
    <col min="11013" max="11013" width="35.453125" style="995" customWidth="1"/>
    <col min="11014" max="11014" width="21" style="995" customWidth="1"/>
    <col min="11015" max="11015" width="28.453125" style="995" customWidth="1"/>
    <col min="11016" max="11016" width="30.6328125" style="995" customWidth="1"/>
    <col min="11017" max="11017" width="29.54296875" style="995" customWidth="1"/>
    <col min="11018" max="11018" width="33.54296875" style="995" customWidth="1"/>
    <col min="11019" max="11019" width="26.54296875" style="995" customWidth="1"/>
    <col min="11020" max="11020" width="31.54296875" style="995" customWidth="1"/>
    <col min="11021" max="11021" width="34.36328125" style="995" customWidth="1"/>
    <col min="11022" max="11022" width="45.08984375" style="995" customWidth="1"/>
    <col min="11023" max="11264" width="9.08984375" style="995"/>
    <col min="11265" max="11265" width="4.6328125" style="995" customWidth="1"/>
    <col min="11266" max="11266" width="10.54296875" style="995" customWidth="1"/>
    <col min="11267" max="11267" width="49.08984375" style="995" customWidth="1"/>
    <col min="11268" max="11268" width="68.54296875" style="995" customWidth="1"/>
    <col min="11269" max="11269" width="35.453125" style="995" customWidth="1"/>
    <col min="11270" max="11270" width="21" style="995" customWidth="1"/>
    <col min="11271" max="11271" width="28.453125" style="995" customWidth="1"/>
    <col min="11272" max="11272" width="30.6328125" style="995" customWidth="1"/>
    <col min="11273" max="11273" width="29.54296875" style="995" customWidth="1"/>
    <col min="11274" max="11274" width="33.54296875" style="995" customWidth="1"/>
    <col min="11275" max="11275" width="26.54296875" style="995" customWidth="1"/>
    <col min="11276" max="11276" width="31.54296875" style="995" customWidth="1"/>
    <col min="11277" max="11277" width="34.36328125" style="995" customWidth="1"/>
    <col min="11278" max="11278" width="45.08984375" style="995" customWidth="1"/>
    <col min="11279" max="11520" width="9.08984375" style="995"/>
    <col min="11521" max="11521" width="4.6328125" style="995" customWidth="1"/>
    <col min="11522" max="11522" width="10.54296875" style="995" customWidth="1"/>
    <col min="11523" max="11523" width="49.08984375" style="995" customWidth="1"/>
    <col min="11524" max="11524" width="68.54296875" style="995" customWidth="1"/>
    <col min="11525" max="11525" width="35.453125" style="995" customWidth="1"/>
    <col min="11526" max="11526" width="21" style="995" customWidth="1"/>
    <col min="11527" max="11527" width="28.453125" style="995" customWidth="1"/>
    <col min="11528" max="11528" width="30.6328125" style="995" customWidth="1"/>
    <col min="11529" max="11529" width="29.54296875" style="995" customWidth="1"/>
    <col min="11530" max="11530" width="33.54296875" style="995" customWidth="1"/>
    <col min="11531" max="11531" width="26.54296875" style="995" customWidth="1"/>
    <col min="11532" max="11532" width="31.54296875" style="995" customWidth="1"/>
    <col min="11533" max="11533" width="34.36328125" style="995" customWidth="1"/>
    <col min="11534" max="11534" width="45.08984375" style="995" customWidth="1"/>
    <col min="11535" max="11776" width="9.08984375" style="995"/>
    <col min="11777" max="11777" width="4.6328125" style="995" customWidth="1"/>
    <col min="11778" max="11778" width="10.54296875" style="995" customWidth="1"/>
    <col min="11779" max="11779" width="49.08984375" style="995" customWidth="1"/>
    <col min="11780" max="11780" width="68.54296875" style="995" customWidth="1"/>
    <col min="11781" max="11781" width="35.453125" style="995" customWidth="1"/>
    <col min="11782" max="11782" width="21" style="995" customWidth="1"/>
    <col min="11783" max="11783" width="28.453125" style="995" customWidth="1"/>
    <col min="11784" max="11784" width="30.6328125" style="995" customWidth="1"/>
    <col min="11785" max="11785" width="29.54296875" style="995" customWidth="1"/>
    <col min="11786" max="11786" width="33.54296875" style="995" customWidth="1"/>
    <col min="11787" max="11787" width="26.54296875" style="995" customWidth="1"/>
    <col min="11788" max="11788" width="31.54296875" style="995" customWidth="1"/>
    <col min="11789" max="11789" width="34.36328125" style="995" customWidth="1"/>
    <col min="11790" max="11790" width="45.08984375" style="995" customWidth="1"/>
    <col min="11791" max="12032" width="9.08984375" style="995"/>
    <col min="12033" max="12033" width="4.6328125" style="995" customWidth="1"/>
    <col min="12034" max="12034" width="10.54296875" style="995" customWidth="1"/>
    <col min="12035" max="12035" width="49.08984375" style="995" customWidth="1"/>
    <col min="12036" max="12036" width="68.54296875" style="995" customWidth="1"/>
    <col min="12037" max="12037" width="35.453125" style="995" customWidth="1"/>
    <col min="12038" max="12038" width="21" style="995" customWidth="1"/>
    <col min="12039" max="12039" width="28.453125" style="995" customWidth="1"/>
    <col min="12040" max="12040" width="30.6328125" style="995" customWidth="1"/>
    <col min="12041" max="12041" width="29.54296875" style="995" customWidth="1"/>
    <col min="12042" max="12042" width="33.54296875" style="995" customWidth="1"/>
    <col min="12043" max="12043" width="26.54296875" style="995" customWidth="1"/>
    <col min="12044" max="12044" width="31.54296875" style="995" customWidth="1"/>
    <col min="12045" max="12045" width="34.36328125" style="995" customWidth="1"/>
    <col min="12046" max="12046" width="45.08984375" style="995" customWidth="1"/>
    <col min="12047" max="12288" width="9.08984375" style="995"/>
    <col min="12289" max="12289" width="4.6328125" style="995" customWidth="1"/>
    <col min="12290" max="12290" width="10.54296875" style="995" customWidth="1"/>
    <col min="12291" max="12291" width="49.08984375" style="995" customWidth="1"/>
    <col min="12292" max="12292" width="68.54296875" style="995" customWidth="1"/>
    <col min="12293" max="12293" width="35.453125" style="995" customWidth="1"/>
    <col min="12294" max="12294" width="21" style="995" customWidth="1"/>
    <col min="12295" max="12295" width="28.453125" style="995" customWidth="1"/>
    <col min="12296" max="12296" width="30.6328125" style="995" customWidth="1"/>
    <col min="12297" max="12297" width="29.54296875" style="995" customWidth="1"/>
    <col min="12298" max="12298" width="33.54296875" style="995" customWidth="1"/>
    <col min="12299" max="12299" width="26.54296875" style="995" customWidth="1"/>
    <col min="12300" max="12300" width="31.54296875" style="995" customWidth="1"/>
    <col min="12301" max="12301" width="34.36328125" style="995" customWidth="1"/>
    <col min="12302" max="12302" width="45.08984375" style="995" customWidth="1"/>
    <col min="12303" max="12544" width="9.08984375" style="995"/>
    <col min="12545" max="12545" width="4.6328125" style="995" customWidth="1"/>
    <col min="12546" max="12546" width="10.54296875" style="995" customWidth="1"/>
    <col min="12547" max="12547" width="49.08984375" style="995" customWidth="1"/>
    <col min="12548" max="12548" width="68.54296875" style="995" customWidth="1"/>
    <col min="12549" max="12549" width="35.453125" style="995" customWidth="1"/>
    <col min="12550" max="12550" width="21" style="995" customWidth="1"/>
    <col min="12551" max="12551" width="28.453125" style="995" customWidth="1"/>
    <col min="12552" max="12552" width="30.6328125" style="995" customWidth="1"/>
    <col min="12553" max="12553" width="29.54296875" style="995" customWidth="1"/>
    <col min="12554" max="12554" width="33.54296875" style="995" customWidth="1"/>
    <col min="12555" max="12555" width="26.54296875" style="995" customWidth="1"/>
    <col min="12556" max="12556" width="31.54296875" style="995" customWidth="1"/>
    <col min="12557" max="12557" width="34.36328125" style="995" customWidth="1"/>
    <col min="12558" max="12558" width="45.08984375" style="995" customWidth="1"/>
    <col min="12559" max="12800" width="9.08984375" style="995"/>
    <col min="12801" max="12801" width="4.6328125" style="995" customWidth="1"/>
    <col min="12802" max="12802" width="10.54296875" style="995" customWidth="1"/>
    <col min="12803" max="12803" width="49.08984375" style="995" customWidth="1"/>
    <col min="12804" max="12804" width="68.54296875" style="995" customWidth="1"/>
    <col min="12805" max="12805" width="35.453125" style="995" customWidth="1"/>
    <col min="12806" max="12806" width="21" style="995" customWidth="1"/>
    <col min="12807" max="12807" width="28.453125" style="995" customWidth="1"/>
    <col min="12808" max="12808" width="30.6328125" style="995" customWidth="1"/>
    <col min="12809" max="12809" width="29.54296875" style="995" customWidth="1"/>
    <col min="12810" max="12810" width="33.54296875" style="995" customWidth="1"/>
    <col min="12811" max="12811" width="26.54296875" style="995" customWidth="1"/>
    <col min="12812" max="12812" width="31.54296875" style="995" customWidth="1"/>
    <col min="12813" max="12813" width="34.36328125" style="995" customWidth="1"/>
    <col min="12814" max="12814" width="45.08984375" style="995" customWidth="1"/>
    <col min="12815" max="13056" width="9.08984375" style="995"/>
    <col min="13057" max="13057" width="4.6328125" style="995" customWidth="1"/>
    <col min="13058" max="13058" width="10.54296875" style="995" customWidth="1"/>
    <col min="13059" max="13059" width="49.08984375" style="995" customWidth="1"/>
    <col min="13060" max="13060" width="68.54296875" style="995" customWidth="1"/>
    <col min="13061" max="13061" width="35.453125" style="995" customWidth="1"/>
    <col min="13062" max="13062" width="21" style="995" customWidth="1"/>
    <col min="13063" max="13063" width="28.453125" style="995" customWidth="1"/>
    <col min="13064" max="13064" width="30.6328125" style="995" customWidth="1"/>
    <col min="13065" max="13065" width="29.54296875" style="995" customWidth="1"/>
    <col min="13066" max="13066" width="33.54296875" style="995" customWidth="1"/>
    <col min="13067" max="13067" width="26.54296875" style="995" customWidth="1"/>
    <col min="13068" max="13068" width="31.54296875" style="995" customWidth="1"/>
    <col min="13069" max="13069" width="34.36328125" style="995" customWidth="1"/>
    <col min="13070" max="13070" width="45.08984375" style="995" customWidth="1"/>
    <col min="13071" max="13312" width="9.08984375" style="995"/>
    <col min="13313" max="13313" width="4.6328125" style="995" customWidth="1"/>
    <col min="13314" max="13314" width="10.54296875" style="995" customWidth="1"/>
    <col min="13315" max="13315" width="49.08984375" style="995" customWidth="1"/>
    <col min="13316" max="13316" width="68.54296875" style="995" customWidth="1"/>
    <col min="13317" max="13317" width="35.453125" style="995" customWidth="1"/>
    <col min="13318" max="13318" width="21" style="995" customWidth="1"/>
    <col min="13319" max="13319" width="28.453125" style="995" customWidth="1"/>
    <col min="13320" max="13320" width="30.6328125" style="995" customWidth="1"/>
    <col min="13321" max="13321" width="29.54296875" style="995" customWidth="1"/>
    <col min="13322" max="13322" width="33.54296875" style="995" customWidth="1"/>
    <col min="13323" max="13323" width="26.54296875" style="995" customWidth="1"/>
    <col min="13324" max="13324" width="31.54296875" style="995" customWidth="1"/>
    <col min="13325" max="13325" width="34.36328125" style="995" customWidth="1"/>
    <col min="13326" max="13326" width="45.08984375" style="995" customWidth="1"/>
    <col min="13327" max="13568" width="9.08984375" style="995"/>
    <col min="13569" max="13569" width="4.6328125" style="995" customWidth="1"/>
    <col min="13570" max="13570" width="10.54296875" style="995" customWidth="1"/>
    <col min="13571" max="13571" width="49.08984375" style="995" customWidth="1"/>
    <col min="13572" max="13572" width="68.54296875" style="995" customWidth="1"/>
    <col min="13573" max="13573" width="35.453125" style="995" customWidth="1"/>
    <col min="13574" max="13574" width="21" style="995" customWidth="1"/>
    <col min="13575" max="13575" width="28.453125" style="995" customWidth="1"/>
    <col min="13576" max="13576" width="30.6328125" style="995" customWidth="1"/>
    <col min="13577" max="13577" width="29.54296875" style="995" customWidth="1"/>
    <col min="13578" max="13578" width="33.54296875" style="995" customWidth="1"/>
    <col min="13579" max="13579" width="26.54296875" style="995" customWidth="1"/>
    <col min="13580" max="13580" width="31.54296875" style="995" customWidth="1"/>
    <col min="13581" max="13581" width="34.36328125" style="995" customWidth="1"/>
    <col min="13582" max="13582" width="45.08984375" style="995" customWidth="1"/>
    <col min="13583" max="13824" width="9.08984375" style="995"/>
    <col min="13825" max="13825" width="4.6328125" style="995" customWidth="1"/>
    <col min="13826" max="13826" width="10.54296875" style="995" customWidth="1"/>
    <col min="13827" max="13827" width="49.08984375" style="995" customWidth="1"/>
    <col min="13828" max="13828" width="68.54296875" style="995" customWidth="1"/>
    <col min="13829" max="13829" width="35.453125" style="995" customWidth="1"/>
    <col min="13830" max="13830" width="21" style="995" customWidth="1"/>
    <col min="13831" max="13831" width="28.453125" style="995" customWidth="1"/>
    <col min="13832" max="13832" width="30.6328125" style="995" customWidth="1"/>
    <col min="13833" max="13833" width="29.54296875" style="995" customWidth="1"/>
    <col min="13834" max="13834" width="33.54296875" style="995" customWidth="1"/>
    <col min="13835" max="13835" width="26.54296875" style="995" customWidth="1"/>
    <col min="13836" max="13836" width="31.54296875" style="995" customWidth="1"/>
    <col min="13837" max="13837" width="34.36328125" style="995" customWidth="1"/>
    <col min="13838" max="13838" width="45.08984375" style="995" customWidth="1"/>
    <col min="13839" max="14080" width="9.08984375" style="995"/>
    <col min="14081" max="14081" width="4.6328125" style="995" customWidth="1"/>
    <col min="14082" max="14082" width="10.54296875" style="995" customWidth="1"/>
    <col min="14083" max="14083" width="49.08984375" style="995" customWidth="1"/>
    <col min="14084" max="14084" width="68.54296875" style="995" customWidth="1"/>
    <col min="14085" max="14085" width="35.453125" style="995" customWidth="1"/>
    <col min="14086" max="14086" width="21" style="995" customWidth="1"/>
    <col min="14087" max="14087" width="28.453125" style="995" customWidth="1"/>
    <col min="14088" max="14088" width="30.6328125" style="995" customWidth="1"/>
    <col min="14089" max="14089" width="29.54296875" style="995" customWidth="1"/>
    <col min="14090" max="14090" width="33.54296875" style="995" customWidth="1"/>
    <col min="14091" max="14091" width="26.54296875" style="995" customWidth="1"/>
    <col min="14092" max="14092" width="31.54296875" style="995" customWidth="1"/>
    <col min="14093" max="14093" width="34.36328125" style="995" customWidth="1"/>
    <col min="14094" max="14094" width="45.08984375" style="995" customWidth="1"/>
    <col min="14095" max="14336" width="9.08984375" style="995"/>
    <col min="14337" max="14337" width="4.6328125" style="995" customWidth="1"/>
    <col min="14338" max="14338" width="10.54296875" style="995" customWidth="1"/>
    <col min="14339" max="14339" width="49.08984375" style="995" customWidth="1"/>
    <col min="14340" max="14340" width="68.54296875" style="995" customWidth="1"/>
    <col min="14341" max="14341" width="35.453125" style="995" customWidth="1"/>
    <col min="14342" max="14342" width="21" style="995" customWidth="1"/>
    <col min="14343" max="14343" width="28.453125" style="995" customWidth="1"/>
    <col min="14344" max="14344" width="30.6328125" style="995" customWidth="1"/>
    <col min="14345" max="14345" width="29.54296875" style="995" customWidth="1"/>
    <col min="14346" max="14346" width="33.54296875" style="995" customWidth="1"/>
    <col min="14347" max="14347" width="26.54296875" style="995" customWidth="1"/>
    <col min="14348" max="14348" width="31.54296875" style="995" customWidth="1"/>
    <col min="14349" max="14349" width="34.36328125" style="995" customWidth="1"/>
    <col min="14350" max="14350" width="45.08984375" style="995" customWidth="1"/>
    <col min="14351" max="14592" width="9.08984375" style="995"/>
    <col min="14593" max="14593" width="4.6328125" style="995" customWidth="1"/>
    <col min="14594" max="14594" width="10.54296875" style="995" customWidth="1"/>
    <col min="14595" max="14595" width="49.08984375" style="995" customWidth="1"/>
    <col min="14596" max="14596" width="68.54296875" style="995" customWidth="1"/>
    <col min="14597" max="14597" width="35.453125" style="995" customWidth="1"/>
    <col min="14598" max="14598" width="21" style="995" customWidth="1"/>
    <col min="14599" max="14599" width="28.453125" style="995" customWidth="1"/>
    <col min="14600" max="14600" width="30.6328125" style="995" customWidth="1"/>
    <col min="14601" max="14601" width="29.54296875" style="995" customWidth="1"/>
    <col min="14602" max="14602" width="33.54296875" style="995" customWidth="1"/>
    <col min="14603" max="14603" width="26.54296875" style="995" customWidth="1"/>
    <col min="14604" max="14604" width="31.54296875" style="995" customWidth="1"/>
    <col min="14605" max="14605" width="34.36328125" style="995" customWidth="1"/>
    <col min="14606" max="14606" width="45.08984375" style="995" customWidth="1"/>
    <col min="14607" max="14848" width="9.08984375" style="995"/>
    <col min="14849" max="14849" width="4.6328125" style="995" customWidth="1"/>
    <col min="14850" max="14850" width="10.54296875" style="995" customWidth="1"/>
    <col min="14851" max="14851" width="49.08984375" style="995" customWidth="1"/>
    <col min="14852" max="14852" width="68.54296875" style="995" customWidth="1"/>
    <col min="14853" max="14853" width="35.453125" style="995" customWidth="1"/>
    <col min="14854" max="14854" width="21" style="995" customWidth="1"/>
    <col min="14855" max="14855" width="28.453125" style="995" customWidth="1"/>
    <col min="14856" max="14856" width="30.6328125" style="995" customWidth="1"/>
    <col min="14857" max="14857" width="29.54296875" style="995" customWidth="1"/>
    <col min="14858" max="14858" width="33.54296875" style="995" customWidth="1"/>
    <col min="14859" max="14859" width="26.54296875" style="995" customWidth="1"/>
    <col min="14860" max="14860" width="31.54296875" style="995" customWidth="1"/>
    <col min="14861" max="14861" width="34.36328125" style="995" customWidth="1"/>
    <col min="14862" max="14862" width="45.08984375" style="995" customWidth="1"/>
    <col min="14863" max="15104" width="9.08984375" style="995"/>
    <col min="15105" max="15105" width="4.6328125" style="995" customWidth="1"/>
    <col min="15106" max="15106" width="10.54296875" style="995" customWidth="1"/>
    <col min="15107" max="15107" width="49.08984375" style="995" customWidth="1"/>
    <col min="15108" max="15108" width="68.54296875" style="995" customWidth="1"/>
    <col min="15109" max="15109" width="35.453125" style="995" customWidth="1"/>
    <col min="15110" max="15110" width="21" style="995" customWidth="1"/>
    <col min="15111" max="15111" width="28.453125" style="995" customWidth="1"/>
    <col min="15112" max="15112" width="30.6328125" style="995" customWidth="1"/>
    <col min="15113" max="15113" width="29.54296875" style="995" customWidth="1"/>
    <col min="15114" max="15114" width="33.54296875" style="995" customWidth="1"/>
    <col min="15115" max="15115" width="26.54296875" style="995" customWidth="1"/>
    <col min="15116" max="15116" width="31.54296875" style="995" customWidth="1"/>
    <col min="15117" max="15117" width="34.36328125" style="995" customWidth="1"/>
    <col min="15118" max="15118" width="45.08984375" style="995" customWidth="1"/>
    <col min="15119" max="15360" width="9.08984375" style="995"/>
    <col min="15361" max="15361" width="4.6328125" style="995" customWidth="1"/>
    <col min="15362" max="15362" width="10.54296875" style="995" customWidth="1"/>
    <col min="15363" max="15363" width="49.08984375" style="995" customWidth="1"/>
    <col min="15364" max="15364" width="68.54296875" style="995" customWidth="1"/>
    <col min="15365" max="15365" width="35.453125" style="995" customWidth="1"/>
    <col min="15366" max="15366" width="21" style="995" customWidth="1"/>
    <col min="15367" max="15367" width="28.453125" style="995" customWidth="1"/>
    <col min="15368" max="15368" width="30.6328125" style="995" customWidth="1"/>
    <col min="15369" max="15369" width="29.54296875" style="995" customWidth="1"/>
    <col min="15370" max="15370" width="33.54296875" style="995" customWidth="1"/>
    <col min="15371" max="15371" width="26.54296875" style="995" customWidth="1"/>
    <col min="15372" max="15372" width="31.54296875" style="995" customWidth="1"/>
    <col min="15373" max="15373" width="34.36328125" style="995" customWidth="1"/>
    <col min="15374" max="15374" width="45.08984375" style="995" customWidth="1"/>
    <col min="15375" max="15616" width="9.08984375" style="995"/>
    <col min="15617" max="15617" width="4.6328125" style="995" customWidth="1"/>
    <col min="15618" max="15618" width="10.54296875" style="995" customWidth="1"/>
    <col min="15619" max="15619" width="49.08984375" style="995" customWidth="1"/>
    <col min="15620" max="15620" width="68.54296875" style="995" customWidth="1"/>
    <col min="15621" max="15621" width="35.453125" style="995" customWidth="1"/>
    <col min="15622" max="15622" width="21" style="995" customWidth="1"/>
    <col min="15623" max="15623" width="28.453125" style="995" customWidth="1"/>
    <col min="15624" max="15624" width="30.6328125" style="995" customWidth="1"/>
    <col min="15625" max="15625" width="29.54296875" style="995" customWidth="1"/>
    <col min="15626" max="15626" width="33.54296875" style="995" customWidth="1"/>
    <col min="15627" max="15627" width="26.54296875" style="995" customWidth="1"/>
    <col min="15628" max="15628" width="31.54296875" style="995" customWidth="1"/>
    <col min="15629" max="15629" width="34.36328125" style="995" customWidth="1"/>
    <col min="15630" max="15630" width="45.08984375" style="995" customWidth="1"/>
    <col min="15631" max="15872" width="9.08984375" style="995"/>
    <col min="15873" max="15873" width="4.6328125" style="995" customWidth="1"/>
    <col min="15874" max="15874" width="10.54296875" style="995" customWidth="1"/>
    <col min="15875" max="15875" width="49.08984375" style="995" customWidth="1"/>
    <col min="15876" max="15876" width="68.54296875" style="995" customWidth="1"/>
    <col min="15877" max="15877" width="35.453125" style="995" customWidth="1"/>
    <col min="15878" max="15878" width="21" style="995" customWidth="1"/>
    <col min="15879" max="15879" width="28.453125" style="995" customWidth="1"/>
    <col min="15880" max="15880" width="30.6328125" style="995" customWidth="1"/>
    <col min="15881" max="15881" width="29.54296875" style="995" customWidth="1"/>
    <col min="15882" max="15882" width="33.54296875" style="995" customWidth="1"/>
    <col min="15883" max="15883" width="26.54296875" style="995" customWidth="1"/>
    <col min="15884" max="15884" width="31.54296875" style="995" customWidth="1"/>
    <col min="15885" max="15885" width="34.36328125" style="995" customWidth="1"/>
    <col min="15886" max="15886" width="45.08984375" style="995" customWidth="1"/>
    <col min="15887" max="16128" width="9.08984375" style="995"/>
    <col min="16129" max="16129" width="4.6328125" style="995" customWidth="1"/>
    <col min="16130" max="16130" width="10.54296875" style="995" customWidth="1"/>
    <col min="16131" max="16131" width="49.08984375" style="995" customWidth="1"/>
    <col min="16132" max="16132" width="68.54296875" style="995" customWidth="1"/>
    <col min="16133" max="16133" width="35.453125" style="995" customWidth="1"/>
    <col min="16134" max="16134" width="21" style="995" customWidth="1"/>
    <col min="16135" max="16135" width="28.453125" style="995" customWidth="1"/>
    <col min="16136" max="16136" width="30.6328125" style="995" customWidth="1"/>
    <col min="16137" max="16137" width="29.54296875" style="995" customWidth="1"/>
    <col min="16138" max="16138" width="33.54296875" style="995" customWidth="1"/>
    <col min="16139" max="16139" width="26.54296875" style="995" customWidth="1"/>
    <col min="16140" max="16140" width="31.54296875" style="995" customWidth="1"/>
    <col min="16141" max="16141" width="34.36328125" style="995" customWidth="1"/>
    <col min="16142" max="16142" width="45.08984375" style="995" customWidth="1"/>
    <col min="16143" max="16384" width="9.08984375" style="995"/>
  </cols>
  <sheetData>
    <row r="1" spans="2:14">
      <c r="C1" s="996"/>
      <c r="D1" s="996"/>
    </row>
    <row r="2" spans="2:14" ht="31.5" customHeight="1">
      <c r="C2" s="965"/>
      <c r="D2" s="965"/>
      <c r="E2" s="965"/>
      <c r="F2" s="965"/>
      <c r="G2" s="965"/>
      <c r="H2" s="965"/>
      <c r="I2" s="965"/>
      <c r="J2" s="965"/>
      <c r="K2" s="965"/>
      <c r="L2" s="965"/>
      <c r="M2" s="965"/>
      <c r="N2" s="965"/>
    </row>
    <row r="3" spans="2:14" s="874" customFormat="1">
      <c r="B3" s="22"/>
      <c r="C3" s="964"/>
      <c r="D3" s="22"/>
      <c r="E3" s="22"/>
      <c r="F3" s="22"/>
      <c r="G3" s="22"/>
      <c r="H3" s="892" t="str">
        <f>Index!B2</f>
        <v xml:space="preserve">      Maharashtra State Power Generation Company Ltd.</v>
      </c>
    </row>
    <row r="4" spans="2:14" s="874" customFormat="1">
      <c r="B4" s="965"/>
      <c r="C4" s="964"/>
      <c r="D4" s="950"/>
      <c r="E4" s="950"/>
      <c r="F4" s="950"/>
      <c r="G4" s="950"/>
      <c r="H4" s="894" t="s">
        <v>1077</v>
      </c>
    </row>
    <row r="5" spans="2:14" s="874" customFormat="1">
      <c r="B5" s="965"/>
      <c r="C5" s="964"/>
      <c r="D5" s="950"/>
      <c r="E5" s="950"/>
      <c r="F5" s="950"/>
      <c r="G5" s="950"/>
      <c r="H5" s="998" t="s">
        <v>1313</v>
      </c>
    </row>
    <row r="6" spans="2:14" s="874" customFormat="1">
      <c r="B6" s="965"/>
      <c r="C6" s="964"/>
      <c r="D6" s="950"/>
      <c r="E6" s="950"/>
      <c r="F6" s="950"/>
      <c r="G6" s="950"/>
      <c r="H6" s="998"/>
    </row>
    <row r="7" spans="2:14" ht="81" customHeight="1">
      <c r="B7" s="999" t="s">
        <v>341</v>
      </c>
      <c r="C7" s="999" t="s">
        <v>1314</v>
      </c>
      <c r="D7" s="999" t="s">
        <v>1315</v>
      </c>
      <c r="E7" s="999" t="s">
        <v>1316</v>
      </c>
      <c r="F7" s="999" t="s">
        <v>1317</v>
      </c>
      <c r="G7" s="999" t="s">
        <v>1318</v>
      </c>
      <c r="H7" s="999" t="s">
        <v>1319</v>
      </c>
      <c r="I7" s="999" t="s">
        <v>1320</v>
      </c>
      <c r="J7" s="999" t="s">
        <v>1321</v>
      </c>
      <c r="K7" s="999" t="s">
        <v>1322</v>
      </c>
      <c r="L7" s="999" t="s">
        <v>1323</v>
      </c>
      <c r="M7" s="1000" t="s">
        <v>1324</v>
      </c>
      <c r="N7" s="999" t="s">
        <v>1325</v>
      </c>
    </row>
    <row r="8" spans="2:14">
      <c r="B8" s="1001"/>
      <c r="C8" s="985"/>
      <c r="D8" s="985"/>
      <c r="E8" s="985"/>
      <c r="F8" s="985"/>
      <c r="G8" s="985"/>
      <c r="H8" s="985"/>
      <c r="I8" s="985"/>
      <c r="J8" s="985"/>
      <c r="K8" s="985"/>
      <c r="L8" s="985"/>
      <c r="M8" s="985"/>
      <c r="N8" s="985"/>
    </row>
    <row r="9" spans="2:14" s="1002" customFormat="1">
      <c r="B9" s="1001"/>
      <c r="C9" s="985"/>
      <c r="D9" s="985"/>
      <c r="E9" s="985"/>
      <c r="F9" s="985"/>
      <c r="G9" s="985"/>
      <c r="H9" s="985"/>
      <c r="I9" s="985"/>
      <c r="J9" s="985"/>
      <c r="K9" s="985"/>
      <c r="L9" s="985"/>
      <c r="M9" s="985"/>
      <c r="N9" s="985"/>
    </row>
    <row r="10" spans="2:14">
      <c r="B10" s="1001"/>
      <c r="C10" s="985"/>
      <c r="D10" s="985"/>
      <c r="E10" s="985"/>
      <c r="F10" s="985"/>
      <c r="G10" s="985"/>
      <c r="H10" s="985"/>
      <c r="I10" s="985"/>
      <c r="J10" s="985"/>
      <c r="K10" s="985"/>
      <c r="L10" s="985"/>
      <c r="M10" s="985"/>
      <c r="N10" s="985"/>
    </row>
    <row r="11" spans="2:14">
      <c r="B11" s="1001"/>
      <c r="C11" s="985"/>
      <c r="D11" s="985"/>
      <c r="E11" s="985"/>
      <c r="F11" s="985"/>
      <c r="G11" s="985"/>
      <c r="H11" s="985"/>
      <c r="I11" s="985"/>
      <c r="J11" s="985"/>
      <c r="K11" s="985"/>
      <c r="L11" s="985"/>
      <c r="M11" s="985"/>
      <c r="N11" s="985"/>
    </row>
    <row r="12" spans="2:14">
      <c r="B12" s="1001"/>
      <c r="C12" s="985"/>
      <c r="D12" s="985"/>
      <c r="E12" s="985"/>
      <c r="F12" s="985"/>
      <c r="G12" s="985"/>
      <c r="H12" s="985"/>
      <c r="I12" s="985"/>
      <c r="J12" s="985"/>
      <c r="K12" s="985"/>
      <c r="L12" s="985"/>
      <c r="M12" s="985"/>
      <c r="N12" s="985"/>
    </row>
    <row r="13" spans="2:14" ht="14.5" thickBot="1">
      <c r="B13" s="1003"/>
      <c r="C13" s="985"/>
      <c r="D13" s="985"/>
      <c r="E13" s="985"/>
      <c r="F13" s="985"/>
      <c r="G13" s="985"/>
      <c r="H13" s="985"/>
      <c r="I13" s="985"/>
      <c r="J13" s="985"/>
      <c r="K13" s="985"/>
      <c r="L13" s="985"/>
      <c r="M13" s="985"/>
      <c r="N13" s="985"/>
    </row>
    <row r="14" spans="2:14">
      <c r="M14" s="995"/>
    </row>
    <row r="15" spans="2:14">
      <c r="M15" s="995"/>
    </row>
    <row r="16" spans="2:14">
      <c r="M16" s="995"/>
    </row>
    <row r="17" spans="3:13">
      <c r="M17" s="995"/>
    </row>
    <row r="18" spans="3:13">
      <c r="M18" s="995"/>
    </row>
    <row r="19" spans="3:13">
      <c r="M19" s="995"/>
    </row>
    <row r="20" spans="3:13">
      <c r="M20" s="995"/>
    </row>
    <row r="21" spans="3:13">
      <c r="M21" s="995"/>
    </row>
    <row r="22" spans="3:13">
      <c r="M22" s="995"/>
    </row>
    <row r="23" spans="3:13" ht="27.75" customHeight="1">
      <c r="M23" s="995"/>
    </row>
    <row r="24" spans="3:13" ht="27.75" customHeight="1">
      <c r="M24" s="995"/>
    </row>
    <row r="25" spans="3:13">
      <c r="M25" s="995"/>
    </row>
    <row r="26" spans="3:13">
      <c r="M26" s="995"/>
    </row>
    <row r="27" spans="3:13">
      <c r="M27" s="995"/>
    </row>
    <row r="28" spans="3:13">
      <c r="M28" s="995"/>
    </row>
    <row r="29" spans="3:13" ht="29.4" customHeight="1">
      <c r="C29" s="1004"/>
      <c r="M29" s="995"/>
    </row>
    <row r="30" spans="3:13">
      <c r="M30" s="995"/>
    </row>
    <row r="31" spans="3:13">
      <c r="M31" s="995"/>
    </row>
    <row r="32" spans="3:13">
      <c r="M32" s="995"/>
    </row>
    <row r="33" spans="13:14">
      <c r="M33" s="995"/>
    </row>
    <row r="34" spans="13:14">
      <c r="M34" s="995"/>
    </row>
    <row r="35" spans="13:14">
      <c r="M35" s="995"/>
    </row>
    <row r="36" spans="13:14">
      <c r="M36" s="995"/>
    </row>
    <row r="37" spans="13:14">
      <c r="M37" s="995"/>
    </row>
    <row r="38" spans="13:14">
      <c r="M38" s="995"/>
    </row>
    <row r="39" spans="13:14">
      <c r="M39" s="995"/>
    </row>
    <row r="40" spans="13:14">
      <c r="M40" s="995"/>
    </row>
    <row r="41" spans="13:14">
      <c r="M41" s="995"/>
    </row>
    <row r="42" spans="13:14">
      <c r="M42" s="995"/>
    </row>
    <row r="43" spans="13:14">
      <c r="M43" s="995"/>
    </row>
    <row r="44" spans="13:14">
      <c r="M44" s="995"/>
    </row>
    <row r="45" spans="13:14">
      <c r="M45" s="995"/>
      <c r="N45" s="1005"/>
    </row>
    <row r="46" spans="13:14">
      <c r="M46" s="995"/>
    </row>
    <row r="47" spans="13:14">
      <c r="M47" s="995"/>
    </row>
    <row r="48" spans="13:14">
      <c r="M48" s="995"/>
    </row>
    <row r="49" spans="4:14">
      <c r="M49" s="995"/>
    </row>
    <row r="50" spans="4:14">
      <c r="M50" s="995"/>
    </row>
    <row r="51" spans="4:14">
      <c r="M51" s="995"/>
    </row>
    <row r="52" spans="4:14">
      <c r="M52" s="995"/>
    </row>
    <row r="53" spans="4:14">
      <c r="M53" s="995"/>
    </row>
    <row r="54" spans="4:14">
      <c r="M54" s="995"/>
    </row>
    <row r="55" spans="4:14">
      <c r="M55" s="995"/>
    </row>
    <row r="56" spans="4:14">
      <c r="M56" s="995"/>
    </row>
    <row r="57" spans="4:14">
      <c r="M57" s="995"/>
    </row>
    <row r="58" spans="4:14">
      <c r="M58" s="995"/>
    </row>
    <row r="59" spans="4:14">
      <c r="M59" s="995"/>
      <c r="N59" s="1005"/>
    </row>
    <row r="60" spans="4:14">
      <c r="M60" s="995"/>
    </row>
    <row r="61" spans="4:14">
      <c r="M61" s="995"/>
    </row>
    <row r="62" spans="4:14">
      <c r="M62" s="1006"/>
    </row>
    <row r="63" spans="4:14">
      <c r="M63" s="1007"/>
    </row>
    <row r="64" spans="4:14">
      <c r="D64" s="1008"/>
    </row>
    <row r="65" spans="13:13">
      <c r="M65" s="1007"/>
    </row>
    <row r="70" spans="13:13">
      <c r="M70" s="1006"/>
    </row>
    <row r="73" spans="13:13">
      <c r="M73" s="1006"/>
    </row>
    <row r="75" spans="13:13">
      <c r="M75" s="1009"/>
    </row>
    <row r="76" spans="13:13">
      <c r="M76" s="1010"/>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T29"/>
  <sheetViews>
    <sheetView workbookViewId="0">
      <selection activeCell="G2" sqref="G2"/>
    </sheetView>
  </sheetViews>
  <sheetFormatPr defaultColWidth="9.08984375" defaultRowHeight="14"/>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c r="B2" s="22"/>
      <c r="C2" s="22"/>
      <c r="D2" s="22"/>
      <c r="E2" s="22"/>
      <c r="F2" s="22"/>
      <c r="G2" s="892" t="str">
        <f>Index!B2</f>
        <v xml:space="preserve">      Maharashtra State Power Generation Company Ltd.</v>
      </c>
      <c r="H2" s="22"/>
      <c r="I2" s="22"/>
      <c r="J2" s="22"/>
      <c r="K2" s="22"/>
      <c r="L2" s="22"/>
      <c r="M2" s="22"/>
      <c r="N2" s="22"/>
      <c r="O2" s="22"/>
      <c r="P2" s="22"/>
      <c r="Q2" s="22"/>
      <c r="R2" s="22"/>
    </row>
    <row r="3" spans="2:18">
      <c r="B3" s="279"/>
      <c r="C3" s="279"/>
      <c r="D3" s="279"/>
      <c r="E3" s="279"/>
      <c r="F3" s="279"/>
      <c r="G3" s="894" t="s">
        <v>1077</v>
      </c>
      <c r="H3" s="279"/>
      <c r="I3" s="279"/>
      <c r="J3" s="279"/>
      <c r="K3" s="279"/>
      <c r="L3" s="279"/>
      <c r="M3" s="279"/>
      <c r="N3" s="279"/>
      <c r="O3" s="279"/>
      <c r="P3" s="279"/>
      <c r="Q3" s="279"/>
      <c r="R3" s="279"/>
    </row>
    <row r="4" spans="2:18">
      <c r="B4" s="22"/>
      <c r="C4" s="22"/>
      <c r="D4" s="22"/>
      <c r="E4" s="22"/>
      <c r="F4" s="22"/>
      <c r="G4" s="998" t="s">
        <v>1326</v>
      </c>
      <c r="H4" s="22"/>
      <c r="I4" s="22"/>
      <c r="J4" s="22"/>
      <c r="K4" s="22"/>
      <c r="L4" s="22"/>
      <c r="M4" s="22"/>
      <c r="N4" s="22"/>
      <c r="O4" s="22"/>
      <c r="P4" s="22"/>
      <c r="Q4" s="22"/>
      <c r="R4" s="22"/>
    </row>
    <row r="6" spans="2:18">
      <c r="B6" s="44" t="s">
        <v>1327</v>
      </c>
      <c r="C6" s="44"/>
      <c r="D6" s="44"/>
      <c r="E6" s="44"/>
      <c r="F6" s="44"/>
      <c r="G6" s="44"/>
      <c r="H6" s="44"/>
      <c r="I6" s="44"/>
      <c r="J6" s="44"/>
      <c r="K6" s="44"/>
      <c r="L6" s="44"/>
      <c r="M6" s="44"/>
      <c r="N6" s="44"/>
      <c r="O6" s="44"/>
      <c r="P6" s="44"/>
      <c r="Q6" s="44"/>
    </row>
    <row r="7" spans="2:18">
      <c r="B7" s="44" t="s">
        <v>1328</v>
      </c>
      <c r="C7" s="44"/>
      <c r="D7" s="44"/>
      <c r="E7" s="44"/>
      <c r="F7" s="44"/>
      <c r="G7" s="44"/>
      <c r="H7" s="44"/>
      <c r="I7" s="44"/>
      <c r="J7" s="44"/>
      <c r="K7" s="44"/>
      <c r="L7" s="44"/>
      <c r="M7" s="44"/>
      <c r="N7" s="44"/>
      <c r="O7" s="44"/>
      <c r="P7" s="44"/>
      <c r="Q7" s="44"/>
    </row>
    <row r="9" spans="2:18">
      <c r="B9" s="184"/>
      <c r="C9" s="1896" t="s">
        <v>1329</v>
      </c>
      <c r="D9" s="1897"/>
      <c r="E9" s="1898"/>
      <c r="F9" s="1896" t="s">
        <v>1330</v>
      </c>
      <c r="G9" s="1897"/>
      <c r="H9" s="1898"/>
      <c r="I9" s="1896" t="s">
        <v>1331</v>
      </c>
      <c r="J9" s="1897"/>
      <c r="K9" s="1898"/>
      <c r="L9" s="1896" t="s">
        <v>1332</v>
      </c>
      <c r="M9" s="1897"/>
      <c r="N9" s="1898"/>
      <c r="O9" s="1896" t="s">
        <v>1333</v>
      </c>
      <c r="P9" s="1897"/>
      <c r="Q9" s="1898"/>
    </row>
    <row r="10" spans="2:18" ht="56">
      <c r="B10" s="1011"/>
      <c r="C10" s="893" t="s">
        <v>1334</v>
      </c>
      <c r="D10" s="893" t="s">
        <v>1335</v>
      </c>
      <c r="E10" s="893" t="s">
        <v>1336</v>
      </c>
      <c r="F10" s="893" t="s">
        <v>1337</v>
      </c>
      <c r="G10" s="893" t="s">
        <v>1335</v>
      </c>
      <c r="H10" s="893" t="s">
        <v>1336</v>
      </c>
      <c r="I10" s="893" t="s">
        <v>1337</v>
      </c>
      <c r="J10" s="893" t="s">
        <v>1335</v>
      </c>
      <c r="K10" s="893" t="s">
        <v>1336</v>
      </c>
      <c r="L10" s="893" t="s">
        <v>1337</v>
      </c>
      <c r="M10" s="893" t="s">
        <v>1335</v>
      </c>
      <c r="N10" s="893" t="s">
        <v>1336</v>
      </c>
      <c r="O10" s="893" t="s">
        <v>1337</v>
      </c>
      <c r="P10" s="893" t="s">
        <v>1335</v>
      </c>
      <c r="Q10" s="893" t="s">
        <v>1336</v>
      </c>
    </row>
    <row r="11" spans="2:18">
      <c r="B11" s="1012" t="s">
        <v>1338</v>
      </c>
      <c r="C11" s="1013"/>
      <c r="D11" s="1013"/>
      <c r="E11" s="1013"/>
      <c r="F11" s="1013"/>
      <c r="G11" s="1013"/>
      <c r="H11" s="1013"/>
      <c r="I11" s="1013"/>
      <c r="J11" s="1013"/>
      <c r="K11" s="1013"/>
      <c r="L11" s="1013"/>
      <c r="M11" s="1013"/>
      <c r="N11" s="1013"/>
      <c r="O11" s="1013"/>
      <c r="P11" s="1013"/>
      <c r="Q11" s="1013"/>
      <c r="R11" s="1014"/>
    </row>
    <row r="12" spans="2:18">
      <c r="B12" s="9" t="s">
        <v>1091</v>
      </c>
      <c r="C12" s="1013"/>
      <c r="D12" s="1013"/>
      <c r="E12" s="1013"/>
      <c r="F12" s="1013"/>
      <c r="G12" s="1013"/>
      <c r="H12" s="1013"/>
      <c r="I12" s="1013"/>
      <c r="J12" s="1013"/>
      <c r="K12" s="1013"/>
      <c r="L12" s="1013"/>
      <c r="M12" s="1013"/>
      <c r="N12" s="1013"/>
      <c r="O12" s="1013"/>
      <c r="P12" s="1013"/>
      <c r="Q12" s="1013"/>
      <c r="R12" s="1015"/>
    </row>
    <row r="13" spans="2:18">
      <c r="B13" s="9" t="s">
        <v>1091</v>
      </c>
      <c r="C13" s="1013"/>
      <c r="D13" s="1013"/>
      <c r="E13" s="1013"/>
      <c r="F13" s="1013"/>
      <c r="G13" s="1013"/>
      <c r="H13" s="1013"/>
      <c r="I13" s="1013"/>
      <c r="J13" s="1013"/>
      <c r="K13" s="1013"/>
      <c r="L13" s="1013"/>
      <c r="M13" s="1013"/>
      <c r="N13" s="1013"/>
      <c r="O13" s="1013"/>
      <c r="P13" s="1013"/>
      <c r="Q13" s="1013"/>
    </row>
    <row r="14" spans="2:18">
      <c r="B14" s="40" t="s">
        <v>1339</v>
      </c>
      <c r="C14" s="1013"/>
      <c r="D14" s="1013"/>
      <c r="E14" s="1013"/>
      <c r="F14" s="1013"/>
      <c r="G14" s="1013"/>
      <c r="H14" s="1013"/>
      <c r="I14" s="1013"/>
      <c r="J14" s="1013"/>
      <c r="K14" s="1013"/>
      <c r="L14" s="1013"/>
      <c r="M14" s="1013"/>
      <c r="N14" s="1013"/>
      <c r="O14" s="1013"/>
      <c r="P14" s="1013"/>
      <c r="Q14" s="1013"/>
      <c r="R14" s="1016"/>
    </row>
    <row r="15" spans="2:18">
      <c r="B15" s="9" t="s">
        <v>1340</v>
      </c>
      <c r="C15" s="1013"/>
      <c r="D15" s="1013"/>
      <c r="E15" s="1013"/>
      <c r="F15" s="1013"/>
      <c r="G15" s="1013"/>
      <c r="H15" s="1013"/>
      <c r="I15" s="1013"/>
      <c r="J15" s="1013"/>
      <c r="K15" s="1013"/>
      <c r="L15" s="1013"/>
      <c r="M15" s="1013"/>
      <c r="N15" s="1013"/>
      <c r="O15" s="1013"/>
      <c r="P15" s="1013"/>
      <c r="Q15" s="1013"/>
    </row>
    <row r="16" spans="2:18">
      <c r="B16" s="1017" t="s">
        <v>1341</v>
      </c>
      <c r="C16" s="1013"/>
      <c r="D16" s="1013"/>
      <c r="E16" s="1013"/>
      <c r="F16" s="1013"/>
      <c r="G16" s="1013"/>
      <c r="H16" s="1013"/>
      <c r="I16" s="1013"/>
      <c r="J16" s="1013"/>
      <c r="K16" s="1013"/>
      <c r="L16" s="1013"/>
      <c r="M16" s="1013"/>
      <c r="N16" s="1013"/>
      <c r="O16" s="1013"/>
      <c r="P16" s="1013"/>
      <c r="Q16" s="1013"/>
      <c r="R16" s="1016"/>
    </row>
    <row r="17" spans="2:20">
      <c r="B17" s="1018" t="s">
        <v>1342</v>
      </c>
      <c r="C17" s="1013"/>
      <c r="D17" s="1013"/>
      <c r="E17" s="1013"/>
      <c r="F17" s="1013"/>
      <c r="G17" s="1013"/>
      <c r="H17" s="1013"/>
      <c r="I17" s="1013"/>
      <c r="J17" s="1013"/>
      <c r="K17" s="1013"/>
      <c r="L17" s="1013"/>
      <c r="M17" s="1013"/>
      <c r="N17" s="1013"/>
      <c r="O17" s="1013"/>
      <c r="P17" s="1013"/>
      <c r="Q17" s="1013"/>
      <c r="R17" s="1019"/>
    </row>
    <row r="18" spans="2:20">
      <c r="B18" s="1017" t="s">
        <v>1343</v>
      </c>
      <c r="C18" s="1013"/>
      <c r="D18" s="1013"/>
      <c r="E18" s="1013"/>
      <c r="F18" s="1013"/>
      <c r="G18" s="1013"/>
      <c r="H18" s="1013"/>
      <c r="I18" s="1013"/>
      <c r="J18" s="1013"/>
      <c r="K18" s="1013"/>
      <c r="L18" s="1013"/>
      <c r="M18" s="1013"/>
      <c r="N18" s="1013"/>
      <c r="O18" s="1013"/>
      <c r="P18" s="1013"/>
      <c r="Q18" s="1013"/>
      <c r="R18" s="1014"/>
      <c r="T18" s="1014"/>
    </row>
    <row r="19" spans="2:20">
      <c r="B19" s="40" t="s">
        <v>1344</v>
      </c>
      <c r="C19" s="1013"/>
      <c r="D19" s="1013"/>
      <c r="E19" s="1013"/>
      <c r="F19" s="1013"/>
      <c r="G19" s="1013"/>
      <c r="H19" s="1013"/>
      <c r="I19" s="1013"/>
      <c r="J19" s="1013"/>
      <c r="K19" s="1013"/>
      <c r="L19" s="1013"/>
      <c r="M19" s="1013"/>
      <c r="N19" s="1013"/>
      <c r="O19" s="1013"/>
      <c r="P19" s="1013"/>
      <c r="Q19" s="1013"/>
      <c r="R19" s="1020"/>
      <c r="T19" s="1014"/>
    </row>
    <row r="20" spans="2:20" s="44" customFormat="1">
      <c r="B20" s="40" t="s">
        <v>1345</v>
      </c>
      <c r="C20" s="1013"/>
      <c r="D20" s="1013"/>
      <c r="E20" s="1013"/>
      <c r="F20" s="1013"/>
      <c r="G20" s="1013"/>
      <c r="H20" s="1013"/>
      <c r="I20" s="1013"/>
      <c r="J20" s="1013"/>
      <c r="K20" s="1013"/>
      <c r="L20" s="1013"/>
      <c r="M20" s="1013"/>
      <c r="N20" s="1013"/>
      <c r="O20" s="1013"/>
      <c r="P20" s="1013"/>
      <c r="Q20" s="1013"/>
      <c r="R20" s="1021"/>
      <c r="S20" s="1021"/>
    </row>
    <row r="21" spans="2:20" ht="42">
      <c r="B21" s="1022" t="s">
        <v>1346</v>
      </c>
      <c r="C21" s="1013"/>
      <c r="D21" s="1013"/>
      <c r="E21" s="1013"/>
      <c r="F21" s="1013"/>
      <c r="G21" s="1013"/>
      <c r="H21" s="1013"/>
      <c r="I21" s="1013"/>
      <c r="J21" s="1013"/>
      <c r="K21" s="1013"/>
      <c r="L21" s="1013"/>
      <c r="M21" s="1013"/>
      <c r="N21" s="1013"/>
      <c r="O21" s="1013"/>
      <c r="P21" s="1013"/>
      <c r="Q21" s="1013"/>
      <c r="R21" s="1016"/>
    </row>
    <row r="22" spans="2:20">
      <c r="B22" s="1023"/>
      <c r="C22" s="1024"/>
      <c r="D22" s="130"/>
      <c r="E22" s="1025"/>
      <c r="F22" s="1026"/>
      <c r="G22" s="1014"/>
      <c r="H22" s="1027"/>
      <c r="I22" s="1028"/>
      <c r="J22" s="1016"/>
      <c r="K22" s="1029"/>
      <c r="L22" s="1029"/>
      <c r="M22" s="1029"/>
      <c r="N22" s="1029"/>
      <c r="O22" s="1026"/>
      <c r="P22" s="1014"/>
      <c r="Q22" s="1029"/>
    </row>
    <row r="23" spans="2:20">
      <c r="B23" s="1" t="s">
        <v>1347</v>
      </c>
      <c r="G23" s="1014"/>
      <c r="H23" s="1030"/>
      <c r="I23" s="1030"/>
      <c r="J23" s="1016"/>
      <c r="K23" s="1030"/>
      <c r="L23" s="1030"/>
      <c r="M23" s="1030"/>
      <c r="N23" s="1030"/>
      <c r="P23" s="1014"/>
      <c r="Q23" s="1030"/>
      <c r="R23" s="1016"/>
    </row>
    <row r="24" spans="2:20">
      <c r="H24" s="1031"/>
      <c r="K24" s="1031"/>
      <c r="L24" s="1031"/>
      <c r="M24" s="1031"/>
      <c r="N24" s="1031"/>
      <c r="Q24" s="1031"/>
    </row>
    <row r="25" spans="2:20">
      <c r="C25" s="1014"/>
      <c r="D25" s="1014"/>
      <c r="E25" s="1014"/>
      <c r="F25" s="1014"/>
      <c r="G25" s="1014"/>
      <c r="H25" s="1014"/>
      <c r="I25" s="1014"/>
      <c r="J25" s="1014"/>
      <c r="K25" s="1014"/>
      <c r="L25" s="1014"/>
      <c r="M25" s="1014"/>
      <c r="N25" s="1014"/>
      <c r="O25" s="1014"/>
      <c r="P25" s="1014"/>
      <c r="Q25" s="1014"/>
    </row>
    <row r="26" spans="2:20">
      <c r="H26" s="1014"/>
      <c r="K26" s="1014"/>
      <c r="L26" s="1014"/>
      <c r="M26" s="1014"/>
      <c r="N26" s="1014"/>
      <c r="Q26" s="1014"/>
      <c r="S26" s="1014"/>
    </row>
    <row r="27" spans="2:20">
      <c r="C27" s="1014"/>
      <c r="D27" s="1014"/>
      <c r="F27" s="1014"/>
      <c r="G27" s="1014"/>
      <c r="H27" s="1014"/>
      <c r="I27" s="1014"/>
      <c r="J27" s="1014"/>
      <c r="K27" s="1014"/>
      <c r="L27" s="1014"/>
      <c r="M27" s="1014"/>
      <c r="N27" s="1014"/>
      <c r="O27" s="1014"/>
      <c r="P27" s="1014"/>
      <c r="Q27" s="1014"/>
    </row>
    <row r="29" spans="2:20">
      <c r="C29" s="494"/>
      <c r="E29" s="1014"/>
    </row>
  </sheetData>
  <mergeCells count="5">
    <mergeCell ref="C9:E9"/>
    <mergeCell ref="F9:H9"/>
    <mergeCell ref="I9:K9"/>
    <mergeCell ref="L9:N9"/>
    <mergeCell ref="O9:Q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T29"/>
  <sheetViews>
    <sheetView workbookViewId="0">
      <selection activeCell="G3" sqref="G3"/>
    </sheetView>
  </sheetViews>
  <sheetFormatPr defaultColWidth="9.08984375" defaultRowHeight="14"/>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c r="B2" s="22"/>
      <c r="C2" s="22"/>
      <c r="D2" s="22"/>
      <c r="E2" s="22"/>
      <c r="F2" s="22"/>
      <c r="G2" s="892" t="str">
        <f>Index!B2</f>
        <v xml:space="preserve">      Maharashtra State Power Generation Company Ltd.</v>
      </c>
      <c r="H2" s="22"/>
      <c r="I2" s="22"/>
      <c r="J2" s="22"/>
      <c r="K2" s="22"/>
      <c r="L2" s="22"/>
      <c r="M2" s="22"/>
      <c r="N2" s="22"/>
      <c r="O2" s="22"/>
      <c r="P2" s="22"/>
      <c r="Q2" s="22"/>
      <c r="R2" s="22"/>
    </row>
    <row r="3" spans="2:18">
      <c r="B3" s="279"/>
      <c r="C3" s="279"/>
      <c r="D3" s="279"/>
      <c r="E3" s="279"/>
      <c r="F3" s="279"/>
      <c r="G3" s="894" t="s">
        <v>1077</v>
      </c>
      <c r="H3" s="279"/>
      <c r="I3" s="279"/>
      <c r="J3" s="279"/>
      <c r="K3" s="279"/>
      <c r="L3" s="279"/>
      <c r="M3" s="279"/>
      <c r="N3" s="279"/>
      <c r="O3" s="279"/>
      <c r="P3" s="279"/>
      <c r="Q3" s="279"/>
      <c r="R3" s="279"/>
    </row>
    <row r="4" spans="2:18">
      <c r="B4" s="22"/>
      <c r="C4" s="22"/>
      <c r="D4" s="22"/>
      <c r="E4" s="22"/>
      <c r="F4" s="22"/>
      <c r="G4" s="998" t="s">
        <v>1326</v>
      </c>
      <c r="H4" s="22"/>
      <c r="I4" s="22"/>
      <c r="J4" s="22"/>
      <c r="K4" s="22"/>
      <c r="L4" s="22"/>
      <c r="M4" s="22"/>
      <c r="N4" s="22"/>
      <c r="O4" s="22"/>
      <c r="P4" s="22"/>
      <c r="Q4" s="22"/>
      <c r="R4" s="22"/>
    </row>
    <row r="6" spans="2:18">
      <c r="B6" s="44" t="s">
        <v>1327</v>
      </c>
      <c r="C6" s="44"/>
      <c r="D6" s="44"/>
      <c r="E6" s="44"/>
      <c r="F6" s="44"/>
      <c r="G6" s="44"/>
      <c r="H6" s="44"/>
      <c r="I6" s="44"/>
      <c r="J6" s="44"/>
      <c r="K6" s="44"/>
      <c r="L6" s="44"/>
      <c r="M6" s="44"/>
      <c r="N6" s="44"/>
      <c r="O6" s="44"/>
      <c r="P6" s="44"/>
      <c r="Q6" s="44"/>
    </row>
    <row r="7" spans="2:18">
      <c r="B7" s="44" t="s">
        <v>1328</v>
      </c>
      <c r="C7" s="44"/>
      <c r="D7" s="44"/>
      <c r="E7" s="44"/>
      <c r="F7" s="44"/>
      <c r="G7" s="44"/>
      <c r="H7" s="44"/>
      <c r="I7" s="44"/>
      <c r="J7" s="44"/>
      <c r="K7" s="44"/>
      <c r="L7" s="44"/>
      <c r="M7" s="44"/>
      <c r="N7" s="44"/>
      <c r="O7" s="44"/>
      <c r="P7" s="44"/>
      <c r="Q7" s="44"/>
    </row>
    <row r="9" spans="2:18">
      <c r="B9" s="184"/>
      <c r="C9" s="1896" t="s">
        <v>1329</v>
      </c>
      <c r="D9" s="1897"/>
      <c r="E9" s="1898"/>
      <c r="F9" s="1896" t="s">
        <v>1330</v>
      </c>
      <c r="G9" s="1897"/>
      <c r="H9" s="1898"/>
      <c r="I9" s="1896" t="s">
        <v>1331</v>
      </c>
      <c r="J9" s="1897"/>
      <c r="K9" s="1898"/>
      <c r="L9" s="1896" t="s">
        <v>1332</v>
      </c>
      <c r="M9" s="1897"/>
      <c r="N9" s="1898"/>
      <c r="O9" s="1896" t="s">
        <v>1333</v>
      </c>
      <c r="P9" s="1897"/>
      <c r="Q9" s="1898"/>
    </row>
    <row r="10" spans="2:18" ht="56">
      <c r="B10" s="1011"/>
      <c r="C10" s="893" t="s">
        <v>1334</v>
      </c>
      <c r="D10" s="893" t="s">
        <v>1335</v>
      </c>
      <c r="E10" s="893" t="s">
        <v>1336</v>
      </c>
      <c r="F10" s="893" t="s">
        <v>1337</v>
      </c>
      <c r="G10" s="893" t="s">
        <v>1335</v>
      </c>
      <c r="H10" s="893" t="s">
        <v>1336</v>
      </c>
      <c r="I10" s="893" t="s">
        <v>1337</v>
      </c>
      <c r="J10" s="893" t="s">
        <v>1335</v>
      </c>
      <c r="K10" s="893" t="s">
        <v>1336</v>
      </c>
      <c r="L10" s="893" t="s">
        <v>1337</v>
      </c>
      <c r="M10" s="893" t="s">
        <v>1335</v>
      </c>
      <c r="N10" s="893" t="s">
        <v>1336</v>
      </c>
      <c r="O10" s="893" t="s">
        <v>1337</v>
      </c>
      <c r="P10" s="893" t="s">
        <v>1335</v>
      </c>
      <c r="Q10" s="893" t="s">
        <v>1336</v>
      </c>
    </row>
    <row r="11" spans="2:18">
      <c r="B11" s="1012" t="s">
        <v>1338</v>
      </c>
      <c r="C11" s="1013"/>
      <c r="D11" s="1013"/>
      <c r="E11" s="1013"/>
      <c r="F11" s="1013"/>
      <c r="G11" s="1013"/>
      <c r="H11" s="1013"/>
      <c r="I11" s="1013"/>
      <c r="J11" s="1013"/>
      <c r="K11" s="1013"/>
      <c r="L11" s="1013"/>
      <c r="M11" s="1013"/>
      <c r="N11" s="1013"/>
      <c r="O11" s="1013"/>
      <c r="P11" s="1013"/>
      <c r="Q11" s="1013"/>
      <c r="R11" s="1014"/>
    </row>
    <row r="12" spans="2:18">
      <c r="B12" s="9" t="s">
        <v>1091</v>
      </c>
      <c r="C12" s="1013"/>
      <c r="D12" s="1013"/>
      <c r="E12" s="1013"/>
      <c r="F12" s="1013"/>
      <c r="G12" s="1013"/>
      <c r="H12" s="1013"/>
      <c r="I12" s="1013"/>
      <c r="J12" s="1013"/>
      <c r="K12" s="1013"/>
      <c r="L12" s="1013"/>
      <c r="M12" s="1013"/>
      <c r="N12" s="1013"/>
      <c r="O12" s="1013"/>
      <c r="P12" s="1013"/>
      <c r="Q12" s="1013"/>
      <c r="R12" s="1015"/>
    </row>
    <row r="13" spans="2:18">
      <c r="B13" s="9" t="s">
        <v>1091</v>
      </c>
      <c r="C13" s="1013"/>
      <c r="D13" s="1013"/>
      <c r="E13" s="1013"/>
      <c r="F13" s="1013"/>
      <c r="G13" s="1013"/>
      <c r="H13" s="1013"/>
      <c r="I13" s="1013"/>
      <c r="J13" s="1013"/>
      <c r="K13" s="1013"/>
      <c r="L13" s="1013"/>
      <c r="M13" s="1013"/>
      <c r="N13" s="1013"/>
      <c r="O13" s="1013"/>
      <c r="P13" s="1013"/>
      <c r="Q13" s="1013"/>
    </row>
    <row r="14" spans="2:18">
      <c r="B14" s="40" t="s">
        <v>1339</v>
      </c>
      <c r="C14" s="1013"/>
      <c r="D14" s="1013"/>
      <c r="E14" s="1013"/>
      <c r="F14" s="1013"/>
      <c r="G14" s="1013"/>
      <c r="H14" s="1013"/>
      <c r="I14" s="1013"/>
      <c r="J14" s="1013"/>
      <c r="K14" s="1013"/>
      <c r="L14" s="1013"/>
      <c r="M14" s="1013"/>
      <c r="N14" s="1013"/>
      <c r="O14" s="1013"/>
      <c r="P14" s="1013"/>
      <c r="Q14" s="1013"/>
      <c r="R14" s="1016"/>
    </row>
    <row r="15" spans="2:18">
      <c r="B15" s="9" t="s">
        <v>1340</v>
      </c>
      <c r="C15" s="1013"/>
      <c r="D15" s="1013"/>
      <c r="E15" s="1013"/>
      <c r="F15" s="1013"/>
      <c r="G15" s="1013"/>
      <c r="H15" s="1013"/>
      <c r="I15" s="1013"/>
      <c r="J15" s="1013"/>
      <c r="K15" s="1013"/>
      <c r="L15" s="1013"/>
      <c r="M15" s="1013"/>
      <c r="N15" s="1013"/>
      <c r="O15" s="1013"/>
      <c r="P15" s="1013"/>
      <c r="Q15" s="1013"/>
    </row>
    <row r="16" spans="2:18">
      <c r="B16" s="1017" t="s">
        <v>1341</v>
      </c>
      <c r="C16" s="1013"/>
      <c r="D16" s="1013"/>
      <c r="E16" s="1013"/>
      <c r="F16" s="1013"/>
      <c r="G16" s="1013"/>
      <c r="H16" s="1013"/>
      <c r="I16" s="1013"/>
      <c r="J16" s="1013"/>
      <c r="K16" s="1013"/>
      <c r="L16" s="1013"/>
      <c r="M16" s="1013"/>
      <c r="N16" s="1013"/>
      <c r="O16" s="1013"/>
      <c r="P16" s="1013"/>
      <c r="Q16" s="1013"/>
      <c r="R16" s="1016"/>
    </row>
    <row r="17" spans="2:20">
      <c r="B17" s="1018" t="s">
        <v>1342</v>
      </c>
      <c r="C17" s="1013"/>
      <c r="D17" s="1013"/>
      <c r="E17" s="1013"/>
      <c r="F17" s="1013"/>
      <c r="G17" s="1013"/>
      <c r="H17" s="1013"/>
      <c r="I17" s="1013"/>
      <c r="J17" s="1013"/>
      <c r="K17" s="1013"/>
      <c r="L17" s="1013"/>
      <c r="M17" s="1013"/>
      <c r="N17" s="1013"/>
      <c r="O17" s="1013"/>
      <c r="P17" s="1013"/>
      <c r="Q17" s="1013"/>
      <c r="R17" s="1019"/>
    </row>
    <row r="18" spans="2:20">
      <c r="B18" s="1017" t="s">
        <v>1343</v>
      </c>
      <c r="C18" s="1013"/>
      <c r="D18" s="1013"/>
      <c r="E18" s="1013"/>
      <c r="F18" s="1013"/>
      <c r="G18" s="1013"/>
      <c r="H18" s="1013"/>
      <c r="I18" s="1013"/>
      <c r="J18" s="1013"/>
      <c r="K18" s="1013"/>
      <c r="L18" s="1013"/>
      <c r="M18" s="1013"/>
      <c r="N18" s="1013"/>
      <c r="O18" s="1013"/>
      <c r="P18" s="1013"/>
      <c r="Q18" s="1013"/>
      <c r="R18" s="1014"/>
      <c r="T18" s="1014"/>
    </row>
    <row r="19" spans="2:20">
      <c r="B19" s="40" t="s">
        <v>1344</v>
      </c>
      <c r="C19" s="1013"/>
      <c r="D19" s="1013"/>
      <c r="E19" s="1013"/>
      <c r="F19" s="1013"/>
      <c r="G19" s="1013"/>
      <c r="H19" s="1013"/>
      <c r="I19" s="1013"/>
      <c r="J19" s="1013"/>
      <c r="K19" s="1013"/>
      <c r="L19" s="1013"/>
      <c r="M19" s="1013"/>
      <c r="N19" s="1013"/>
      <c r="O19" s="1013"/>
      <c r="P19" s="1013"/>
      <c r="Q19" s="1013"/>
      <c r="R19" s="1020"/>
      <c r="T19" s="1014"/>
    </row>
    <row r="20" spans="2:20" s="44" customFormat="1">
      <c r="B20" s="40" t="s">
        <v>1345</v>
      </c>
      <c r="C20" s="1013"/>
      <c r="D20" s="1013"/>
      <c r="E20" s="1013"/>
      <c r="F20" s="1013"/>
      <c r="G20" s="1013"/>
      <c r="H20" s="1013"/>
      <c r="I20" s="1013"/>
      <c r="J20" s="1013"/>
      <c r="K20" s="1013"/>
      <c r="L20" s="1013"/>
      <c r="M20" s="1013"/>
      <c r="N20" s="1013"/>
      <c r="O20" s="1013"/>
      <c r="P20" s="1013"/>
      <c r="Q20" s="1013"/>
      <c r="R20" s="1021"/>
      <c r="S20" s="1021"/>
    </row>
    <row r="21" spans="2:20" ht="42">
      <c r="B21" s="1022" t="s">
        <v>1346</v>
      </c>
      <c r="C21" s="1013"/>
      <c r="D21" s="1013"/>
      <c r="E21" s="1013"/>
      <c r="F21" s="1013"/>
      <c r="G21" s="1013"/>
      <c r="H21" s="1013"/>
      <c r="I21" s="1013"/>
      <c r="J21" s="1013"/>
      <c r="K21" s="1013"/>
      <c r="L21" s="1013"/>
      <c r="M21" s="1013"/>
      <c r="N21" s="1013"/>
      <c r="O21" s="1013"/>
      <c r="P21" s="1013"/>
      <c r="Q21" s="1013"/>
      <c r="R21" s="1016"/>
    </row>
    <row r="22" spans="2:20">
      <c r="B22" s="1023"/>
      <c r="C22" s="1024"/>
      <c r="D22" s="130"/>
      <c r="E22" s="1025"/>
      <c r="F22" s="1026"/>
      <c r="G22" s="1014"/>
      <c r="H22" s="1027"/>
      <c r="I22" s="1028"/>
      <c r="J22" s="1016"/>
      <c r="K22" s="1029"/>
      <c r="L22" s="1029"/>
      <c r="M22" s="1029"/>
      <c r="N22" s="1029"/>
      <c r="O22" s="1026"/>
      <c r="P22" s="1014"/>
      <c r="Q22" s="1029"/>
    </row>
    <row r="23" spans="2:20">
      <c r="B23" s="1" t="s">
        <v>1347</v>
      </c>
      <c r="G23" s="1014"/>
      <c r="H23" s="1030"/>
      <c r="I23" s="1030"/>
      <c r="J23" s="1016"/>
      <c r="K23" s="1030"/>
      <c r="L23" s="1030"/>
      <c r="M23" s="1030"/>
      <c r="N23" s="1030"/>
      <c r="P23" s="1014"/>
      <c r="Q23" s="1030"/>
      <c r="R23" s="1016"/>
    </row>
    <row r="24" spans="2:20">
      <c r="H24" s="1031"/>
      <c r="K24" s="1031"/>
      <c r="L24" s="1031"/>
      <c r="M24" s="1031"/>
      <c r="N24" s="1031"/>
      <c r="Q24" s="1031"/>
    </row>
    <row r="25" spans="2:20">
      <c r="C25" s="1014"/>
      <c r="D25" s="1014"/>
      <c r="E25" s="1014"/>
      <c r="F25" s="1014"/>
      <c r="G25" s="1014"/>
      <c r="H25" s="1014"/>
      <c r="I25" s="1014"/>
      <c r="J25" s="1014"/>
      <c r="K25" s="1014"/>
      <c r="L25" s="1014"/>
      <c r="M25" s="1014"/>
      <c r="N25" s="1014"/>
      <c r="O25" s="1014"/>
      <c r="P25" s="1014"/>
      <c r="Q25" s="1014"/>
    </row>
    <row r="26" spans="2:20">
      <c r="H26" s="1014"/>
      <c r="K26" s="1014"/>
      <c r="L26" s="1014"/>
      <c r="M26" s="1014"/>
      <c r="N26" s="1014"/>
      <c r="Q26" s="1014"/>
      <c r="S26" s="1014"/>
    </row>
    <row r="27" spans="2:20">
      <c r="C27" s="1014"/>
      <c r="D27" s="1014"/>
      <c r="F27" s="1014"/>
      <c r="G27" s="1014"/>
      <c r="H27" s="1014"/>
      <c r="I27" s="1014"/>
      <c r="J27" s="1014"/>
      <c r="K27" s="1014"/>
      <c r="L27" s="1014"/>
      <c r="M27" s="1014"/>
      <c r="N27" s="1014"/>
      <c r="O27" s="1014"/>
      <c r="P27" s="1014"/>
      <c r="Q27" s="1014"/>
    </row>
    <row r="29" spans="2:20">
      <c r="C29" s="494"/>
      <c r="E29" s="1014"/>
    </row>
  </sheetData>
  <mergeCells count="5">
    <mergeCell ref="C9:E9"/>
    <mergeCell ref="F9:H9"/>
    <mergeCell ref="I9:K9"/>
    <mergeCell ref="L9:N9"/>
    <mergeCell ref="O9:Q9"/>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T29"/>
  <sheetViews>
    <sheetView workbookViewId="0">
      <selection activeCell="G2" sqref="G2"/>
    </sheetView>
  </sheetViews>
  <sheetFormatPr defaultColWidth="9.08984375" defaultRowHeight="14"/>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c r="B2" s="22"/>
      <c r="C2" s="22"/>
      <c r="D2" s="22"/>
      <c r="E2" s="22"/>
      <c r="F2" s="22"/>
      <c r="G2" s="892" t="str">
        <f>Index!B2</f>
        <v xml:space="preserve">      Maharashtra State Power Generation Company Ltd.</v>
      </c>
      <c r="H2" s="22"/>
      <c r="I2" s="22"/>
      <c r="J2" s="22"/>
      <c r="K2" s="22"/>
      <c r="L2" s="22"/>
      <c r="M2" s="22"/>
      <c r="N2" s="22"/>
      <c r="O2" s="22"/>
      <c r="P2" s="22"/>
      <c r="Q2" s="22"/>
      <c r="R2" s="22"/>
    </row>
    <row r="3" spans="2:18">
      <c r="B3" s="279"/>
      <c r="C3" s="279"/>
      <c r="D3" s="279"/>
      <c r="E3" s="279"/>
      <c r="F3" s="279"/>
      <c r="G3" s="894" t="s">
        <v>1077</v>
      </c>
      <c r="H3" s="279"/>
      <c r="I3" s="279"/>
      <c r="J3" s="279"/>
      <c r="K3" s="279"/>
      <c r="L3" s="279"/>
      <c r="M3" s="279"/>
      <c r="N3" s="279"/>
      <c r="O3" s="279"/>
      <c r="P3" s="279"/>
      <c r="Q3" s="279"/>
      <c r="R3" s="279"/>
    </row>
    <row r="4" spans="2:18">
      <c r="B4" s="22"/>
      <c r="C4" s="22"/>
      <c r="D4" s="22"/>
      <c r="E4" s="22"/>
      <c r="F4" s="22"/>
      <c r="G4" s="998" t="s">
        <v>1326</v>
      </c>
      <c r="H4" s="22"/>
      <c r="I4" s="22"/>
      <c r="J4" s="22"/>
      <c r="K4" s="22"/>
      <c r="L4" s="22"/>
      <c r="M4" s="22"/>
      <c r="N4" s="22"/>
      <c r="O4" s="22"/>
      <c r="P4" s="22"/>
      <c r="Q4" s="22"/>
      <c r="R4" s="22"/>
    </row>
    <row r="6" spans="2:18">
      <c r="B6" s="44" t="s">
        <v>1327</v>
      </c>
      <c r="C6" s="44"/>
      <c r="D6" s="44"/>
      <c r="E6" s="44"/>
      <c r="F6" s="44"/>
      <c r="G6" s="44"/>
      <c r="H6" s="44"/>
      <c r="I6" s="44"/>
      <c r="J6" s="44"/>
      <c r="K6" s="44"/>
      <c r="L6" s="44"/>
      <c r="M6" s="44"/>
      <c r="N6" s="44"/>
      <c r="O6" s="44"/>
      <c r="P6" s="44"/>
      <c r="Q6" s="44"/>
    </row>
    <row r="7" spans="2:18">
      <c r="B7" s="44" t="s">
        <v>1328</v>
      </c>
      <c r="C7" s="44"/>
      <c r="D7" s="44"/>
      <c r="E7" s="44"/>
      <c r="F7" s="44"/>
      <c r="G7" s="44"/>
      <c r="H7" s="44"/>
      <c r="I7" s="44"/>
      <c r="J7" s="44"/>
      <c r="K7" s="44"/>
      <c r="L7" s="44"/>
      <c r="M7" s="44"/>
      <c r="N7" s="44"/>
      <c r="O7" s="44"/>
      <c r="P7" s="44"/>
      <c r="Q7" s="44"/>
    </row>
    <row r="9" spans="2:18">
      <c r="B9" s="184"/>
      <c r="C9" s="1896" t="s">
        <v>1329</v>
      </c>
      <c r="D9" s="1897"/>
      <c r="E9" s="1898"/>
      <c r="F9" s="1896" t="s">
        <v>1330</v>
      </c>
      <c r="G9" s="1897"/>
      <c r="H9" s="1898"/>
      <c r="I9" s="1896" t="s">
        <v>1331</v>
      </c>
      <c r="J9" s="1897"/>
      <c r="K9" s="1898"/>
      <c r="L9" s="1896" t="s">
        <v>1332</v>
      </c>
      <c r="M9" s="1897"/>
      <c r="N9" s="1898"/>
      <c r="O9" s="1896" t="s">
        <v>1333</v>
      </c>
      <c r="P9" s="1897"/>
      <c r="Q9" s="1898"/>
    </row>
    <row r="10" spans="2:18" ht="56">
      <c r="B10" s="1011"/>
      <c r="C10" s="893" t="s">
        <v>1334</v>
      </c>
      <c r="D10" s="893" t="s">
        <v>1335</v>
      </c>
      <c r="E10" s="893" t="s">
        <v>1336</v>
      </c>
      <c r="F10" s="893" t="s">
        <v>1337</v>
      </c>
      <c r="G10" s="893" t="s">
        <v>1335</v>
      </c>
      <c r="H10" s="893" t="s">
        <v>1336</v>
      </c>
      <c r="I10" s="893" t="s">
        <v>1337</v>
      </c>
      <c r="J10" s="893" t="s">
        <v>1335</v>
      </c>
      <c r="K10" s="893" t="s">
        <v>1336</v>
      </c>
      <c r="L10" s="893" t="s">
        <v>1337</v>
      </c>
      <c r="M10" s="893" t="s">
        <v>1335</v>
      </c>
      <c r="N10" s="893" t="s">
        <v>1336</v>
      </c>
      <c r="O10" s="893" t="s">
        <v>1337</v>
      </c>
      <c r="P10" s="893" t="s">
        <v>1335</v>
      </c>
      <c r="Q10" s="893" t="s">
        <v>1336</v>
      </c>
    </row>
    <row r="11" spans="2:18">
      <c r="B11" s="1012" t="s">
        <v>1338</v>
      </c>
      <c r="C11" s="1013"/>
      <c r="D11" s="1013"/>
      <c r="E11" s="1013"/>
      <c r="F11" s="1013"/>
      <c r="G11" s="1013"/>
      <c r="H11" s="1013"/>
      <c r="I11" s="1013"/>
      <c r="J11" s="1013"/>
      <c r="K11" s="1013"/>
      <c r="L11" s="1013"/>
      <c r="M11" s="1013"/>
      <c r="N11" s="1013"/>
      <c r="O11" s="1013"/>
      <c r="P11" s="1013"/>
      <c r="Q11" s="1013"/>
      <c r="R11" s="1014"/>
    </row>
    <row r="12" spans="2:18">
      <c r="B12" s="9" t="s">
        <v>1091</v>
      </c>
      <c r="C12" s="1013"/>
      <c r="D12" s="1013"/>
      <c r="E12" s="1013"/>
      <c r="F12" s="1013"/>
      <c r="G12" s="1013"/>
      <c r="H12" s="1013"/>
      <c r="I12" s="1013"/>
      <c r="J12" s="1013"/>
      <c r="K12" s="1013"/>
      <c r="L12" s="1013"/>
      <c r="M12" s="1013"/>
      <c r="N12" s="1013"/>
      <c r="O12" s="1013"/>
      <c r="P12" s="1013"/>
      <c r="Q12" s="1013"/>
      <c r="R12" s="1015"/>
    </row>
    <row r="13" spans="2:18">
      <c r="B13" s="9" t="s">
        <v>1091</v>
      </c>
      <c r="C13" s="1013"/>
      <c r="D13" s="1013"/>
      <c r="E13" s="1013"/>
      <c r="F13" s="1013"/>
      <c r="G13" s="1013"/>
      <c r="H13" s="1013"/>
      <c r="I13" s="1013"/>
      <c r="J13" s="1013"/>
      <c r="K13" s="1013"/>
      <c r="L13" s="1013"/>
      <c r="M13" s="1013"/>
      <c r="N13" s="1013"/>
      <c r="O13" s="1013"/>
      <c r="P13" s="1013"/>
      <c r="Q13" s="1013"/>
    </row>
    <row r="14" spans="2:18">
      <c r="B14" s="40" t="s">
        <v>1339</v>
      </c>
      <c r="C14" s="1013"/>
      <c r="D14" s="1013"/>
      <c r="E14" s="1013"/>
      <c r="F14" s="1013"/>
      <c r="G14" s="1013"/>
      <c r="H14" s="1013"/>
      <c r="I14" s="1013"/>
      <c r="J14" s="1013"/>
      <c r="K14" s="1013"/>
      <c r="L14" s="1013"/>
      <c r="M14" s="1013"/>
      <c r="N14" s="1013"/>
      <c r="O14" s="1013"/>
      <c r="P14" s="1013"/>
      <c r="Q14" s="1013"/>
      <c r="R14" s="1016"/>
    </row>
    <row r="15" spans="2:18">
      <c r="B15" s="9" t="s">
        <v>1340</v>
      </c>
      <c r="C15" s="1013"/>
      <c r="D15" s="1013"/>
      <c r="E15" s="1013"/>
      <c r="F15" s="1013"/>
      <c r="G15" s="1013"/>
      <c r="H15" s="1013"/>
      <c r="I15" s="1013"/>
      <c r="J15" s="1013"/>
      <c r="K15" s="1013"/>
      <c r="L15" s="1013"/>
      <c r="M15" s="1013"/>
      <c r="N15" s="1013"/>
      <c r="O15" s="1013"/>
      <c r="P15" s="1013"/>
      <c r="Q15" s="1013"/>
    </row>
    <row r="16" spans="2:18">
      <c r="B16" s="1017" t="s">
        <v>1341</v>
      </c>
      <c r="C16" s="1013"/>
      <c r="D16" s="1013"/>
      <c r="E16" s="1013"/>
      <c r="F16" s="1013"/>
      <c r="G16" s="1013"/>
      <c r="H16" s="1013"/>
      <c r="I16" s="1013"/>
      <c r="J16" s="1013"/>
      <c r="K16" s="1013"/>
      <c r="L16" s="1013"/>
      <c r="M16" s="1013"/>
      <c r="N16" s="1013"/>
      <c r="O16" s="1013"/>
      <c r="P16" s="1013"/>
      <c r="Q16" s="1013"/>
      <c r="R16" s="1016"/>
    </row>
    <row r="17" spans="2:20">
      <c r="B17" s="1018" t="s">
        <v>1342</v>
      </c>
      <c r="C17" s="1013"/>
      <c r="D17" s="1013"/>
      <c r="E17" s="1013"/>
      <c r="F17" s="1013"/>
      <c r="G17" s="1013"/>
      <c r="H17" s="1013"/>
      <c r="I17" s="1013"/>
      <c r="J17" s="1013"/>
      <c r="K17" s="1013"/>
      <c r="L17" s="1013"/>
      <c r="M17" s="1013"/>
      <c r="N17" s="1013"/>
      <c r="O17" s="1013"/>
      <c r="P17" s="1013"/>
      <c r="Q17" s="1013"/>
      <c r="R17" s="1019"/>
    </row>
    <row r="18" spans="2:20">
      <c r="B18" s="1017" t="s">
        <v>1343</v>
      </c>
      <c r="C18" s="1013"/>
      <c r="D18" s="1013"/>
      <c r="E18" s="1013"/>
      <c r="F18" s="1013"/>
      <c r="G18" s="1013"/>
      <c r="H18" s="1013"/>
      <c r="I18" s="1013"/>
      <c r="J18" s="1013"/>
      <c r="K18" s="1013"/>
      <c r="L18" s="1013"/>
      <c r="M18" s="1013"/>
      <c r="N18" s="1013"/>
      <c r="O18" s="1013"/>
      <c r="P18" s="1013"/>
      <c r="Q18" s="1013"/>
      <c r="R18" s="1014"/>
      <c r="T18" s="1014"/>
    </row>
    <row r="19" spans="2:20">
      <c r="B19" s="40" t="s">
        <v>1344</v>
      </c>
      <c r="C19" s="1013"/>
      <c r="D19" s="1013"/>
      <c r="E19" s="1013"/>
      <c r="F19" s="1013"/>
      <c r="G19" s="1013"/>
      <c r="H19" s="1013"/>
      <c r="I19" s="1013"/>
      <c r="J19" s="1013"/>
      <c r="K19" s="1013"/>
      <c r="L19" s="1013"/>
      <c r="M19" s="1013"/>
      <c r="N19" s="1013"/>
      <c r="O19" s="1013"/>
      <c r="P19" s="1013"/>
      <c r="Q19" s="1013"/>
      <c r="R19" s="1020"/>
      <c r="T19" s="1014"/>
    </row>
    <row r="20" spans="2:20" s="44" customFormat="1">
      <c r="B20" s="40" t="s">
        <v>1345</v>
      </c>
      <c r="C20" s="1013"/>
      <c r="D20" s="1013"/>
      <c r="E20" s="1013"/>
      <c r="F20" s="1013"/>
      <c r="G20" s="1013"/>
      <c r="H20" s="1013"/>
      <c r="I20" s="1013"/>
      <c r="J20" s="1013"/>
      <c r="K20" s="1013"/>
      <c r="L20" s="1013"/>
      <c r="M20" s="1013"/>
      <c r="N20" s="1013"/>
      <c r="O20" s="1013"/>
      <c r="P20" s="1013"/>
      <c r="Q20" s="1013"/>
      <c r="R20" s="1021"/>
      <c r="S20" s="1021"/>
    </row>
    <row r="21" spans="2:20" ht="42">
      <c r="B21" s="1022" t="s">
        <v>1346</v>
      </c>
      <c r="C21" s="1013"/>
      <c r="D21" s="1013"/>
      <c r="E21" s="1013"/>
      <c r="F21" s="1013"/>
      <c r="G21" s="1013"/>
      <c r="H21" s="1013"/>
      <c r="I21" s="1013"/>
      <c r="J21" s="1013"/>
      <c r="K21" s="1013"/>
      <c r="L21" s="1013"/>
      <c r="M21" s="1013"/>
      <c r="N21" s="1013"/>
      <c r="O21" s="1013"/>
      <c r="P21" s="1013"/>
      <c r="Q21" s="1013"/>
      <c r="R21" s="1016"/>
    </row>
    <row r="22" spans="2:20">
      <c r="B22" s="1023"/>
      <c r="C22" s="1024"/>
      <c r="D22" s="130"/>
      <c r="E22" s="1025"/>
      <c r="F22" s="1026"/>
      <c r="G22" s="1014"/>
      <c r="H22" s="1027"/>
      <c r="I22" s="1028"/>
      <c r="J22" s="1016"/>
      <c r="K22" s="1029"/>
      <c r="L22" s="1029"/>
      <c r="M22" s="1029"/>
      <c r="N22" s="1029"/>
      <c r="O22" s="1026"/>
      <c r="P22" s="1014"/>
      <c r="Q22" s="1029"/>
    </row>
    <row r="23" spans="2:20">
      <c r="B23" s="1" t="s">
        <v>1347</v>
      </c>
      <c r="G23" s="1014"/>
      <c r="H23" s="1030"/>
      <c r="I23" s="1030"/>
      <c r="J23" s="1016"/>
      <c r="K23" s="1030"/>
      <c r="L23" s="1030"/>
      <c r="M23" s="1030"/>
      <c r="N23" s="1030"/>
      <c r="P23" s="1014"/>
      <c r="Q23" s="1030"/>
      <c r="R23" s="1016"/>
    </row>
    <row r="24" spans="2:20">
      <c r="H24" s="1031"/>
      <c r="K24" s="1031"/>
      <c r="L24" s="1031"/>
      <c r="M24" s="1031"/>
      <c r="N24" s="1031"/>
      <c r="Q24" s="1031"/>
    </row>
    <row r="25" spans="2:20">
      <c r="C25" s="1014"/>
      <c r="D25" s="1014"/>
      <c r="E25" s="1014"/>
      <c r="F25" s="1014"/>
      <c r="G25" s="1014"/>
      <c r="H25" s="1014"/>
      <c r="I25" s="1014"/>
      <c r="J25" s="1014"/>
      <c r="K25" s="1014"/>
      <c r="L25" s="1014"/>
      <c r="M25" s="1014"/>
      <c r="N25" s="1014"/>
      <c r="O25" s="1014"/>
      <c r="P25" s="1014"/>
      <c r="Q25" s="1014"/>
    </row>
    <row r="26" spans="2:20">
      <c r="H26" s="1014"/>
      <c r="K26" s="1014"/>
      <c r="L26" s="1014"/>
      <c r="M26" s="1014"/>
      <c r="N26" s="1014"/>
      <c r="Q26" s="1014"/>
      <c r="S26" s="1014"/>
    </row>
    <row r="27" spans="2:20">
      <c r="C27" s="1014"/>
      <c r="D27" s="1014"/>
      <c r="F27" s="1014"/>
      <c r="G27" s="1014"/>
      <c r="H27" s="1014"/>
      <c r="I27" s="1014"/>
      <c r="J27" s="1014"/>
      <c r="K27" s="1014"/>
      <c r="L27" s="1014"/>
      <c r="M27" s="1014"/>
      <c r="N27" s="1014"/>
      <c r="O27" s="1014"/>
      <c r="P27" s="1014"/>
      <c r="Q27" s="1014"/>
    </row>
    <row r="29" spans="2:20">
      <c r="C29" s="494"/>
      <c r="E29" s="1014"/>
    </row>
  </sheetData>
  <mergeCells count="5">
    <mergeCell ref="C9:E9"/>
    <mergeCell ref="F9:H9"/>
    <mergeCell ref="I9:K9"/>
    <mergeCell ref="L9:N9"/>
    <mergeCell ref="O9:Q9"/>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J29"/>
  <sheetViews>
    <sheetView workbookViewId="0">
      <selection activeCell="C2" sqref="C2"/>
    </sheetView>
  </sheetViews>
  <sheetFormatPr defaultColWidth="9.08984375" defaultRowHeight="14"/>
  <cols>
    <col min="1" max="1" width="9.08984375" style="874"/>
    <col min="2" max="2" width="39" style="874" customWidth="1"/>
    <col min="3" max="3" width="19.08984375" style="874" customWidth="1"/>
    <col min="4" max="7" width="15.6328125" style="874" customWidth="1"/>
    <col min="8" max="259" width="9.08984375" style="874"/>
    <col min="260" max="260" width="82.6328125" style="874" bestFit="1" customWidth="1"/>
    <col min="261" max="263" width="28.6328125" style="874" customWidth="1"/>
    <col min="264" max="515" width="9.08984375" style="874"/>
    <col min="516" max="516" width="82.6328125" style="874" bestFit="1" customWidth="1"/>
    <col min="517" max="519" width="28.6328125" style="874" customWidth="1"/>
    <col min="520" max="771" width="9.08984375" style="874"/>
    <col min="772" max="772" width="82.6328125" style="874" bestFit="1" customWidth="1"/>
    <col min="773" max="775" width="28.6328125" style="874" customWidth="1"/>
    <col min="776" max="1027" width="9.08984375" style="874"/>
    <col min="1028" max="1028" width="82.6328125" style="874" bestFit="1" customWidth="1"/>
    <col min="1029" max="1031" width="28.6328125" style="874" customWidth="1"/>
    <col min="1032" max="1283" width="9.08984375" style="874"/>
    <col min="1284" max="1284" width="82.6328125" style="874" bestFit="1" customWidth="1"/>
    <col min="1285" max="1287" width="28.6328125" style="874" customWidth="1"/>
    <col min="1288" max="1539" width="9.08984375" style="874"/>
    <col min="1540" max="1540" width="82.6328125" style="874" bestFit="1" customWidth="1"/>
    <col min="1541" max="1543" width="28.6328125" style="874" customWidth="1"/>
    <col min="1544" max="1795" width="9.08984375" style="874"/>
    <col min="1796" max="1796" width="82.6328125" style="874" bestFit="1" customWidth="1"/>
    <col min="1797" max="1799" width="28.6328125" style="874" customWidth="1"/>
    <col min="1800" max="2051" width="9.08984375" style="874"/>
    <col min="2052" max="2052" width="82.6328125" style="874" bestFit="1" customWidth="1"/>
    <col min="2053" max="2055" width="28.6328125" style="874" customWidth="1"/>
    <col min="2056" max="2307" width="9.08984375" style="874"/>
    <col min="2308" max="2308" width="82.6328125" style="874" bestFit="1" customWidth="1"/>
    <col min="2309" max="2311" width="28.6328125" style="874" customWidth="1"/>
    <col min="2312" max="2563" width="9.08984375" style="874"/>
    <col min="2564" max="2564" width="82.6328125" style="874" bestFit="1" customWidth="1"/>
    <col min="2565" max="2567" width="28.6328125" style="874" customWidth="1"/>
    <col min="2568" max="2819" width="9.08984375" style="874"/>
    <col min="2820" max="2820" width="82.6328125" style="874" bestFit="1" customWidth="1"/>
    <col min="2821" max="2823" width="28.6328125" style="874" customWidth="1"/>
    <col min="2824" max="3075" width="9.08984375" style="874"/>
    <col min="3076" max="3076" width="82.6328125" style="874" bestFit="1" customWidth="1"/>
    <col min="3077" max="3079" width="28.6328125" style="874" customWidth="1"/>
    <col min="3080" max="3331" width="9.08984375" style="874"/>
    <col min="3332" max="3332" width="82.6328125" style="874" bestFit="1" customWidth="1"/>
    <col min="3333" max="3335" width="28.6328125" style="874" customWidth="1"/>
    <col min="3336" max="3587" width="9.08984375" style="874"/>
    <col min="3588" max="3588" width="82.6328125" style="874" bestFit="1" customWidth="1"/>
    <col min="3589" max="3591" width="28.6328125" style="874" customWidth="1"/>
    <col min="3592" max="3843" width="9.08984375" style="874"/>
    <col min="3844" max="3844" width="82.6328125" style="874" bestFit="1" customWidth="1"/>
    <col min="3845" max="3847" width="28.6328125" style="874" customWidth="1"/>
    <col min="3848" max="4099" width="9.08984375" style="874"/>
    <col min="4100" max="4100" width="82.6328125" style="874" bestFit="1" customWidth="1"/>
    <col min="4101" max="4103" width="28.6328125" style="874" customWidth="1"/>
    <col min="4104" max="4355" width="9.08984375" style="874"/>
    <col min="4356" max="4356" width="82.6328125" style="874" bestFit="1" customWidth="1"/>
    <col min="4357" max="4359" width="28.6328125" style="874" customWidth="1"/>
    <col min="4360" max="4611" width="9.08984375" style="874"/>
    <col min="4612" max="4612" width="82.6328125" style="874" bestFit="1" customWidth="1"/>
    <col min="4613" max="4615" width="28.6328125" style="874" customWidth="1"/>
    <col min="4616" max="4867" width="9.08984375" style="874"/>
    <col min="4868" max="4868" width="82.6328125" style="874" bestFit="1" customWidth="1"/>
    <col min="4869" max="4871" width="28.6328125" style="874" customWidth="1"/>
    <col min="4872" max="5123" width="9.08984375" style="874"/>
    <col min="5124" max="5124" width="82.6328125" style="874" bestFit="1" customWidth="1"/>
    <col min="5125" max="5127" width="28.6328125" style="874" customWidth="1"/>
    <col min="5128" max="5379" width="9.08984375" style="874"/>
    <col min="5380" max="5380" width="82.6328125" style="874" bestFit="1" customWidth="1"/>
    <col min="5381" max="5383" width="28.6328125" style="874" customWidth="1"/>
    <col min="5384" max="5635" width="9.08984375" style="874"/>
    <col min="5636" max="5636" width="82.6328125" style="874" bestFit="1" customWidth="1"/>
    <col min="5637" max="5639" width="28.6328125" style="874" customWidth="1"/>
    <col min="5640" max="5891" width="9.08984375" style="874"/>
    <col min="5892" max="5892" width="82.6328125" style="874" bestFit="1" customWidth="1"/>
    <col min="5893" max="5895" width="28.6328125" style="874" customWidth="1"/>
    <col min="5896" max="6147" width="9.08984375" style="874"/>
    <col min="6148" max="6148" width="82.6328125" style="874" bestFit="1" customWidth="1"/>
    <col min="6149" max="6151" width="28.6328125" style="874" customWidth="1"/>
    <col min="6152" max="6403" width="9.08984375" style="874"/>
    <col min="6404" max="6404" width="82.6328125" style="874" bestFit="1" customWidth="1"/>
    <col min="6405" max="6407" width="28.6328125" style="874" customWidth="1"/>
    <col min="6408" max="6659" width="9.08984375" style="874"/>
    <col min="6660" max="6660" width="82.6328125" style="874" bestFit="1" customWidth="1"/>
    <col min="6661" max="6663" width="28.6328125" style="874" customWidth="1"/>
    <col min="6664" max="6915" width="9.08984375" style="874"/>
    <col min="6916" max="6916" width="82.6328125" style="874" bestFit="1" customWidth="1"/>
    <col min="6917" max="6919" width="28.6328125" style="874" customWidth="1"/>
    <col min="6920" max="7171" width="9.08984375" style="874"/>
    <col min="7172" max="7172" width="82.6328125" style="874" bestFit="1" customWidth="1"/>
    <col min="7173" max="7175" width="28.6328125" style="874" customWidth="1"/>
    <col min="7176" max="7427" width="9.08984375" style="874"/>
    <col min="7428" max="7428" width="82.6328125" style="874" bestFit="1" customWidth="1"/>
    <col min="7429" max="7431" width="28.6328125" style="874" customWidth="1"/>
    <col min="7432" max="7683" width="9.08984375" style="874"/>
    <col min="7684" max="7684" width="82.6328125" style="874" bestFit="1" customWidth="1"/>
    <col min="7685" max="7687" width="28.6328125" style="874" customWidth="1"/>
    <col min="7688" max="7939" width="9.08984375" style="874"/>
    <col min="7940" max="7940" width="82.6328125" style="874" bestFit="1" customWidth="1"/>
    <col min="7941" max="7943" width="28.6328125" style="874" customWidth="1"/>
    <col min="7944" max="8195" width="9.08984375" style="874"/>
    <col min="8196" max="8196" width="82.6328125" style="874" bestFit="1" customWidth="1"/>
    <col min="8197" max="8199" width="28.6328125" style="874" customWidth="1"/>
    <col min="8200" max="8451" width="9.08984375" style="874"/>
    <col min="8452" max="8452" width="82.6328125" style="874" bestFit="1" customWidth="1"/>
    <col min="8453" max="8455" width="28.6328125" style="874" customWidth="1"/>
    <col min="8456" max="8707" width="9.08984375" style="874"/>
    <col min="8708" max="8708" width="82.6328125" style="874" bestFit="1" customWidth="1"/>
    <col min="8709" max="8711" width="28.6328125" style="874" customWidth="1"/>
    <col min="8712" max="8963" width="9.08984375" style="874"/>
    <col min="8964" max="8964" width="82.6328125" style="874" bestFit="1" customWidth="1"/>
    <col min="8965" max="8967" width="28.6328125" style="874" customWidth="1"/>
    <col min="8968" max="9219" width="9.08984375" style="874"/>
    <col min="9220" max="9220" width="82.6328125" style="874" bestFit="1" customWidth="1"/>
    <col min="9221" max="9223" width="28.6328125" style="874" customWidth="1"/>
    <col min="9224" max="9475" width="9.08984375" style="874"/>
    <col min="9476" max="9476" width="82.6328125" style="874" bestFit="1" customWidth="1"/>
    <col min="9477" max="9479" width="28.6328125" style="874" customWidth="1"/>
    <col min="9480" max="9731" width="9.08984375" style="874"/>
    <col min="9732" max="9732" width="82.6328125" style="874" bestFit="1" customWidth="1"/>
    <col min="9733" max="9735" width="28.6328125" style="874" customWidth="1"/>
    <col min="9736" max="9987" width="9.08984375" style="874"/>
    <col min="9988" max="9988" width="82.6328125" style="874" bestFit="1" customWidth="1"/>
    <col min="9989" max="9991" width="28.6328125" style="874" customWidth="1"/>
    <col min="9992" max="10243" width="9.08984375" style="874"/>
    <col min="10244" max="10244" width="82.6328125" style="874" bestFit="1" customWidth="1"/>
    <col min="10245" max="10247" width="28.6328125" style="874" customWidth="1"/>
    <col min="10248" max="10499" width="9.08984375" style="874"/>
    <col min="10500" max="10500" width="82.6328125" style="874" bestFit="1" customWidth="1"/>
    <col min="10501" max="10503" width="28.6328125" style="874" customWidth="1"/>
    <col min="10504" max="10755" width="9.08984375" style="874"/>
    <col min="10756" max="10756" width="82.6328125" style="874" bestFit="1" customWidth="1"/>
    <col min="10757" max="10759" width="28.6328125" style="874" customWidth="1"/>
    <col min="10760" max="11011" width="9.08984375" style="874"/>
    <col min="11012" max="11012" width="82.6328125" style="874" bestFit="1" customWidth="1"/>
    <col min="11013" max="11015" width="28.6328125" style="874" customWidth="1"/>
    <col min="11016" max="11267" width="9.08984375" style="874"/>
    <col min="11268" max="11268" width="82.6328125" style="874" bestFit="1" customWidth="1"/>
    <col min="11269" max="11271" width="28.6328125" style="874" customWidth="1"/>
    <col min="11272" max="11523" width="9.08984375" style="874"/>
    <col min="11524" max="11524" width="82.6328125" style="874" bestFit="1" customWidth="1"/>
    <col min="11525" max="11527" width="28.6328125" style="874" customWidth="1"/>
    <col min="11528" max="11779" width="9.08984375" style="874"/>
    <col min="11780" max="11780" width="82.6328125" style="874" bestFit="1" customWidth="1"/>
    <col min="11781" max="11783" width="28.6328125" style="874" customWidth="1"/>
    <col min="11784" max="12035" width="9.08984375" style="874"/>
    <col min="12036" max="12036" width="82.6328125" style="874" bestFit="1" customWidth="1"/>
    <col min="12037" max="12039" width="28.6328125" style="874" customWidth="1"/>
    <col min="12040" max="12291" width="9.08984375" style="874"/>
    <col min="12292" max="12292" width="82.6328125" style="874" bestFit="1" customWidth="1"/>
    <col min="12293" max="12295" width="28.6328125" style="874" customWidth="1"/>
    <col min="12296" max="12547" width="9.08984375" style="874"/>
    <col min="12548" max="12548" width="82.6328125" style="874" bestFit="1" customWidth="1"/>
    <col min="12549" max="12551" width="28.6328125" style="874" customWidth="1"/>
    <col min="12552" max="12803" width="9.08984375" style="874"/>
    <col min="12804" max="12804" width="82.6328125" style="874" bestFit="1" customWidth="1"/>
    <col min="12805" max="12807" width="28.6328125" style="874" customWidth="1"/>
    <col min="12808" max="13059" width="9.08984375" style="874"/>
    <col min="13060" max="13060" width="82.6328125" style="874" bestFit="1" customWidth="1"/>
    <col min="13061" max="13063" width="28.6328125" style="874" customWidth="1"/>
    <col min="13064" max="13315" width="9.08984375" style="874"/>
    <col min="13316" max="13316" width="82.6328125" style="874" bestFit="1" customWidth="1"/>
    <col min="13317" max="13319" width="28.6328125" style="874" customWidth="1"/>
    <col min="13320" max="13571" width="9.08984375" style="874"/>
    <col min="13572" max="13572" width="82.6328125" style="874" bestFit="1" customWidth="1"/>
    <col min="13573" max="13575" width="28.6328125" style="874" customWidth="1"/>
    <col min="13576" max="13827" width="9.08984375" style="874"/>
    <col min="13828" max="13828" width="82.6328125" style="874" bestFit="1" customWidth="1"/>
    <col min="13829" max="13831" width="28.6328125" style="874" customWidth="1"/>
    <col min="13832" max="14083" width="9.08984375" style="874"/>
    <col min="14084" max="14084" width="82.6328125" style="874" bestFit="1" customWidth="1"/>
    <col min="14085" max="14087" width="28.6328125" style="874" customWidth="1"/>
    <col min="14088" max="14339" width="9.08984375" style="874"/>
    <col min="14340" max="14340" width="82.6328125" style="874" bestFit="1" customWidth="1"/>
    <col min="14341" max="14343" width="28.6328125" style="874" customWidth="1"/>
    <col min="14344" max="14595" width="9.08984375" style="874"/>
    <col min="14596" max="14596" width="82.6328125" style="874" bestFit="1" customWidth="1"/>
    <col min="14597" max="14599" width="28.6328125" style="874" customWidth="1"/>
    <col min="14600" max="14851" width="9.08984375" style="874"/>
    <col min="14852" max="14852" width="82.6328125" style="874" bestFit="1" customWidth="1"/>
    <col min="14853" max="14855" width="28.6328125" style="874" customWidth="1"/>
    <col min="14856" max="15107" width="9.08984375" style="874"/>
    <col min="15108" max="15108" width="82.6328125" style="874" bestFit="1" customWidth="1"/>
    <col min="15109" max="15111" width="28.6328125" style="874" customWidth="1"/>
    <col min="15112" max="15363" width="9.08984375" style="874"/>
    <col min="15364" max="15364" width="82.6328125" style="874" bestFit="1" customWidth="1"/>
    <col min="15365" max="15367" width="28.6328125" style="874" customWidth="1"/>
    <col min="15368" max="15619" width="9.08984375" style="874"/>
    <col min="15620" max="15620" width="82.6328125" style="874" bestFit="1" customWidth="1"/>
    <col min="15621" max="15623" width="28.6328125" style="874" customWidth="1"/>
    <col min="15624" max="15875" width="9.08984375" style="874"/>
    <col min="15876" max="15876" width="82.6328125" style="874" bestFit="1" customWidth="1"/>
    <col min="15877" max="15879" width="28.6328125" style="874" customWidth="1"/>
    <col min="15880" max="16131" width="9.08984375" style="874"/>
    <col min="16132" max="16132" width="82.6328125" style="874" bestFit="1" customWidth="1"/>
    <col min="16133" max="16135" width="28.6328125" style="874" customWidth="1"/>
    <col min="16136" max="16384" width="9.08984375" style="874"/>
  </cols>
  <sheetData>
    <row r="1" spans="2:10">
      <c r="B1" s="939"/>
    </row>
    <row r="2" spans="2:10">
      <c r="B2" s="22"/>
      <c r="C2" s="892" t="str">
        <f>Index!B2</f>
        <v xml:space="preserve">      Maharashtra State Power Generation Company Ltd.</v>
      </c>
      <c r="D2" s="892"/>
      <c r="E2" s="892"/>
      <c r="F2" s="22"/>
      <c r="G2" s="22"/>
    </row>
    <row r="3" spans="2:10">
      <c r="B3" s="950"/>
      <c r="C3" s="894" t="s">
        <v>1077</v>
      </c>
      <c r="D3" s="894"/>
      <c r="E3" s="894"/>
      <c r="F3" s="950"/>
      <c r="G3" s="950"/>
    </row>
    <row r="4" spans="2:10">
      <c r="B4" s="22"/>
      <c r="C4" s="1032" t="s">
        <v>1348</v>
      </c>
      <c r="D4" s="1032"/>
      <c r="E4" s="1032"/>
      <c r="F4" s="22"/>
      <c r="G4" s="22"/>
      <c r="J4" s="892"/>
    </row>
    <row r="5" spans="2:10">
      <c r="G5" s="1033" t="s">
        <v>10</v>
      </c>
      <c r="J5" s="894"/>
    </row>
    <row r="6" spans="2:10" s="1034" customFormat="1">
      <c r="B6" s="941" t="s">
        <v>1349</v>
      </c>
      <c r="C6" s="941" t="s">
        <v>947</v>
      </c>
      <c r="D6" s="941" t="s">
        <v>948</v>
      </c>
      <c r="E6" s="941" t="s">
        <v>949</v>
      </c>
      <c r="F6" s="941" t="s">
        <v>950</v>
      </c>
      <c r="G6" s="941" t="s">
        <v>951</v>
      </c>
      <c r="J6" s="1032"/>
    </row>
    <row r="7" spans="2:10">
      <c r="B7" s="1035"/>
      <c r="C7" s="956" t="s">
        <v>1350</v>
      </c>
      <c r="D7" s="956"/>
      <c r="E7" s="956"/>
      <c r="F7" s="956"/>
      <c r="G7" s="956"/>
    </row>
    <row r="8" spans="2:10">
      <c r="B8" s="1036" t="s">
        <v>1351</v>
      </c>
      <c r="C8" s="956"/>
      <c r="D8" s="956"/>
      <c r="E8" s="956"/>
      <c r="F8" s="956"/>
      <c r="G8" s="956"/>
    </row>
    <row r="9" spans="2:10">
      <c r="B9" s="1037"/>
      <c r="C9" s="956"/>
      <c r="D9" s="956"/>
      <c r="E9" s="956"/>
      <c r="F9" s="956"/>
      <c r="G9" s="956"/>
    </row>
    <row r="10" spans="2:10">
      <c r="B10" s="1037" t="s">
        <v>1352</v>
      </c>
      <c r="C10" s="956"/>
      <c r="D10" s="956"/>
      <c r="E10" s="956"/>
      <c r="F10" s="956"/>
      <c r="G10" s="956"/>
    </row>
    <row r="11" spans="2:10">
      <c r="B11" s="1036" t="s">
        <v>1091</v>
      </c>
      <c r="C11" s="956"/>
      <c r="D11" s="956"/>
      <c r="E11" s="956"/>
      <c r="F11" s="956"/>
      <c r="G11" s="956"/>
    </row>
    <row r="12" spans="2:10">
      <c r="B12" s="1036" t="s">
        <v>1092</v>
      </c>
      <c r="C12" s="956"/>
      <c r="D12" s="956"/>
      <c r="E12" s="956"/>
      <c r="F12" s="956"/>
      <c r="G12" s="956"/>
    </row>
    <row r="13" spans="2:10">
      <c r="B13" s="1036" t="s">
        <v>1088</v>
      </c>
      <c r="C13" s="956"/>
      <c r="D13" s="956"/>
      <c r="E13" s="956"/>
      <c r="F13" s="956"/>
      <c r="G13" s="956"/>
    </row>
    <row r="14" spans="2:10">
      <c r="B14" s="1038" t="s">
        <v>1339</v>
      </c>
      <c r="C14" s="956"/>
      <c r="D14" s="956"/>
      <c r="E14" s="956"/>
      <c r="F14" s="956"/>
      <c r="G14" s="956"/>
    </row>
    <row r="15" spans="2:10">
      <c r="B15" s="1035"/>
      <c r="C15" s="956"/>
      <c r="D15" s="956"/>
      <c r="E15" s="956"/>
      <c r="F15" s="956"/>
      <c r="G15" s="956"/>
    </row>
    <row r="16" spans="2:10">
      <c r="B16" s="1039" t="s">
        <v>1353</v>
      </c>
      <c r="C16" s="956"/>
      <c r="D16" s="956"/>
      <c r="E16" s="956"/>
      <c r="F16" s="956"/>
      <c r="G16" s="956"/>
    </row>
    <row r="17" spans="2:7">
      <c r="B17" s="1038" t="s">
        <v>1354</v>
      </c>
      <c r="C17" s="956"/>
      <c r="D17" s="956"/>
      <c r="E17" s="956"/>
      <c r="F17" s="956"/>
      <c r="G17" s="956"/>
    </row>
    <row r="18" spans="2:7">
      <c r="B18" s="1038" t="s">
        <v>1355</v>
      </c>
      <c r="C18" s="956"/>
      <c r="D18" s="956"/>
      <c r="E18" s="956"/>
      <c r="F18" s="956"/>
      <c r="G18" s="956"/>
    </row>
    <row r="19" spans="2:7">
      <c r="B19" s="1035"/>
      <c r="C19" s="956"/>
      <c r="D19" s="956"/>
      <c r="E19" s="956"/>
      <c r="F19" s="956"/>
      <c r="G19" s="956"/>
    </row>
    <row r="20" spans="2:7">
      <c r="B20" s="1038" t="s">
        <v>272</v>
      </c>
      <c r="C20" s="956"/>
      <c r="D20" s="956"/>
      <c r="E20" s="956"/>
      <c r="F20" s="956"/>
      <c r="G20" s="956"/>
    </row>
    <row r="21" spans="2:7">
      <c r="C21" s="947"/>
      <c r="D21" s="947"/>
      <c r="E21" s="947"/>
      <c r="F21" s="1040"/>
      <c r="G21" s="1016"/>
    </row>
    <row r="29" spans="2:7">
      <c r="C29" s="94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J29"/>
  <sheetViews>
    <sheetView workbookViewId="0">
      <selection activeCell="C3" sqref="C3"/>
    </sheetView>
  </sheetViews>
  <sheetFormatPr defaultColWidth="9.08984375" defaultRowHeight="14"/>
  <cols>
    <col min="1" max="1" width="9.08984375" style="874"/>
    <col min="2" max="2" width="39" style="874" customWidth="1"/>
    <col min="3" max="3" width="19.08984375" style="874" customWidth="1"/>
    <col min="4" max="7" width="15.6328125" style="874" customWidth="1"/>
    <col min="8" max="259" width="9.08984375" style="874"/>
    <col min="260" max="260" width="82.6328125" style="874" bestFit="1" customWidth="1"/>
    <col min="261" max="263" width="28.6328125" style="874" customWidth="1"/>
    <col min="264" max="515" width="9.08984375" style="874"/>
    <col min="516" max="516" width="82.6328125" style="874" bestFit="1" customWidth="1"/>
    <col min="517" max="519" width="28.6328125" style="874" customWidth="1"/>
    <col min="520" max="771" width="9.08984375" style="874"/>
    <col min="772" max="772" width="82.6328125" style="874" bestFit="1" customWidth="1"/>
    <col min="773" max="775" width="28.6328125" style="874" customWidth="1"/>
    <col min="776" max="1027" width="9.08984375" style="874"/>
    <col min="1028" max="1028" width="82.6328125" style="874" bestFit="1" customWidth="1"/>
    <col min="1029" max="1031" width="28.6328125" style="874" customWidth="1"/>
    <col min="1032" max="1283" width="9.08984375" style="874"/>
    <col min="1284" max="1284" width="82.6328125" style="874" bestFit="1" customWidth="1"/>
    <col min="1285" max="1287" width="28.6328125" style="874" customWidth="1"/>
    <col min="1288" max="1539" width="9.08984375" style="874"/>
    <col min="1540" max="1540" width="82.6328125" style="874" bestFit="1" customWidth="1"/>
    <col min="1541" max="1543" width="28.6328125" style="874" customWidth="1"/>
    <col min="1544" max="1795" width="9.08984375" style="874"/>
    <col min="1796" max="1796" width="82.6328125" style="874" bestFit="1" customWidth="1"/>
    <col min="1797" max="1799" width="28.6328125" style="874" customWidth="1"/>
    <col min="1800" max="2051" width="9.08984375" style="874"/>
    <col min="2052" max="2052" width="82.6328125" style="874" bestFit="1" customWidth="1"/>
    <col min="2053" max="2055" width="28.6328125" style="874" customWidth="1"/>
    <col min="2056" max="2307" width="9.08984375" style="874"/>
    <col min="2308" max="2308" width="82.6328125" style="874" bestFit="1" customWidth="1"/>
    <col min="2309" max="2311" width="28.6328125" style="874" customWidth="1"/>
    <col min="2312" max="2563" width="9.08984375" style="874"/>
    <col min="2564" max="2564" width="82.6328125" style="874" bestFit="1" customWidth="1"/>
    <col min="2565" max="2567" width="28.6328125" style="874" customWidth="1"/>
    <col min="2568" max="2819" width="9.08984375" style="874"/>
    <col min="2820" max="2820" width="82.6328125" style="874" bestFit="1" customWidth="1"/>
    <col min="2821" max="2823" width="28.6328125" style="874" customWidth="1"/>
    <col min="2824" max="3075" width="9.08984375" style="874"/>
    <col min="3076" max="3076" width="82.6328125" style="874" bestFit="1" customWidth="1"/>
    <col min="3077" max="3079" width="28.6328125" style="874" customWidth="1"/>
    <col min="3080" max="3331" width="9.08984375" style="874"/>
    <col min="3332" max="3332" width="82.6328125" style="874" bestFit="1" customWidth="1"/>
    <col min="3333" max="3335" width="28.6328125" style="874" customWidth="1"/>
    <col min="3336" max="3587" width="9.08984375" style="874"/>
    <col min="3588" max="3588" width="82.6328125" style="874" bestFit="1" customWidth="1"/>
    <col min="3589" max="3591" width="28.6328125" style="874" customWidth="1"/>
    <col min="3592" max="3843" width="9.08984375" style="874"/>
    <col min="3844" max="3844" width="82.6328125" style="874" bestFit="1" customWidth="1"/>
    <col min="3845" max="3847" width="28.6328125" style="874" customWidth="1"/>
    <col min="3848" max="4099" width="9.08984375" style="874"/>
    <col min="4100" max="4100" width="82.6328125" style="874" bestFit="1" customWidth="1"/>
    <col min="4101" max="4103" width="28.6328125" style="874" customWidth="1"/>
    <col min="4104" max="4355" width="9.08984375" style="874"/>
    <col min="4356" max="4356" width="82.6328125" style="874" bestFit="1" customWidth="1"/>
    <col min="4357" max="4359" width="28.6328125" style="874" customWidth="1"/>
    <col min="4360" max="4611" width="9.08984375" style="874"/>
    <col min="4612" max="4612" width="82.6328125" style="874" bestFit="1" customWidth="1"/>
    <col min="4613" max="4615" width="28.6328125" style="874" customWidth="1"/>
    <col min="4616" max="4867" width="9.08984375" style="874"/>
    <col min="4868" max="4868" width="82.6328125" style="874" bestFit="1" customWidth="1"/>
    <col min="4869" max="4871" width="28.6328125" style="874" customWidth="1"/>
    <col min="4872" max="5123" width="9.08984375" style="874"/>
    <col min="5124" max="5124" width="82.6328125" style="874" bestFit="1" customWidth="1"/>
    <col min="5125" max="5127" width="28.6328125" style="874" customWidth="1"/>
    <col min="5128" max="5379" width="9.08984375" style="874"/>
    <col min="5380" max="5380" width="82.6328125" style="874" bestFit="1" customWidth="1"/>
    <col min="5381" max="5383" width="28.6328125" style="874" customWidth="1"/>
    <col min="5384" max="5635" width="9.08984375" style="874"/>
    <col min="5636" max="5636" width="82.6328125" style="874" bestFit="1" customWidth="1"/>
    <col min="5637" max="5639" width="28.6328125" style="874" customWidth="1"/>
    <col min="5640" max="5891" width="9.08984375" style="874"/>
    <col min="5892" max="5892" width="82.6328125" style="874" bestFit="1" customWidth="1"/>
    <col min="5893" max="5895" width="28.6328125" style="874" customWidth="1"/>
    <col min="5896" max="6147" width="9.08984375" style="874"/>
    <col min="6148" max="6148" width="82.6328125" style="874" bestFit="1" customWidth="1"/>
    <col min="6149" max="6151" width="28.6328125" style="874" customWidth="1"/>
    <col min="6152" max="6403" width="9.08984375" style="874"/>
    <col min="6404" max="6404" width="82.6328125" style="874" bestFit="1" customWidth="1"/>
    <col min="6405" max="6407" width="28.6328125" style="874" customWidth="1"/>
    <col min="6408" max="6659" width="9.08984375" style="874"/>
    <col min="6660" max="6660" width="82.6328125" style="874" bestFit="1" customWidth="1"/>
    <col min="6661" max="6663" width="28.6328125" style="874" customWidth="1"/>
    <col min="6664" max="6915" width="9.08984375" style="874"/>
    <col min="6916" max="6916" width="82.6328125" style="874" bestFit="1" customWidth="1"/>
    <col min="6917" max="6919" width="28.6328125" style="874" customWidth="1"/>
    <col min="6920" max="7171" width="9.08984375" style="874"/>
    <col min="7172" max="7172" width="82.6328125" style="874" bestFit="1" customWidth="1"/>
    <col min="7173" max="7175" width="28.6328125" style="874" customWidth="1"/>
    <col min="7176" max="7427" width="9.08984375" style="874"/>
    <col min="7428" max="7428" width="82.6328125" style="874" bestFit="1" customWidth="1"/>
    <col min="7429" max="7431" width="28.6328125" style="874" customWidth="1"/>
    <col min="7432" max="7683" width="9.08984375" style="874"/>
    <col min="7684" max="7684" width="82.6328125" style="874" bestFit="1" customWidth="1"/>
    <col min="7685" max="7687" width="28.6328125" style="874" customWidth="1"/>
    <col min="7688" max="7939" width="9.08984375" style="874"/>
    <col min="7940" max="7940" width="82.6328125" style="874" bestFit="1" customWidth="1"/>
    <col min="7941" max="7943" width="28.6328125" style="874" customWidth="1"/>
    <col min="7944" max="8195" width="9.08984375" style="874"/>
    <col min="8196" max="8196" width="82.6328125" style="874" bestFit="1" customWidth="1"/>
    <col min="8197" max="8199" width="28.6328125" style="874" customWidth="1"/>
    <col min="8200" max="8451" width="9.08984375" style="874"/>
    <col min="8452" max="8452" width="82.6328125" style="874" bestFit="1" customWidth="1"/>
    <col min="8453" max="8455" width="28.6328125" style="874" customWidth="1"/>
    <col min="8456" max="8707" width="9.08984375" style="874"/>
    <col min="8708" max="8708" width="82.6328125" style="874" bestFit="1" customWidth="1"/>
    <col min="8709" max="8711" width="28.6328125" style="874" customWidth="1"/>
    <col min="8712" max="8963" width="9.08984375" style="874"/>
    <col min="8964" max="8964" width="82.6328125" style="874" bestFit="1" customWidth="1"/>
    <col min="8965" max="8967" width="28.6328125" style="874" customWidth="1"/>
    <col min="8968" max="9219" width="9.08984375" style="874"/>
    <col min="9220" max="9220" width="82.6328125" style="874" bestFit="1" customWidth="1"/>
    <col min="9221" max="9223" width="28.6328125" style="874" customWidth="1"/>
    <col min="9224" max="9475" width="9.08984375" style="874"/>
    <col min="9476" max="9476" width="82.6328125" style="874" bestFit="1" customWidth="1"/>
    <col min="9477" max="9479" width="28.6328125" style="874" customWidth="1"/>
    <col min="9480" max="9731" width="9.08984375" style="874"/>
    <col min="9732" max="9732" width="82.6328125" style="874" bestFit="1" customWidth="1"/>
    <col min="9733" max="9735" width="28.6328125" style="874" customWidth="1"/>
    <col min="9736" max="9987" width="9.08984375" style="874"/>
    <col min="9988" max="9988" width="82.6328125" style="874" bestFit="1" customWidth="1"/>
    <col min="9989" max="9991" width="28.6328125" style="874" customWidth="1"/>
    <col min="9992" max="10243" width="9.08984375" style="874"/>
    <col min="10244" max="10244" width="82.6328125" style="874" bestFit="1" customWidth="1"/>
    <col min="10245" max="10247" width="28.6328125" style="874" customWidth="1"/>
    <col min="10248" max="10499" width="9.08984375" style="874"/>
    <col min="10500" max="10500" width="82.6328125" style="874" bestFit="1" customWidth="1"/>
    <col min="10501" max="10503" width="28.6328125" style="874" customWidth="1"/>
    <col min="10504" max="10755" width="9.08984375" style="874"/>
    <col min="10756" max="10756" width="82.6328125" style="874" bestFit="1" customWidth="1"/>
    <col min="10757" max="10759" width="28.6328125" style="874" customWidth="1"/>
    <col min="10760" max="11011" width="9.08984375" style="874"/>
    <col min="11012" max="11012" width="82.6328125" style="874" bestFit="1" customWidth="1"/>
    <col min="11013" max="11015" width="28.6328125" style="874" customWidth="1"/>
    <col min="11016" max="11267" width="9.08984375" style="874"/>
    <col min="11268" max="11268" width="82.6328125" style="874" bestFit="1" customWidth="1"/>
    <col min="11269" max="11271" width="28.6328125" style="874" customWidth="1"/>
    <col min="11272" max="11523" width="9.08984375" style="874"/>
    <col min="11524" max="11524" width="82.6328125" style="874" bestFit="1" customWidth="1"/>
    <col min="11525" max="11527" width="28.6328125" style="874" customWidth="1"/>
    <col min="11528" max="11779" width="9.08984375" style="874"/>
    <col min="11780" max="11780" width="82.6328125" style="874" bestFit="1" customWidth="1"/>
    <col min="11781" max="11783" width="28.6328125" style="874" customWidth="1"/>
    <col min="11784" max="12035" width="9.08984375" style="874"/>
    <col min="12036" max="12036" width="82.6328125" style="874" bestFit="1" customWidth="1"/>
    <col min="12037" max="12039" width="28.6328125" style="874" customWidth="1"/>
    <col min="12040" max="12291" width="9.08984375" style="874"/>
    <col min="12292" max="12292" width="82.6328125" style="874" bestFit="1" customWidth="1"/>
    <col min="12293" max="12295" width="28.6328125" style="874" customWidth="1"/>
    <col min="12296" max="12547" width="9.08984375" style="874"/>
    <col min="12548" max="12548" width="82.6328125" style="874" bestFit="1" customWidth="1"/>
    <col min="12549" max="12551" width="28.6328125" style="874" customWidth="1"/>
    <col min="12552" max="12803" width="9.08984375" style="874"/>
    <col min="12804" max="12804" width="82.6328125" style="874" bestFit="1" customWidth="1"/>
    <col min="12805" max="12807" width="28.6328125" style="874" customWidth="1"/>
    <col min="12808" max="13059" width="9.08984375" style="874"/>
    <col min="13060" max="13060" width="82.6328125" style="874" bestFit="1" customWidth="1"/>
    <col min="13061" max="13063" width="28.6328125" style="874" customWidth="1"/>
    <col min="13064" max="13315" width="9.08984375" style="874"/>
    <col min="13316" max="13316" width="82.6328125" style="874" bestFit="1" customWidth="1"/>
    <col min="13317" max="13319" width="28.6328125" style="874" customWidth="1"/>
    <col min="13320" max="13571" width="9.08984375" style="874"/>
    <col min="13572" max="13572" width="82.6328125" style="874" bestFit="1" customWidth="1"/>
    <col min="13573" max="13575" width="28.6328125" style="874" customWidth="1"/>
    <col min="13576" max="13827" width="9.08984375" style="874"/>
    <col min="13828" max="13828" width="82.6328125" style="874" bestFit="1" customWidth="1"/>
    <col min="13829" max="13831" width="28.6328125" style="874" customWidth="1"/>
    <col min="13832" max="14083" width="9.08984375" style="874"/>
    <col min="14084" max="14084" width="82.6328125" style="874" bestFit="1" customWidth="1"/>
    <col min="14085" max="14087" width="28.6328125" style="874" customWidth="1"/>
    <col min="14088" max="14339" width="9.08984375" style="874"/>
    <col min="14340" max="14340" width="82.6328125" style="874" bestFit="1" customWidth="1"/>
    <col min="14341" max="14343" width="28.6328125" style="874" customWidth="1"/>
    <col min="14344" max="14595" width="9.08984375" style="874"/>
    <col min="14596" max="14596" width="82.6328125" style="874" bestFit="1" customWidth="1"/>
    <col min="14597" max="14599" width="28.6328125" style="874" customWidth="1"/>
    <col min="14600" max="14851" width="9.08984375" style="874"/>
    <col min="14852" max="14852" width="82.6328125" style="874" bestFit="1" customWidth="1"/>
    <col min="14853" max="14855" width="28.6328125" style="874" customWidth="1"/>
    <col min="14856" max="15107" width="9.08984375" style="874"/>
    <col min="15108" max="15108" width="82.6328125" style="874" bestFit="1" customWidth="1"/>
    <col min="15109" max="15111" width="28.6328125" style="874" customWidth="1"/>
    <col min="15112" max="15363" width="9.08984375" style="874"/>
    <col min="15364" max="15364" width="82.6328125" style="874" bestFit="1" customWidth="1"/>
    <col min="15365" max="15367" width="28.6328125" style="874" customWidth="1"/>
    <col min="15368" max="15619" width="9.08984375" style="874"/>
    <col min="15620" max="15620" width="82.6328125" style="874" bestFit="1" customWidth="1"/>
    <col min="15621" max="15623" width="28.6328125" style="874" customWidth="1"/>
    <col min="15624" max="15875" width="9.08984375" style="874"/>
    <col min="15876" max="15876" width="82.6328125" style="874" bestFit="1" customWidth="1"/>
    <col min="15877" max="15879" width="28.6328125" style="874" customWidth="1"/>
    <col min="15880" max="16131" width="9.08984375" style="874"/>
    <col min="16132" max="16132" width="82.6328125" style="874" bestFit="1" customWidth="1"/>
    <col min="16133" max="16135" width="28.6328125" style="874" customWidth="1"/>
    <col min="16136" max="16384" width="9.08984375" style="874"/>
  </cols>
  <sheetData>
    <row r="1" spans="2:10">
      <c r="B1" s="939"/>
    </row>
    <row r="2" spans="2:10">
      <c r="B2" s="22"/>
      <c r="C2" s="892" t="str">
        <f>Index!B2</f>
        <v xml:space="preserve">      Maharashtra State Power Generation Company Ltd.</v>
      </c>
      <c r="D2" s="892"/>
      <c r="E2" s="892"/>
      <c r="F2" s="22"/>
      <c r="G2" s="22"/>
    </row>
    <row r="3" spans="2:10">
      <c r="B3" s="950"/>
      <c r="C3" s="894" t="s">
        <v>1077</v>
      </c>
      <c r="D3" s="894"/>
      <c r="E3" s="894"/>
      <c r="F3" s="950"/>
      <c r="G3" s="950"/>
    </row>
    <row r="4" spans="2:10">
      <c r="B4" s="22"/>
      <c r="C4" s="1032" t="s">
        <v>1348</v>
      </c>
      <c r="D4" s="1032"/>
      <c r="E4" s="1032"/>
      <c r="F4" s="22"/>
      <c r="G4" s="22"/>
      <c r="J4" s="892"/>
    </row>
    <row r="5" spans="2:10">
      <c r="G5" s="1033" t="s">
        <v>10</v>
      </c>
      <c r="J5" s="894"/>
    </row>
    <row r="6" spans="2:10" s="1034" customFormat="1">
      <c r="B6" s="941" t="s">
        <v>1349</v>
      </c>
      <c r="C6" s="941" t="s">
        <v>947</v>
      </c>
      <c r="D6" s="941" t="s">
        <v>948</v>
      </c>
      <c r="E6" s="941" t="s">
        <v>949</v>
      </c>
      <c r="F6" s="941" t="s">
        <v>950</v>
      </c>
      <c r="G6" s="941" t="s">
        <v>951</v>
      </c>
      <c r="J6" s="1032"/>
    </row>
    <row r="7" spans="2:10">
      <c r="B7" s="1035"/>
      <c r="C7" s="956" t="s">
        <v>1350</v>
      </c>
      <c r="D7" s="956"/>
      <c r="E7" s="956"/>
      <c r="F7" s="956"/>
      <c r="G7" s="956"/>
    </row>
    <row r="8" spans="2:10">
      <c r="B8" s="1036" t="s">
        <v>1351</v>
      </c>
      <c r="C8" s="956"/>
      <c r="D8" s="956"/>
      <c r="E8" s="956"/>
      <c r="F8" s="956"/>
      <c r="G8" s="956"/>
    </row>
    <row r="9" spans="2:10">
      <c r="B9" s="1037"/>
      <c r="C9" s="956"/>
      <c r="D9" s="956"/>
      <c r="E9" s="956"/>
      <c r="F9" s="956"/>
      <c r="G9" s="956"/>
    </row>
    <row r="10" spans="2:10">
      <c r="B10" s="1037" t="s">
        <v>1352</v>
      </c>
      <c r="C10" s="956"/>
      <c r="D10" s="956"/>
      <c r="E10" s="956"/>
      <c r="F10" s="956"/>
      <c r="G10" s="956"/>
    </row>
    <row r="11" spans="2:10">
      <c r="B11" s="1036" t="s">
        <v>1091</v>
      </c>
      <c r="C11" s="956"/>
      <c r="D11" s="956"/>
      <c r="E11" s="956"/>
      <c r="F11" s="956"/>
      <c r="G11" s="956"/>
    </row>
    <row r="12" spans="2:10">
      <c r="B12" s="1036" t="s">
        <v>1092</v>
      </c>
      <c r="C12" s="956"/>
      <c r="D12" s="956"/>
      <c r="E12" s="956"/>
      <c r="F12" s="956"/>
      <c r="G12" s="956"/>
    </row>
    <row r="13" spans="2:10">
      <c r="B13" s="1036" t="s">
        <v>1088</v>
      </c>
      <c r="C13" s="956"/>
      <c r="D13" s="956"/>
      <c r="E13" s="956"/>
      <c r="F13" s="956"/>
      <c r="G13" s="956"/>
    </row>
    <row r="14" spans="2:10">
      <c r="B14" s="1038" t="s">
        <v>1339</v>
      </c>
      <c r="C14" s="956"/>
      <c r="D14" s="956"/>
      <c r="E14" s="956"/>
      <c r="F14" s="956"/>
      <c r="G14" s="956"/>
    </row>
    <row r="15" spans="2:10">
      <c r="B15" s="1035"/>
      <c r="C15" s="956"/>
      <c r="D15" s="956"/>
      <c r="E15" s="956"/>
      <c r="F15" s="956"/>
      <c r="G15" s="956"/>
    </row>
    <row r="16" spans="2:10">
      <c r="B16" s="1039" t="s">
        <v>1353</v>
      </c>
      <c r="C16" s="956"/>
      <c r="D16" s="956"/>
      <c r="E16" s="956"/>
      <c r="F16" s="956"/>
      <c r="G16" s="956"/>
    </row>
    <row r="17" spans="2:7">
      <c r="B17" s="1038" t="s">
        <v>1354</v>
      </c>
      <c r="C17" s="956"/>
      <c r="D17" s="956"/>
      <c r="E17" s="956"/>
      <c r="F17" s="956"/>
      <c r="G17" s="956"/>
    </row>
    <row r="18" spans="2:7">
      <c r="B18" s="1038" t="s">
        <v>1355</v>
      </c>
      <c r="C18" s="956"/>
      <c r="D18" s="956"/>
      <c r="E18" s="956"/>
      <c r="F18" s="956"/>
      <c r="G18" s="956"/>
    </row>
    <row r="19" spans="2:7">
      <c r="B19" s="1035"/>
      <c r="C19" s="956"/>
      <c r="D19" s="956"/>
      <c r="E19" s="956"/>
      <c r="F19" s="956"/>
      <c r="G19" s="956"/>
    </row>
    <row r="20" spans="2:7">
      <c r="B20" s="1038" t="s">
        <v>272</v>
      </c>
      <c r="C20" s="956"/>
      <c r="D20" s="956"/>
      <c r="E20" s="956"/>
      <c r="F20" s="956"/>
      <c r="G20" s="956"/>
    </row>
    <row r="21" spans="2:7">
      <c r="C21" s="947"/>
      <c r="D21" s="947"/>
      <c r="E21" s="947"/>
      <c r="F21" s="1040"/>
      <c r="G21" s="1016"/>
    </row>
    <row r="29" spans="2:7">
      <c r="C29" s="949"/>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J329"/>
  <sheetViews>
    <sheetView topLeftCell="E1" workbookViewId="0">
      <selection activeCell="K29" sqref="K29"/>
    </sheetView>
  </sheetViews>
  <sheetFormatPr defaultColWidth="8.6328125" defaultRowHeight="12.5"/>
  <cols>
    <col min="1" max="1" width="14.6328125" style="895" customWidth="1"/>
    <col min="2" max="2" width="32.6328125" style="922" bestFit="1" customWidth="1"/>
    <col min="3" max="3" width="23.08984375" style="895" customWidth="1"/>
    <col min="4" max="4" width="19.6328125" style="895" customWidth="1"/>
    <col min="5" max="5" width="19" style="895" customWidth="1"/>
    <col min="6" max="14" width="22.36328125" style="895" customWidth="1"/>
    <col min="15" max="15" width="23.453125" style="895" customWidth="1"/>
    <col min="16" max="33" width="22.36328125" style="895" customWidth="1"/>
    <col min="34" max="34" width="9.36328125" style="895" bestFit="1" customWidth="1"/>
    <col min="35" max="35" width="25.6328125" style="895" customWidth="1"/>
    <col min="36" max="36" width="22.36328125" style="895" customWidth="1"/>
    <col min="37" max="16384" width="8.6328125" style="895"/>
  </cols>
  <sheetData>
    <row r="2" spans="1:33" ht="14.15" customHeight="1">
      <c r="A2" s="1904" t="str">
        <f>Index!B2</f>
        <v xml:space="preserve">      Maharashtra State Power Generation Company Ltd.</v>
      </c>
      <c r="B2" s="1875"/>
      <c r="C2" s="1875"/>
      <c r="D2" s="1875"/>
      <c r="E2" s="1875"/>
      <c r="F2" s="1875"/>
      <c r="G2" s="1875"/>
      <c r="H2" s="1875"/>
      <c r="I2" s="1875"/>
      <c r="J2" s="1875"/>
      <c r="K2" s="1875"/>
      <c r="L2" s="1875"/>
      <c r="M2" s="1875"/>
      <c r="N2" s="1875"/>
      <c r="O2" s="1875"/>
      <c r="P2" s="1875"/>
      <c r="Q2" s="1875"/>
      <c r="R2" s="1875"/>
      <c r="S2" s="1875"/>
      <c r="T2" s="1875"/>
    </row>
    <row r="3" spans="1:33" ht="14.15" customHeight="1">
      <c r="A3" s="1904" t="s">
        <v>1034</v>
      </c>
      <c r="B3" s="1875"/>
      <c r="C3" s="1875"/>
      <c r="D3" s="1875"/>
      <c r="E3" s="1875"/>
      <c r="F3" s="1875"/>
      <c r="G3" s="1875"/>
      <c r="H3" s="1875"/>
      <c r="I3" s="1875"/>
      <c r="J3" s="1875"/>
      <c r="K3" s="1875"/>
      <c r="L3" s="1875"/>
      <c r="M3" s="1875"/>
      <c r="N3" s="1875"/>
      <c r="O3" s="1875"/>
      <c r="P3" s="1875"/>
      <c r="Q3" s="1875"/>
      <c r="R3" s="1875"/>
      <c r="S3" s="1875"/>
      <c r="T3" s="1875"/>
    </row>
    <row r="4" spans="1:33" ht="14.15" customHeight="1">
      <c r="A4" s="1905" t="s">
        <v>1035</v>
      </c>
      <c r="B4" s="1876"/>
      <c r="C4" s="1876"/>
      <c r="D4" s="1876"/>
      <c r="E4" s="1876"/>
      <c r="F4" s="1876"/>
      <c r="G4" s="1876"/>
      <c r="H4" s="1876"/>
      <c r="I4" s="1876"/>
      <c r="J4" s="1876"/>
      <c r="K4" s="1876"/>
      <c r="L4" s="1876"/>
      <c r="M4" s="1876"/>
      <c r="N4" s="1876"/>
      <c r="O4" s="1876"/>
      <c r="P4" s="1876"/>
      <c r="Q4" s="1876"/>
      <c r="R4" s="1876"/>
      <c r="S4" s="1876"/>
      <c r="T4" s="1876"/>
    </row>
    <row r="5" spans="1:33" ht="13">
      <c r="B5" s="896" t="s">
        <v>1036</v>
      </c>
      <c r="F5" s="897" t="s">
        <v>10</v>
      </c>
    </row>
    <row r="6" spans="1:33" ht="26.15" customHeight="1">
      <c r="A6" s="898"/>
      <c r="B6" s="1906" t="s">
        <v>414</v>
      </c>
      <c r="C6" s="1899" t="s">
        <v>1037</v>
      </c>
      <c r="D6" s="1899" t="s">
        <v>1038</v>
      </c>
      <c r="E6" s="1899" t="s">
        <v>1039</v>
      </c>
      <c r="F6" s="1901" t="s">
        <v>1040</v>
      </c>
      <c r="G6" s="1902"/>
      <c r="H6" s="1902"/>
      <c r="I6" s="1902"/>
      <c r="J6" s="1902"/>
      <c r="K6" s="1902"/>
      <c r="L6" s="1902"/>
      <c r="M6" s="1902"/>
      <c r="N6" s="1902"/>
      <c r="O6" s="1902"/>
      <c r="P6" s="1902"/>
      <c r="Q6" s="1902"/>
      <c r="R6" s="1902"/>
      <c r="S6" s="1902"/>
      <c r="T6" s="1902"/>
      <c r="U6" s="1902"/>
      <c r="V6" s="1902"/>
      <c r="W6" s="1902"/>
      <c r="X6" s="1902"/>
      <c r="Y6" s="1902"/>
      <c r="Z6" s="1902"/>
      <c r="AA6" s="1902"/>
      <c r="AB6" s="1902"/>
      <c r="AC6" s="1902"/>
      <c r="AD6" s="1903"/>
      <c r="AE6" s="899" t="s">
        <v>1041</v>
      </c>
      <c r="AF6" s="899" t="s">
        <v>1042</v>
      </c>
      <c r="AG6" s="899" t="s">
        <v>1043</v>
      </c>
    </row>
    <row r="7" spans="1:33" ht="12.9" customHeight="1">
      <c r="A7" s="898"/>
      <c r="B7" s="1907"/>
      <c r="C7" s="1900"/>
      <c r="D7" s="1900"/>
      <c r="E7" s="1900"/>
      <c r="F7" s="900" t="s">
        <v>1044</v>
      </c>
      <c r="G7" s="900" t="s">
        <v>1045</v>
      </c>
      <c r="H7" s="900" t="s">
        <v>1046</v>
      </c>
      <c r="I7" s="900" t="s">
        <v>1047</v>
      </c>
      <c r="J7" s="900" t="s">
        <v>1048</v>
      </c>
      <c r="K7" s="900" t="s">
        <v>1049</v>
      </c>
      <c r="L7" s="900" t="s">
        <v>1050</v>
      </c>
      <c r="M7" s="900" t="s">
        <v>1051</v>
      </c>
      <c r="N7" s="900" t="s">
        <v>1052</v>
      </c>
      <c r="O7" s="900" t="s">
        <v>1053</v>
      </c>
      <c r="P7" s="900" t="s">
        <v>1054</v>
      </c>
      <c r="Q7" s="900" t="s">
        <v>1055</v>
      </c>
      <c r="R7" s="900" t="s">
        <v>1056</v>
      </c>
      <c r="S7" s="900" t="s">
        <v>1057</v>
      </c>
      <c r="T7" s="900" t="s">
        <v>326</v>
      </c>
      <c r="U7" s="900" t="s">
        <v>507</v>
      </c>
      <c r="V7" s="900" t="s">
        <v>508</v>
      </c>
      <c r="W7" s="900" t="s">
        <v>509</v>
      </c>
      <c r="X7" s="900" t="s">
        <v>510</v>
      </c>
      <c r="Y7" s="900" t="s">
        <v>511</v>
      </c>
      <c r="Z7" s="900" t="s">
        <v>947</v>
      </c>
      <c r="AA7" s="900" t="s">
        <v>948</v>
      </c>
      <c r="AB7" s="900" t="s">
        <v>949</v>
      </c>
      <c r="AC7" s="900" t="s">
        <v>950</v>
      </c>
      <c r="AD7" s="900" t="s">
        <v>951</v>
      </c>
      <c r="AE7" s="899"/>
      <c r="AF7" s="899"/>
      <c r="AG7" s="899"/>
    </row>
    <row r="8" spans="1:33">
      <c r="A8" s="901" t="s">
        <v>1058</v>
      </c>
      <c r="B8" s="902">
        <v>2005</v>
      </c>
      <c r="C8" s="903"/>
      <c r="D8" s="904"/>
      <c r="E8" s="904"/>
      <c r="F8" s="905"/>
      <c r="G8" s="905"/>
      <c r="H8" s="905"/>
      <c r="I8" s="905"/>
      <c r="J8" s="905"/>
      <c r="K8" s="905"/>
      <c r="L8" s="905"/>
      <c r="M8" s="905"/>
      <c r="N8" s="905"/>
      <c r="O8" s="905"/>
      <c r="P8" s="905"/>
      <c r="Q8" s="905"/>
      <c r="R8" s="905"/>
      <c r="S8" s="905"/>
      <c r="T8" s="905"/>
      <c r="U8" s="905"/>
      <c r="V8" s="905"/>
      <c r="W8" s="905"/>
      <c r="X8" s="905"/>
      <c r="Y8" s="905"/>
      <c r="Z8" s="905"/>
      <c r="AA8" s="905"/>
      <c r="AB8" s="905"/>
      <c r="AC8" s="905"/>
      <c r="AD8" s="905"/>
      <c r="AE8" s="904"/>
      <c r="AF8" s="904"/>
      <c r="AG8" s="904"/>
    </row>
    <row r="9" spans="1:33">
      <c r="A9" s="901" t="s">
        <v>1059</v>
      </c>
      <c r="B9" s="902" t="s">
        <v>1044</v>
      </c>
      <c r="C9" s="901"/>
      <c r="D9" s="904"/>
      <c r="E9" s="904"/>
      <c r="F9" s="906"/>
      <c r="G9" s="905"/>
      <c r="H9" s="905"/>
      <c r="I9" s="905"/>
      <c r="J9" s="905"/>
      <c r="K9" s="905"/>
      <c r="L9" s="905"/>
      <c r="M9" s="905"/>
      <c r="N9" s="905"/>
      <c r="O9" s="905"/>
      <c r="P9" s="905"/>
      <c r="Q9" s="905"/>
      <c r="R9" s="905"/>
      <c r="S9" s="905"/>
      <c r="T9" s="905"/>
      <c r="U9" s="905"/>
      <c r="V9" s="905"/>
      <c r="W9" s="905"/>
      <c r="X9" s="905"/>
      <c r="Y9" s="905"/>
      <c r="Z9" s="905"/>
      <c r="AA9" s="905"/>
      <c r="AB9" s="905"/>
      <c r="AC9" s="905"/>
      <c r="AD9" s="905"/>
      <c r="AE9" s="904"/>
      <c r="AF9" s="904"/>
      <c r="AG9" s="904"/>
    </row>
    <row r="10" spans="1:33">
      <c r="A10" s="901" t="s">
        <v>1059</v>
      </c>
      <c r="B10" s="902" t="s">
        <v>1045</v>
      </c>
      <c r="C10" s="901"/>
      <c r="D10" s="904"/>
      <c r="E10" s="904"/>
      <c r="F10" s="907"/>
      <c r="G10" s="906"/>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4"/>
      <c r="AF10" s="904"/>
      <c r="AG10" s="904"/>
    </row>
    <row r="11" spans="1:33">
      <c r="A11" s="901" t="s">
        <v>1059</v>
      </c>
      <c r="B11" s="902" t="s">
        <v>1046</v>
      </c>
      <c r="C11" s="901"/>
      <c r="D11" s="904"/>
      <c r="E11" s="904"/>
      <c r="F11" s="907"/>
      <c r="G11" s="907"/>
      <c r="H11" s="906"/>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4"/>
      <c r="AF11" s="904"/>
      <c r="AG11" s="904"/>
    </row>
    <row r="12" spans="1:33">
      <c r="A12" s="901" t="s">
        <v>1059</v>
      </c>
      <c r="B12" s="902" t="s">
        <v>1047</v>
      </c>
      <c r="C12" s="901"/>
      <c r="D12" s="904"/>
      <c r="E12" s="904"/>
      <c r="F12" s="907"/>
      <c r="G12" s="907"/>
      <c r="H12" s="907"/>
      <c r="I12" s="906"/>
      <c r="J12" s="905"/>
      <c r="K12" s="905"/>
      <c r="L12" s="905"/>
      <c r="M12" s="905"/>
      <c r="N12" s="905"/>
      <c r="O12" s="905"/>
      <c r="P12" s="905"/>
      <c r="Q12" s="905"/>
      <c r="R12" s="905"/>
      <c r="S12" s="905"/>
      <c r="T12" s="905"/>
      <c r="U12" s="905"/>
      <c r="V12" s="905"/>
      <c r="W12" s="905"/>
      <c r="X12" s="905"/>
      <c r="Y12" s="905"/>
      <c r="Z12" s="905"/>
      <c r="AA12" s="905"/>
      <c r="AB12" s="905"/>
      <c r="AC12" s="905"/>
      <c r="AD12" s="905"/>
      <c r="AE12" s="904"/>
      <c r="AF12" s="904"/>
      <c r="AG12" s="904"/>
    </row>
    <row r="13" spans="1:33">
      <c r="A13" s="901" t="s">
        <v>1059</v>
      </c>
      <c r="B13" s="902" t="s">
        <v>1048</v>
      </c>
      <c r="C13" s="901"/>
      <c r="D13" s="904"/>
      <c r="E13" s="904"/>
      <c r="F13" s="907"/>
      <c r="G13" s="907"/>
      <c r="H13" s="907"/>
      <c r="I13" s="907"/>
      <c r="J13" s="906"/>
      <c r="K13" s="905"/>
      <c r="L13" s="905"/>
      <c r="M13" s="905"/>
      <c r="N13" s="905"/>
      <c r="O13" s="905"/>
      <c r="P13" s="905"/>
      <c r="Q13" s="905"/>
      <c r="R13" s="905"/>
      <c r="S13" s="905"/>
      <c r="T13" s="905"/>
      <c r="U13" s="905"/>
      <c r="V13" s="905"/>
      <c r="W13" s="905"/>
      <c r="X13" s="905"/>
      <c r="Y13" s="905"/>
      <c r="Z13" s="905"/>
      <c r="AA13" s="905"/>
      <c r="AB13" s="905"/>
      <c r="AC13" s="905"/>
      <c r="AD13" s="905"/>
      <c r="AE13" s="904"/>
      <c r="AF13" s="904"/>
      <c r="AG13" s="904"/>
    </row>
    <row r="14" spans="1:33">
      <c r="A14" s="901" t="s">
        <v>1059</v>
      </c>
      <c r="B14" s="902" t="s">
        <v>1049</v>
      </c>
      <c r="C14" s="901"/>
      <c r="D14" s="904"/>
      <c r="E14" s="904"/>
      <c r="F14" s="907"/>
      <c r="G14" s="907"/>
      <c r="H14" s="907"/>
      <c r="I14" s="907"/>
      <c r="J14" s="907"/>
      <c r="K14" s="906"/>
      <c r="L14" s="905"/>
      <c r="M14" s="905"/>
      <c r="N14" s="905"/>
      <c r="O14" s="905"/>
      <c r="P14" s="905"/>
      <c r="Q14" s="905"/>
      <c r="R14" s="905"/>
      <c r="S14" s="905"/>
      <c r="T14" s="905"/>
      <c r="U14" s="905"/>
      <c r="V14" s="905"/>
      <c r="W14" s="905"/>
      <c r="X14" s="905"/>
      <c r="Y14" s="905"/>
      <c r="Z14" s="905"/>
      <c r="AA14" s="905"/>
      <c r="AB14" s="905"/>
      <c r="AC14" s="905"/>
      <c r="AD14" s="905"/>
      <c r="AE14" s="904"/>
      <c r="AF14" s="904"/>
      <c r="AG14" s="904"/>
    </row>
    <row r="15" spans="1:33">
      <c r="A15" s="901" t="s">
        <v>1059</v>
      </c>
      <c r="B15" s="902" t="s">
        <v>1050</v>
      </c>
      <c r="C15" s="901"/>
      <c r="D15" s="904"/>
      <c r="E15" s="904"/>
      <c r="F15" s="907"/>
      <c r="G15" s="907"/>
      <c r="H15" s="907"/>
      <c r="I15" s="907"/>
      <c r="J15" s="907"/>
      <c r="K15" s="907"/>
      <c r="L15" s="906"/>
      <c r="M15" s="905"/>
      <c r="N15" s="905"/>
      <c r="O15" s="905"/>
      <c r="P15" s="905"/>
      <c r="Q15" s="905"/>
      <c r="R15" s="905"/>
      <c r="S15" s="905"/>
      <c r="T15" s="905"/>
      <c r="U15" s="905"/>
      <c r="V15" s="905"/>
      <c r="W15" s="905"/>
      <c r="X15" s="905"/>
      <c r="Y15" s="905"/>
      <c r="Z15" s="905"/>
      <c r="AA15" s="905"/>
      <c r="AB15" s="905"/>
      <c r="AC15" s="905"/>
      <c r="AD15" s="905"/>
      <c r="AE15" s="904"/>
      <c r="AF15" s="904"/>
      <c r="AG15" s="904"/>
    </row>
    <row r="16" spans="1:33">
      <c r="A16" s="901" t="s">
        <v>1059</v>
      </c>
      <c r="B16" s="902" t="s">
        <v>1051</v>
      </c>
      <c r="C16" s="901"/>
      <c r="D16" s="904"/>
      <c r="E16" s="904"/>
      <c r="F16" s="907"/>
      <c r="G16" s="907"/>
      <c r="H16" s="907"/>
      <c r="I16" s="907"/>
      <c r="J16" s="907"/>
      <c r="K16" s="907"/>
      <c r="L16" s="907"/>
      <c r="M16" s="906"/>
      <c r="N16" s="905"/>
      <c r="O16" s="905"/>
      <c r="P16" s="905"/>
      <c r="Q16" s="905"/>
      <c r="R16" s="905"/>
      <c r="S16" s="905"/>
      <c r="T16" s="905"/>
      <c r="U16" s="905"/>
      <c r="V16" s="905"/>
      <c r="W16" s="905"/>
      <c r="X16" s="905"/>
      <c r="Y16" s="905"/>
      <c r="Z16" s="905"/>
      <c r="AA16" s="905"/>
      <c r="AB16" s="905"/>
      <c r="AC16" s="905"/>
      <c r="AD16" s="905"/>
      <c r="AE16" s="904"/>
      <c r="AF16" s="904"/>
      <c r="AG16" s="904"/>
    </row>
    <row r="17" spans="1:33">
      <c r="A17" s="901" t="s">
        <v>1059</v>
      </c>
      <c r="B17" s="902" t="s">
        <v>1052</v>
      </c>
      <c r="C17" s="901"/>
      <c r="D17" s="904"/>
      <c r="E17" s="904"/>
      <c r="F17" s="907"/>
      <c r="G17" s="907"/>
      <c r="H17" s="907"/>
      <c r="I17" s="907"/>
      <c r="J17" s="907"/>
      <c r="K17" s="907"/>
      <c r="L17" s="907"/>
      <c r="M17" s="907"/>
      <c r="N17" s="906"/>
      <c r="O17" s="905"/>
      <c r="P17" s="905"/>
      <c r="Q17" s="905"/>
      <c r="R17" s="905"/>
      <c r="S17" s="905"/>
      <c r="T17" s="905"/>
      <c r="U17" s="905"/>
      <c r="V17" s="905"/>
      <c r="W17" s="905"/>
      <c r="X17" s="905"/>
      <c r="Y17" s="905"/>
      <c r="Z17" s="905"/>
      <c r="AA17" s="905"/>
      <c r="AB17" s="905"/>
      <c r="AC17" s="905"/>
      <c r="AD17" s="905"/>
      <c r="AE17" s="904"/>
      <c r="AF17" s="904"/>
      <c r="AG17" s="904"/>
    </row>
    <row r="18" spans="1:33">
      <c r="A18" s="901" t="s">
        <v>1059</v>
      </c>
      <c r="B18" s="902" t="s">
        <v>1053</v>
      </c>
      <c r="C18" s="904"/>
      <c r="D18" s="904"/>
      <c r="E18" s="904"/>
      <c r="F18" s="907"/>
      <c r="G18" s="907"/>
      <c r="H18" s="907"/>
      <c r="I18" s="907"/>
      <c r="J18" s="907"/>
      <c r="K18" s="907"/>
      <c r="L18" s="907"/>
      <c r="M18" s="907"/>
      <c r="N18" s="907"/>
      <c r="O18" s="906"/>
      <c r="P18" s="905"/>
      <c r="Q18" s="905"/>
      <c r="R18" s="905"/>
      <c r="S18" s="905"/>
      <c r="T18" s="905"/>
      <c r="U18" s="905"/>
      <c r="V18" s="905"/>
      <c r="W18" s="905"/>
      <c r="X18" s="905"/>
      <c r="Y18" s="905"/>
      <c r="Z18" s="905"/>
      <c r="AA18" s="905"/>
      <c r="AB18" s="905"/>
      <c r="AC18" s="905"/>
      <c r="AD18" s="905"/>
      <c r="AE18" s="904"/>
      <c r="AF18" s="904"/>
      <c r="AG18" s="904"/>
    </row>
    <row r="19" spans="1:33">
      <c r="A19" s="901" t="s">
        <v>1059</v>
      </c>
      <c r="B19" s="902" t="s">
        <v>1054</v>
      </c>
      <c r="C19" s="904"/>
      <c r="D19" s="904"/>
      <c r="E19" s="904"/>
      <c r="F19" s="907"/>
      <c r="G19" s="907"/>
      <c r="H19" s="907"/>
      <c r="I19" s="907"/>
      <c r="J19" s="907"/>
      <c r="K19" s="907"/>
      <c r="L19" s="907"/>
      <c r="M19" s="907"/>
      <c r="N19" s="907"/>
      <c r="O19" s="907"/>
      <c r="P19" s="906"/>
      <c r="Q19" s="905"/>
      <c r="R19" s="905"/>
      <c r="S19" s="905"/>
      <c r="T19" s="905"/>
      <c r="U19" s="905"/>
      <c r="V19" s="905"/>
      <c r="W19" s="905"/>
      <c r="X19" s="905"/>
      <c r="Y19" s="905"/>
      <c r="Z19" s="905"/>
      <c r="AA19" s="905"/>
      <c r="AB19" s="905"/>
      <c r="AC19" s="905"/>
      <c r="AD19" s="905"/>
      <c r="AE19" s="904"/>
      <c r="AF19" s="904"/>
      <c r="AG19" s="904"/>
    </row>
    <row r="20" spans="1:33">
      <c r="A20" s="901" t="s">
        <v>1059</v>
      </c>
      <c r="B20" s="902" t="s">
        <v>1055</v>
      </c>
      <c r="C20" s="904"/>
      <c r="D20" s="904"/>
      <c r="E20" s="904"/>
      <c r="F20" s="907"/>
      <c r="G20" s="907"/>
      <c r="H20" s="907"/>
      <c r="I20" s="907"/>
      <c r="J20" s="907"/>
      <c r="K20" s="907"/>
      <c r="L20" s="907"/>
      <c r="M20" s="907"/>
      <c r="N20" s="907"/>
      <c r="O20" s="907"/>
      <c r="P20" s="907"/>
      <c r="Q20" s="906"/>
      <c r="R20" s="905"/>
      <c r="S20" s="905"/>
      <c r="T20" s="905"/>
      <c r="U20" s="905"/>
      <c r="V20" s="905"/>
      <c r="W20" s="905"/>
      <c r="X20" s="905"/>
      <c r="Y20" s="905"/>
      <c r="Z20" s="905"/>
      <c r="AA20" s="905"/>
      <c r="AB20" s="905"/>
      <c r="AC20" s="905"/>
      <c r="AD20" s="905"/>
      <c r="AE20" s="904"/>
      <c r="AF20" s="904"/>
      <c r="AG20" s="904"/>
    </row>
    <row r="21" spans="1:33">
      <c r="A21" s="901" t="s">
        <v>1059</v>
      </c>
      <c r="B21" s="902" t="s">
        <v>1056</v>
      </c>
      <c r="C21" s="904"/>
      <c r="D21" s="904"/>
      <c r="E21" s="904"/>
      <c r="F21" s="907"/>
      <c r="G21" s="907"/>
      <c r="H21" s="907"/>
      <c r="I21" s="907"/>
      <c r="J21" s="907"/>
      <c r="K21" s="907"/>
      <c r="L21" s="907"/>
      <c r="M21" s="907"/>
      <c r="N21" s="907"/>
      <c r="O21" s="907"/>
      <c r="P21" s="907"/>
      <c r="Q21" s="907"/>
      <c r="R21" s="906"/>
      <c r="S21" s="905"/>
      <c r="T21" s="905"/>
      <c r="U21" s="905"/>
      <c r="V21" s="905"/>
      <c r="W21" s="905"/>
      <c r="X21" s="905"/>
      <c r="Y21" s="905"/>
      <c r="Z21" s="905"/>
      <c r="AA21" s="905"/>
      <c r="AB21" s="905"/>
      <c r="AC21" s="905"/>
      <c r="AD21" s="905"/>
      <c r="AE21" s="904"/>
      <c r="AF21" s="904"/>
      <c r="AG21" s="904"/>
    </row>
    <row r="22" spans="1:33">
      <c r="A22" s="901" t="s">
        <v>1059</v>
      </c>
      <c r="B22" s="902" t="s">
        <v>1057</v>
      </c>
      <c r="C22" s="904"/>
      <c r="D22" s="904"/>
      <c r="E22" s="904"/>
      <c r="F22" s="907"/>
      <c r="G22" s="907"/>
      <c r="H22" s="907"/>
      <c r="I22" s="907"/>
      <c r="J22" s="907"/>
      <c r="K22" s="907"/>
      <c r="L22" s="907"/>
      <c r="M22" s="907"/>
      <c r="N22" s="907"/>
      <c r="O22" s="907"/>
      <c r="P22" s="907"/>
      <c r="Q22" s="907"/>
      <c r="R22" s="907"/>
      <c r="S22" s="906"/>
      <c r="T22" s="905"/>
      <c r="U22" s="905"/>
      <c r="V22" s="905"/>
      <c r="W22" s="905"/>
      <c r="X22" s="905"/>
      <c r="Y22" s="905"/>
      <c r="Z22" s="905"/>
      <c r="AA22" s="905"/>
      <c r="AB22" s="905"/>
      <c r="AC22" s="905"/>
      <c r="AD22" s="905"/>
      <c r="AE22" s="904"/>
      <c r="AF22" s="904"/>
      <c r="AG22" s="904"/>
    </row>
    <row r="23" spans="1:33">
      <c r="A23" s="901" t="s">
        <v>1059</v>
      </c>
      <c r="B23" s="902" t="s">
        <v>1060</v>
      </c>
      <c r="C23" s="904"/>
      <c r="D23" s="904"/>
      <c r="E23" s="904"/>
      <c r="F23" s="907"/>
      <c r="G23" s="907"/>
      <c r="H23" s="907"/>
      <c r="I23" s="907"/>
      <c r="J23" s="907"/>
      <c r="K23" s="907"/>
      <c r="L23" s="907"/>
      <c r="M23" s="907"/>
      <c r="N23" s="907"/>
      <c r="O23" s="907"/>
      <c r="P23" s="907"/>
      <c r="Q23" s="907"/>
      <c r="R23" s="907"/>
      <c r="S23" s="907"/>
      <c r="T23" s="906"/>
      <c r="U23" s="905"/>
      <c r="V23" s="905"/>
      <c r="W23" s="905"/>
      <c r="X23" s="905"/>
      <c r="Y23" s="905"/>
      <c r="Z23" s="905"/>
      <c r="AA23" s="905"/>
      <c r="AB23" s="905"/>
      <c r="AC23" s="905"/>
      <c r="AD23" s="905"/>
      <c r="AE23" s="904"/>
      <c r="AF23" s="904"/>
      <c r="AG23" s="904"/>
    </row>
    <row r="24" spans="1:33">
      <c r="A24" s="901" t="s">
        <v>1059</v>
      </c>
      <c r="B24" s="902" t="s">
        <v>1061</v>
      </c>
      <c r="C24" s="904"/>
      <c r="D24" s="904"/>
      <c r="E24" s="904"/>
      <c r="F24" s="907"/>
      <c r="G24" s="907"/>
      <c r="H24" s="907"/>
      <c r="I24" s="907"/>
      <c r="J24" s="907"/>
      <c r="K24" s="907"/>
      <c r="L24" s="907"/>
      <c r="M24" s="907"/>
      <c r="N24" s="907"/>
      <c r="O24" s="907"/>
      <c r="P24" s="907"/>
      <c r="Q24" s="907"/>
      <c r="R24" s="907"/>
      <c r="S24" s="907"/>
      <c r="T24" s="907"/>
      <c r="U24" s="906"/>
      <c r="V24" s="905"/>
      <c r="W24" s="905"/>
      <c r="X24" s="905"/>
      <c r="Y24" s="905"/>
      <c r="Z24" s="905"/>
      <c r="AA24" s="905"/>
      <c r="AB24" s="905"/>
      <c r="AC24" s="905"/>
      <c r="AD24" s="905"/>
      <c r="AE24" s="904"/>
      <c r="AF24" s="904"/>
      <c r="AG24" s="904"/>
    </row>
    <row r="25" spans="1:33">
      <c r="A25" s="901" t="s">
        <v>1059</v>
      </c>
      <c r="B25" s="902" t="s">
        <v>1062</v>
      </c>
      <c r="C25" s="904"/>
      <c r="D25" s="904"/>
      <c r="E25" s="904"/>
      <c r="F25" s="907"/>
      <c r="G25" s="907"/>
      <c r="H25" s="907"/>
      <c r="I25" s="907"/>
      <c r="J25" s="907"/>
      <c r="K25" s="907"/>
      <c r="L25" s="907"/>
      <c r="M25" s="907"/>
      <c r="N25" s="907"/>
      <c r="O25" s="907"/>
      <c r="P25" s="907"/>
      <c r="Q25" s="907"/>
      <c r="R25" s="907"/>
      <c r="S25" s="907"/>
      <c r="T25" s="907"/>
      <c r="U25" s="907"/>
      <c r="V25" s="906"/>
      <c r="W25" s="905"/>
      <c r="X25" s="905"/>
      <c r="Y25" s="905"/>
      <c r="Z25" s="905"/>
      <c r="AA25" s="905"/>
      <c r="AB25" s="905"/>
      <c r="AC25" s="905"/>
      <c r="AD25" s="905"/>
      <c r="AE25" s="904"/>
      <c r="AF25" s="904"/>
      <c r="AG25" s="904"/>
    </row>
    <row r="26" spans="1:33">
      <c r="A26" s="901" t="s">
        <v>1059</v>
      </c>
      <c r="B26" s="902" t="s">
        <v>515</v>
      </c>
      <c r="C26" s="904"/>
      <c r="D26" s="904"/>
      <c r="E26" s="904"/>
      <c r="F26" s="907"/>
      <c r="G26" s="907"/>
      <c r="H26" s="907"/>
      <c r="I26" s="907"/>
      <c r="J26" s="907"/>
      <c r="K26" s="907"/>
      <c r="L26" s="907"/>
      <c r="M26" s="907"/>
      <c r="N26" s="907"/>
      <c r="O26" s="907"/>
      <c r="P26" s="907"/>
      <c r="Q26" s="907"/>
      <c r="R26" s="907"/>
      <c r="S26" s="907"/>
      <c r="T26" s="907"/>
      <c r="U26" s="907"/>
      <c r="V26" s="907"/>
      <c r="W26" s="906"/>
      <c r="X26" s="905"/>
      <c r="Y26" s="905"/>
      <c r="Z26" s="905"/>
      <c r="AA26" s="905"/>
      <c r="AB26" s="905"/>
      <c r="AC26" s="905"/>
      <c r="AD26" s="905"/>
      <c r="AE26" s="904"/>
      <c r="AF26" s="904"/>
      <c r="AG26" s="904"/>
    </row>
    <row r="27" spans="1:33">
      <c r="A27" s="901" t="s">
        <v>1059</v>
      </c>
      <c r="B27" s="902" t="s">
        <v>516</v>
      </c>
      <c r="C27" s="904"/>
      <c r="D27" s="904"/>
      <c r="E27" s="904"/>
      <c r="F27" s="907"/>
      <c r="G27" s="907"/>
      <c r="H27" s="907"/>
      <c r="I27" s="907"/>
      <c r="J27" s="907"/>
      <c r="K27" s="907"/>
      <c r="L27" s="907"/>
      <c r="M27" s="907"/>
      <c r="N27" s="907"/>
      <c r="O27" s="907"/>
      <c r="P27" s="907"/>
      <c r="Q27" s="907"/>
      <c r="R27" s="907"/>
      <c r="S27" s="907"/>
      <c r="T27" s="907"/>
      <c r="U27" s="907"/>
      <c r="V27" s="907"/>
      <c r="W27" s="907"/>
      <c r="X27" s="906"/>
      <c r="Y27" s="905"/>
      <c r="Z27" s="905"/>
      <c r="AA27" s="905"/>
      <c r="AB27" s="905"/>
      <c r="AC27" s="905"/>
      <c r="AD27" s="905"/>
      <c r="AE27" s="904"/>
      <c r="AF27" s="904"/>
      <c r="AG27" s="904"/>
    </row>
    <row r="28" spans="1:33">
      <c r="A28" s="901" t="s">
        <v>1059</v>
      </c>
      <c r="B28" s="902" t="s">
        <v>1063</v>
      </c>
      <c r="C28" s="904"/>
      <c r="D28" s="904"/>
      <c r="E28" s="904"/>
      <c r="F28" s="907"/>
      <c r="G28" s="907"/>
      <c r="H28" s="907"/>
      <c r="I28" s="907"/>
      <c r="J28" s="907"/>
      <c r="K28" s="907"/>
      <c r="L28" s="907"/>
      <c r="M28" s="907"/>
      <c r="N28" s="907"/>
      <c r="O28" s="907"/>
      <c r="P28" s="907"/>
      <c r="Q28" s="907"/>
      <c r="R28" s="907"/>
      <c r="S28" s="907"/>
      <c r="T28" s="907"/>
      <c r="U28" s="907"/>
      <c r="V28" s="907"/>
      <c r="W28" s="907"/>
      <c r="X28" s="907"/>
      <c r="Y28" s="906"/>
      <c r="Z28" s="905"/>
      <c r="AA28" s="905"/>
      <c r="AB28" s="905"/>
      <c r="AC28" s="905"/>
      <c r="AD28" s="905"/>
      <c r="AE28" s="904"/>
      <c r="AF28" s="904"/>
      <c r="AG28" s="904"/>
    </row>
    <row r="29" spans="1:33" ht="29.4" customHeight="1">
      <c r="A29" s="901" t="s">
        <v>1059</v>
      </c>
      <c r="B29" s="902" t="s">
        <v>1064</v>
      </c>
      <c r="C29" s="908"/>
      <c r="D29" s="904"/>
      <c r="E29" s="904"/>
      <c r="F29" s="907"/>
      <c r="G29" s="907"/>
      <c r="H29" s="907"/>
      <c r="I29" s="907"/>
      <c r="J29" s="907"/>
      <c r="K29" s="907"/>
      <c r="L29" s="907"/>
      <c r="M29" s="907"/>
      <c r="N29" s="907"/>
      <c r="O29" s="907"/>
      <c r="P29" s="907"/>
      <c r="Q29" s="907"/>
      <c r="R29" s="907"/>
      <c r="S29" s="907"/>
      <c r="T29" s="907"/>
      <c r="U29" s="907"/>
      <c r="V29" s="907"/>
      <c r="W29" s="907"/>
      <c r="X29" s="907"/>
      <c r="Y29" s="907"/>
      <c r="Z29" s="906"/>
      <c r="AA29" s="905"/>
      <c r="AB29" s="905"/>
      <c r="AC29" s="905"/>
      <c r="AD29" s="905"/>
      <c r="AE29" s="904"/>
      <c r="AF29" s="904"/>
      <c r="AG29" s="904"/>
    </row>
    <row r="30" spans="1:33">
      <c r="A30" s="901" t="s">
        <v>1059</v>
      </c>
      <c r="B30" s="902" t="s">
        <v>1065</v>
      </c>
      <c r="C30" s="904"/>
      <c r="D30" s="904"/>
      <c r="E30" s="904"/>
      <c r="F30" s="907"/>
      <c r="G30" s="907"/>
      <c r="H30" s="907"/>
      <c r="I30" s="907"/>
      <c r="J30" s="907"/>
      <c r="K30" s="907"/>
      <c r="L30" s="907"/>
      <c r="M30" s="907"/>
      <c r="N30" s="907"/>
      <c r="O30" s="907"/>
      <c r="P30" s="907"/>
      <c r="Q30" s="907"/>
      <c r="R30" s="907"/>
      <c r="S30" s="907"/>
      <c r="T30" s="907"/>
      <c r="U30" s="907"/>
      <c r="V30" s="907"/>
      <c r="W30" s="907"/>
      <c r="X30" s="907"/>
      <c r="Y30" s="907"/>
      <c r="Z30" s="907"/>
      <c r="AA30" s="906"/>
      <c r="AB30" s="905"/>
      <c r="AC30" s="905"/>
      <c r="AD30" s="905"/>
      <c r="AE30" s="904"/>
      <c r="AF30" s="904"/>
      <c r="AG30" s="904"/>
    </row>
    <row r="31" spans="1:33">
      <c r="A31" s="901" t="s">
        <v>1059</v>
      </c>
      <c r="B31" s="902" t="s">
        <v>1066</v>
      </c>
      <c r="C31" s="904"/>
      <c r="D31" s="904"/>
      <c r="E31" s="904"/>
      <c r="F31" s="907"/>
      <c r="G31" s="907"/>
      <c r="H31" s="907"/>
      <c r="I31" s="907"/>
      <c r="J31" s="907"/>
      <c r="K31" s="907"/>
      <c r="L31" s="907"/>
      <c r="M31" s="907"/>
      <c r="N31" s="907"/>
      <c r="O31" s="907"/>
      <c r="P31" s="907"/>
      <c r="Q31" s="907"/>
      <c r="R31" s="907"/>
      <c r="S31" s="907"/>
      <c r="T31" s="907"/>
      <c r="U31" s="907"/>
      <c r="V31" s="907"/>
      <c r="W31" s="907"/>
      <c r="X31" s="907"/>
      <c r="Y31" s="907"/>
      <c r="Z31" s="907"/>
      <c r="AA31" s="907"/>
      <c r="AB31" s="906"/>
      <c r="AC31" s="905"/>
      <c r="AD31" s="905"/>
      <c r="AE31" s="904"/>
      <c r="AF31" s="904"/>
      <c r="AG31" s="904"/>
    </row>
    <row r="32" spans="1:33">
      <c r="A32" s="901" t="s">
        <v>1059</v>
      </c>
      <c r="B32" s="902" t="s">
        <v>1067</v>
      </c>
      <c r="C32" s="904"/>
      <c r="D32" s="904"/>
      <c r="E32" s="904"/>
      <c r="F32" s="907"/>
      <c r="G32" s="907"/>
      <c r="H32" s="907"/>
      <c r="I32" s="907"/>
      <c r="J32" s="907"/>
      <c r="K32" s="907"/>
      <c r="L32" s="907"/>
      <c r="M32" s="907"/>
      <c r="N32" s="907"/>
      <c r="O32" s="907"/>
      <c r="P32" s="907"/>
      <c r="Q32" s="907"/>
      <c r="R32" s="907"/>
      <c r="S32" s="907"/>
      <c r="T32" s="907"/>
      <c r="U32" s="907"/>
      <c r="V32" s="907"/>
      <c r="W32" s="907"/>
      <c r="X32" s="907"/>
      <c r="Y32" s="907"/>
      <c r="Z32" s="907"/>
      <c r="AA32" s="907"/>
      <c r="AB32" s="907"/>
      <c r="AC32" s="906"/>
      <c r="AD32" s="905"/>
      <c r="AE32" s="904"/>
      <c r="AF32" s="904"/>
      <c r="AG32" s="904"/>
    </row>
    <row r="33" spans="1:36">
      <c r="A33" s="901" t="s">
        <v>1059</v>
      </c>
      <c r="B33" s="902" t="s">
        <v>1068</v>
      </c>
      <c r="C33" s="904"/>
      <c r="D33" s="904"/>
      <c r="E33" s="904"/>
      <c r="F33" s="907"/>
      <c r="G33" s="907"/>
      <c r="H33" s="907"/>
      <c r="I33" s="907"/>
      <c r="J33" s="907"/>
      <c r="K33" s="907"/>
      <c r="L33" s="907"/>
      <c r="M33" s="907"/>
      <c r="N33" s="907"/>
      <c r="O33" s="907"/>
      <c r="P33" s="907"/>
      <c r="Q33" s="907"/>
      <c r="R33" s="907"/>
      <c r="S33" s="907"/>
      <c r="T33" s="907"/>
      <c r="U33" s="907"/>
      <c r="V33" s="907"/>
      <c r="W33" s="907"/>
      <c r="X33" s="907"/>
      <c r="Y33" s="907"/>
      <c r="Z33" s="907"/>
      <c r="AA33" s="907"/>
      <c r="AB33" s="907"/>
      <c r="AC33" s="907"/>
      <c r="AD33" s="906"/>
      <c r="AE33" s="904"/>
      <c r="AF33" s="904"/>
      <c r="AG33" s="904"/>
    </row>
    <row r="34" spans="1:36" ht="13">
      <c r="A34" s="909"/>
      <c r="B34" s="910" t="s">
        <v>272</v>
      </c>
      <c r="C34" s="911"/>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row>
    <row r="36" spans="1:36" s="913" customFormat="1" ht="13">
      <c r="A36" s="895"/>
      <c r="B36" s="896" t="s">
        <v>1069</v>
      </c>
      <c r="C36" s="895"/>
      <c r="D36" s="895"/>
      <c r="E36" s="895"/>
      <c r="F36" s="897" t="s">
        <v>10</v>
      </c>
      <c r="G36" s="895"/>
      <c r="H36" s="912"/>
      <c r="I36" s="895"/>
      <c r="J36" s="912"/>
      <c r="K36" s="912"/>
      <c r="L36" s="895"/>
      <c r="M36" s="895"/>
      <c r="N36" s="895"/>
      <c r="O36" s="895"/>
      <c r="P36" s="895"/>
      <c r="Q36" s="895"/>
      <c r="R36" s="895"/>
      <c r="S36" s="895"/>
      <c r="T36" s="895"/>
      <c r="U36" s="895"/>
      <c r="V36" s="895"/>
      <c r="W36" s="895"/>
      <c r="X36" s="895"/>
      <c r="Y36" s="895"/>
      <c r="Z36" s="895"/>
      <c r="AA36" s="895"/>
      <c r="AB36" s="895"/>
      <c r="AC36" s="895"/>
      <c r="AD36" s="895"/>
      <c r="AE36" s="895"/>
      <c r="AF36" s="895"/>
      <c r="AG36" s="895"/>
      <c r="AI36" s="914"/>
      <c r="AJ36" s="914"/>
    </row>
    <row r="37" spans="1:36" ht="26.15" customHeight="1">
      <c r="A37" s="915"/>
      <c r="B37" s="916" t="s">
        <v>414</v>
      </c>
      <c r="C37" s="1899" t="s">
        <v>1070</v>
      </c>
      <c r="D37" s="1899" t="s">
        <v>1038</v>
      </c>
      <c r="E37" s="1899" t="s">
        <v>1039</v>
      </c>
      <c r="F37" s="1901" t="s">
        <v>1040</v>
      </c>
      <c r="G37" s="1902"/>
      <c r="H37" s="1902"/>
      <c r="I37" s="1902"/>
      <c r="J37" s="1902"/>
      <c r="K37" s="1902"/>
      <c r="L37" s="1902"/>
      <c r="M37" s="1902"/>
      <c r="N37" s="1902"/>
      <c r="O37" s="1902"/>
      <c r="P37" s="1902"/>
      <c r="Q37" s="1902"/>
      <c r="R37" s="1902"/>
      <c r="S37" s="1902"/>
      <c r="T37" s="1902"/>
      <c r="U37" s="1902"/>
      <c r="V37" s="1902"/>
      <c r="W37" s="1902"/>
      <c r="X37" s="1902"/>
      <c r="Y37" s="1902"/>
      <c r="Z37" s="1902"/>
      <c r="AA37" s="1902"/>
      <c r="AB37" s="1902"/>
      <c r="AC37" s="1902"/>
      <c r="AD37" s="1903"/>
      <c r="AE37" s="899" t="s">
        <v>1041</v>
      </c>
      <c r="AF37" s="899" t="s">
        <v>1042</v>
      </c>
      <c r="AG37" s="899" t="s">
        <v>1043</v>
      </c>
    </row>
    <row r="38" spans="1:36" ht="12.9" customHeight="1">
      <c r="A38" s="915"/>
      <c r="B38" s="916"/>
      <c r="C38" s="1900"/>
      <c r="D38" s="1900"/>
      <c r="E38" s="1900"/>
      <c r="F38" s="900" t="s">
        <v>1044</v>
      </c>
      <c r="G38" s="900" t="s">
        <v>1045</v>
      </c>
      <c r="H38" s="900" t="s">
        <v>1046</v>
      </c>
      <c r="I38" s="900" t="s">
        <v>1047</v>
      </c>
      <c r="J38" s="900" t="s">
        <v>1048</v>
      </c>
      <c r="K38" s="900" t="s">
        <v>1049</v>
      </c>
      <c r="L38" s="900" t="s">
        <v>1050</v>
      </c>
      <c r="M38" s="900" t="s">
        <v>1051</v>
      </c>
      <c r="N38" s="900" t="s">
        <v>1052</v>
      </c>
      <c r="O38" s="900" t="s">
        <v>1053</v>
      </c>
      <c r="P38" s="900" t="s">
        <v>1054</v>
      </c>
      <c r="Q38" s="900" t="s">
        <v>1055</v>
      </c>
      <c r="R38" s="900" t="s">
        <v>1056</v>
      </c>
      <c r="S38" s="900" t="s">
        <v>1057</v>
      </c>
      <c r="T38" s="900" t="s">
        <v>326</v>
      </c>
      <c r="U38" s="900" t="s">
        <v>507</v>
      </c>
      <c r="V38" s="900" t="s">
        <v>508</v>
      </c>
      <c r="W38" s="900" t="s">
        <v>509</v>
      </c>
      <c r="X38" s="900" t="s">
        <v>510</v>
      </c>
      <c r="Y38" s="900" t="s">
        <v>511</v>
      </c>
      <c r="Z38" s="900" t="s">
        <v>947</v>
      </c>
      <c r="AA38" s="900" t="s">
        <v>948</v>
      </c>
      <c r="AB38" s="900" t="s">
        <v>949</v>
      </c>
      <c r="AC38" s="900" t="s">
        <v>950</v>
      </c>
      <c r="AD38" s="900" t="s">
        <v>951</v>
      </c>
      <c r="AE38" s="899"/>
      <c r="AF38" s="899"/>
      <c r="AG38" s="899"/>
    </row>
    <row r="39" spans="1:36">
      <c r="A39" s="901" t="s">
        <v>1058</v>
      </c>
      <c r="B39" s="902">
        <v>2005</v>
      </c>
      <c r="C39" s="901"/>
      <c r="D39" s="901"/>
      <c r="E39" s="917"/>
      <c r="F39" s="905"/>
      <c r="G39" s="905"/>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4"/>
      <c r="AF39" s="904"/>
      <c r="AG39" s="918"/>
      <c r="AI39" s="912"/>
    </row>
    <row r="40" spans="1:36">
      <c r="A40" s="901" t="s">
        <v>1059</v>
      </c>
      <c r="B40" s="902" t="s">
        <v>1044</v>
      </c>
      <c r="C40" s="901"/>
      <c r="D40" s="901"/>
      <c r="E40" s="917"/>
      <c r="F40" s="906"/>
      <c r="G40" s="905"/>
      <c r="H40" s="905"/>
      <c r="I40" s="905"/>
      <c r="J40" s="905"/>
      <c r="K40" s="905"/>
      <c r="L40" s="905"/>
      <c r="M40" s="905"/>
      <c r="N40" s="905"/>
      <c r="O40" s="905"/>
      <c r="P40" s="905"/>
      <c r="Q40" s="905"/>
      <c r="R40" s="905"/>
      <c r="S40" s="905"/>
      <c r="T40" s="905"/>
      <c r="U40" s="905"/>
      <c r="V40" s="905"/>
      <c r="W40" s="905"/>
      <c r="X40" s="905"/>
      <c r="Y40" s="905"/>
      <c r="Z40" s="905"/>
      <c r="AA40" s="905"/>
      <c r="AB40" s="905"/>
      <c r="AC40" s="905"/>
      <c r="AD40" s="905"/>
      <c r="AE40" s="904"/>
      <c r="AF40" s="904"/>
      <c r="AG40" s="918"/>
    </row>
    <row r="41" spans="1:36">
      <c r="A41" s="901" t="s">
        <v>1059</v>
      </c>
      <c r="B41" s="902" t="s">
        <v>1045</v>
      </c>
      <c r="C41" s="901"/>
      <c r="D41" s="901"/>
      <c r="E41" s="917"/>
      <c r="F41" s="907"/>
      <c r="G41" s="906"/>
      <c r="H41" s="905"/>
      <c r="I41" s="905"/>
      <c r="J41" s="905"/>
      <c r="K41" s="905"/>
      <c r="L41" s="905"/>
      <c r="M41" s="905"/>
      <c r="N41" s="905"/>
      <c r="O41" s="905"/>
      <c r="P41" s="905"/>
      <c r="Q41" s="905"/>
      <c r="R41" s="905"/>
      <c r="S41" s="905"/>
      <c r="T41" s="905"/>
      <c r="U41" s="905"/>
      <c r="V41" s="905"/>
      <c r="W41" s="905"/>
      <c r="X41" s="905"/>
      <c r="Y41" s="905"/>
      <c r="Z41" s="905"/>
      <c r="AA41" s="905"/>
      <c r="AB41" s="905"/>
      <c r="AC41" s="905"/>
      <c r="AD41" s="905"/>
      <c r="AE41" s="904"/>
      <c r="AF41" s="904"/>
      <c r="AG41" s="918"/>
    </row>
    <row r="42" spans="1:36">
      <c r="A42" s="901" t="s">
        <v>1059</v>
      </c>
      <c r="B42" s="902" t="s">
        <v>1046</v>
      </c>
      <c r="C42" s="901"/>
      <c r="D42" s="901"/>
      <c r="E42" s="917"/>
      <c r="F42" s="907"/>
      <c r="G42" s="907"/>
      <c r="H42" s="906"/>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4"/>
      <c r="AF42" s="904"/>
      <c r="AG42" s="918"/>
    </row>
    <row r="43" spans="1:36">
      <c r="A43" s="901" t="s">
        <v>1059</v>
      </c>
      <c r="B43" s="902" t="s">
        <v>1047</v>
      </c>
      <c r="C43" s="901"/>
      <c r="D43" s="901"/>
      <c r="E43" s="917"/>
      <c r="F43" s="907"/>
      <c r="G43" s="907"/>
      <c r="H43" s="907"/>
      <c r="I43" s="906"/>
      <c r="J43" s="905"/>
      <c r="K43" s="905"/>
      <c r="L43" s="905"/>
      <c r="M43" s="905"/>
      <c r="N43" s="905"/>
      <c r="O43" s="905"/>
      <c r="P43" s="905"/>
      <c r="Q43" s="905"/>
      <c r="R43" s="905"/>
      <c r="S43" s="905"/>
      <c r="T43" s="905"/>
      <c r="U43" s="905"/>
      <c r="V43" s="905"/>
      <c r="W43" s="905"/>
      <c r="X43" s="905"/>
      <c r="Y43" s="905"/>
      <c r="Z43" s="905"/>
      <c r="AA43" s="905"/>
      <c r="AB43" s="905"/>
      <c r="AC43" s="905"/>
      <c r="AD43" s="905"/>
      <c r="AE43" s="904"/>
      <c r="AF43" s="904"/>
      <c r="AG43" s="918"/>
    </row>
    <row r="44" spans="1:36">
      <c r="A44" s="901" t="s">
        <v>1059</v>
      </c>
      <c r="B44" s="902" t="s">
        <v>1048</v>
      </c>
      <c r="C44" s="901"/>
      <c r="D44" s="901"/>
      <c r="E44" s="917"/>
      <c r="F44" s="907"/>
      <c r="G44" s="907"/>
      <c r="H44" s="907"/>
      <c r="I44" s="907"/>
      <c r="J44" s="906"/>
      <c r="K44" s="905"/>
      <c r="L44" s="905"/>
      <c r="M44" s="905"/>
      <c r="N44" s="905"/>
      <c r="O44" s="905"/>
      <c r="P44" s="905"/>
      <c r="Q44" s="905"/>
      <c r="R44" s="905"/>
      <c r="S44" s="905"/>
      <c r="T44" s="905"/>
      <c r="U44" s="905"/>
      <c r="V44" s="905"/>
      <c r="W44" s="905"/>
      <c r="X44" s="905"/>
      <c r="Y44" s="905"/>
      <c r="Z44" s="905"/>
      <c r="AA44" s="905"/>
      <c r="AB44" s="905"/>
      <c r="AC44" s="905"/>
      <c r="AD44" s="905"/>
      <c r="AE44" s="904"/>
      <c r="AF44" s="904"/>
      <c r="AG44" s="918"/>
    </row>
    <row r="45" spans="1:36">
      <c r="A45" s="901" t="s">
        <v>1059</v>
      </c>
      <c r="B45" s="902" t="s">
        <v>1049</v>
      </c>
      <c r="C45" s="901"/>
      <c r="D45" s="901"/>
      <c r="E45" s="917"/>
      <c r="F45" s="907"/>
      <c r="G45" s="907"/>
      <c r="H45" s="907"/>
      <c r="I45" s="907"/>
      <c r="J45" s="907"/>
      <c r="K45" s="906"/>
      <c r="L45" s="905"/>
      <c r="M45" s="905"/>
      <c r="N45" s="905"/>
      <c r="O45" s="905"/>
      <c r="P45" s="905"/>
      <c r="Q45" s="905"/>
      <c r="R45" s="905"/>
      <c r="S45" s="905"/>
      <c r="T45" s="905"/>
      <c r="U45" s="905"/>
      <c r="V45" s="905"/>
      <c r="W45" s="905"/>
      <c r="X45" s="905"/>
      <c r="Y45" s="905"/>
      <c r="Z45" s="905"/>
      <c r="AA45" s="905"/>
      <c r="AB45" s="905"/>
      <c r="AC45" s="905"/>
      <c r="AD45" s="905"/>
      <c r="AE45" s="904"/>
      <c r="AF45" s="904"/>
      <c r="AG45" s="918"/>
    </row>
    <row r="46" spans="1:36">
      <c r="A46" s="901" t="s">
        <v>1059</v>
      </c>
      <c r="B46" s="902" t="s">
        <v>1050</v>
      </c>
      <c r="C46" s="901"/>
      <c r="D46" s="901"/>
      <c r="E46" s="917"/>
      <c r="F46" s="907"/>
      <c r="G46" s="907"/>
      <c r="H46" s="907"/>
      <c r="I46" s="907"/>
      <c r="J46" s="907"/>
      <c r="K46" s="907"/>
      <c r="L46" s="906"/>
      <c r="M46" s="905"/>
      <c r="N46" s="905"/>
      <c r="O46" s="905"/>
      <c r="P46" s="905"/>
      <c r="Q46" s="905"/>
      <c r="R46" s="905"/>
      <c r="S46" s="905"/>
      <c r="T46" s="905"/>
      <c r="U46" s="905"/>
      <c r="V46" s="905"/>
      <c r="W46" s="905"/>
      <c r="X46" s="905"/>
      <c r="Y46" s="905"/>
      <c r="Z46" s="905"/>
      <c r="AA46" s="905"/>
      <c r="AB46" s="905"/>
      <c r="AC46" s="905"/>
      <c r="AD46" s="905"/>
      <c r="AE46" s="904"/>
      <c r="AF46" s="904"/>
      <c r="AG46" s="918"/>
    </row>
    <row r="47" spans="1:36">
      <c r="A47" s="901" t="s">
        <v>1059</v>
      </c>
      <c r="B47" s="902" t="s">
        <v>1051</v>
      </c>
      <c r="C47" s="901"/>
      <c r="D47" s="901"/>
      <c r="E47" s="917"/>
      <c r="F47" s="907"/>
      <c r="G47" s="907"/>
      <c r="H47" s="907"/>
      <c r="I47" s="907"/>
      <c r="J47" s="907"/>
      <c r="K47" s="907"/>
      <c r="L47" s="907"/>
      <c r="M47" s="906"/>
      <c r="N47" s="905"/>
      <c r="O47" s="905"/>
      <c r="P47" s="905"/>
      <c r="Q47" s="905"/>
      <c r="R47" s="905"/>
      <c r="S47" s="905"/>
      <c r="T47" s="905"/>
      <c r="U47" s="905"/>
      <c r="V47" s="905"/>
      <c r="W47" s="905"/>
      <c r="X47" s="905"/>
      <c r="Y47" s="905"/>
      <c r="Z47" s="905"/>
      <c r="AA47" s="905"/>
      <c r="AB47" s="905"/>
      <c r="AC47" s="905"/>
      <c r="AD47" s="905"/>
      <c r="AE47" s="904"/>
      <c r="AF47" s="904"/>
      <c r="AG47" s="918"/>
    </row>
    <row r="48" spans="1:36">
      <c r="A48" s="901" t="s">
        <v>1059</v>
      </c>
      <c r="B48" s="902" t="s">
        <v>1052</v>
      </c>
      <c r="C48" s="901"/>
      <c r="D48" s="901"/>
      <c r="E48" s="917"/>
      <c r="F48" s="907"/>
      <c r="G48" s="907"/>
      <c r="H48" s="907"/>
      <c r="I48" s="907"/>
      <c r="J48" s="907"/>
      <c r="K48" s="907"/>
      <c r="L48" s="907"/>
      <c r="M48" s="907"/>
      <c r="N48" s="906"/>
      <c r="O48" s="905"/>
      <c r="P48" s="905"/>
      <c r="Q48" s="905"/>
      <c r="R48" s="905"/>
      <c r="S48" s="905"/>
      <c r="T48" s="905"/>
      <c r="U48" s="905"/>
      <c r="V48" s="905"/>
      <c r="W48" s="905"/>
      <c r="X48" s="905"/>
      <c r="Y48" s="905"/>
      <c r="Z48" s="905"/>
      <c r="AA48" s="905"/>
      <c r="AB48" s="905"/>
      <c r="AC48" s="905"/>
      <c r="AD48" s="905"/>
      <c r="AE48" s="904"/>
      <c r="AF48" s="904"/>
      <c r="AG48" s="918"/>
    </row>
    <row r="49" spans="1:33">
      <c r="A49" s="901" t="s">
        <v>1059</v>
      </c>
      <c r="B49" s="902" t="s">
        <v>1053</v>
      </c>
      <c r="C49" s="904"/>
      <c r="D49" s="901"/>
      <c r="E49" s="917"/>
      <c r="F49" s="907"/>
      <c r="G49" s="907"/>
      <c r="H49" s="907"/>
      <c r="I49" s="907"/>
      <c r="J49" s="907"/>
      <c r="K49" s="907"/>
      <c r="L49" s="907"/>
      <c r="M49" s="907"/>
      <c r="N49" s="907"/>
      <c r="O49" s="906"/>
      <c r="P49" s="905"/>
      <c r="Q49" s="905"/>
      <c r="R49" s="905"/>
      <c r="S49" s="905"/>
      <c r="T49" s="905"/>
      <c r="U49" s="905"/>
      <c r="V49" s="905"/>
      <c r="W49" s="905"/>
      <c r="X49" s="905"/>
      <c r="Y49" s="905"/>
      <c r="Z49" s="905"/>
      <c r="AA49" s="905"/>
      <c r="AB49" s="905"/>
      <c r="AC49" s="905"/>
      <c r="AD49" s="905"/>
      <c r="AE49" s="904"/>
      <c r="AF49" s="904"/>
      <c r="AG49" s="918"/>
    </row>
    <row r="50" spans="1:33">
      <c r="A50" s="901" t="s">
        <v>1059</v>
      </c>
      <c r="B50" s="902" t="s">
        <v>1054</v>
      </c>
      <c r="C50" s="904"/>
      <c r="D50" s="901"/>
      <c r="E50" s="917"/>
      <c r="F50" s="907"/>
      <c r="G50" s="907"/>
      <c r="H50" s="907"/>
      <c r="I50" s="907"/>
      <c r="J50" s="907"/>
      <c r="K50" s="907"/>
      <c r="L50" s="907"/>
      <c r="M50" s="907"/>
      <c r="N50" s="907"/>
      <c r="O50" s="907"/>
      <c r="P50" s="906"/>
      <c r="Q50" s="905"/>
      <c r="R50" s="905"/>
      <c r="S50" s="905"/>
      <c r="T50" s="905"/>
      <c r="U50" s="905"/>
      <c r="V50" s="905"/>
      <c r="W50" s="905"/>
      <c r="X50" s="905"/>
      <c r="Y50" s="905"/>
      <c r="Z50" s="905"/>
      <c r="AA50" s="905"/>
      <c r="AB50" s="905"/>
      <c r="AC50" s="905"/>
      <c r="AD50" s="905"/>
      <c r="AE50" s="904"/>
      <c r="AF50" s="904"/>
      <c r="AG50" s="918"/>
    </row>
    <row r="51" spans="1:33">
      <c r="A51" s="901" t="s">
        <v>1059</v>
      </c>
      <c r="B51" s="902" t="s">
        <v>1055</v>
      </c>
      <c r="C51" s="919"/>
      <c r="D51" s="904"/>
      <c r="E51" s="917"/>
      <c r="F51" s="907"/>
      <c r="G51" s="907"/>
      <c r="H51" s="907"/>
      <c r="I51" s="907"/>
      <c r="J51" s="907"/>
      <c r="K51" s="907"/>
      <c r="L51" s="907"/>
      <c r="M51" s="907"/>
      <c r="N51" s="907"/>
      <c r="O51" s="907"/>
      <c r="P51" s="907"/>
      <c r="Q51" s="906"/>
      <c r="R51" s="905"/>
      <c r="S51" s="905"/>
      <c r="T51" s="905"/>
      <c r="U51" s="905"/>
      <c r="V51" s="905"/>
      <c r="W51" s="905"/>
      <c r="X51" s="905"/>
      <c r="Y51" s="905"/>
      <c r="Z51" s="905"/>
      <c r="AA51" s="905"/>
      <c r="AB51" s="905"/>
      <c r="AC51" s="905"/>
      <c r="AD51" s="905"/>
      <c r="AE51" s="904"/>
      <c r="AF51" s="904"/>
      <c r="AG51" s="918"/>
    </row>
    <row r="52" spans="1:33">
      <c r="A52" s="901" t="s">
        <v>1059</v>
      </c>
      <c r="B52" s="902" t="s">
        <v>1056</v>
      </c>
      <c r="C52" s="904"/>
      <c r="D52" s="904"/>
      <c r="E52" s="917"/>
      <c r="F52" s="907"/>
      <c r="G52" s="907"/>
      <c r="H52" s="907"/>
      <c r="I52" s="907"/>
      <c r="J52" s="907"/>
      <c r="K52" s="907"/>
      <c r="L52" s="907"/>
      <c r="M52" s="907"/>
      <c r="N52" s="907"/>
      <c r="O52" s="907"/>
      <c r="P52" s="907"/>
      <c r="Q52" s="907"/>
      <c r="R52" s="906"/>
      <c r="S52" s="905"/>
      <c r="T52" s="905"/>
      <c r="U52" s="905"/>
      <c r="V52" s="905"/>
      <c r="W52" s="905"/>
      <c r="X52" s="905"/>
      <c r="Y52" s="905"/>
      <c r="Z52" s="905"/>
      <c r="AA52" s="905"/>
      <c r="AB52" s="905"/>
      <c r="AC52" s="905"/>
      <c r="AD52" s="905"/>
      <c r="AE52" s="904"/>
      <c r="AF52" s="904"/>
      <c r="AG52" s="918"/>
    </row>
    <row r="53" spans="1:33">
      <c r="A53" s="901" t="s">
        <v>1059</v>
      </c>
      <c r="B53" s="902" t="s">
        <v>1057</v>
      </c>
      <c r="C53" s="904"/>
      <c r="D53" s="904"/>
      <c r="E53" s="917"/>
      <c r="F53" s="907"/>
      <c r="G53" s="907"/>
      <c r="H53" s="907"/>
      <c r="I53" s="907"/>
      <c r="J53" s="907"/>
      <c r="K53" s="907"/>
      <c r="L53" s="907"/>
      <c r="M53" s="907"/>
      <c r="N53" s="907"/>
      <c r="O53" s="907"/>
      <c r="P53" s="907"/>
      <c r="Q53" s="907"/>
      <c r="R53" s="907"/>
      <c r="S53" s="906"/>
      <c r="T53" s="905"/>
      <c r="U53" s="905"/>
      <c r="V53" s="905"/>
      <c r="W53" s="905"/>
      <c r="X53" s="905"/>
      <c r="Y53" s="905"/>
      <c r="Z53" s="905"/>
      <c r="AA53" s="905"/>
      <c r="AB53" s="905"/>
      <c r="AC53" s="905"/>
      <c r="AD53" s="905"/>
      <c r="AE53" s="904"/>
      <c r="AF53" s="904"/>
      <c r="AG53" s="918"/>
    </row>
    <row r="54" spans="1:33">
      <c r="A54" s="901" t="s">
        <v>1059</v>
      </c>
      <c r="B54" s="902" t="s">
        <v>1060</v>
      </c>
      <c r="C54" s="904"/>
      <c r="D54" s="904"/>
      <c r="E54" s="920"/>
      <c r="F54" s="907"/>
      <c r="G54" s="907"/>
      <c r="H54" s="907"/>
      <c r="I54" s="907"/>
      <c r="J54" s="907"/>
      <c r="K54" s="907"/>
      <c r="L54" s="907"/>
      <c r="M54" s="907"/>
      <c r="N54" s="907"/>
      <c r="O54" s="907"/>
      <c r="P54" s="907"/>
      <c r="Q54" s="907"/>
      <c r="R54" s="907"/>
      <c r="S54" s="907"/>
      <c r="T54" s="906"/>
      <c r="U54" s="905"/>
      <c r="V54" s="905"/>
      <c r="W54" s="905"/>
      <c r="X54" s="905"/>
      <c r="Y54" s="905"/>
      <c r="Z54" s="905"/>
      <c r="AA54" s="905"/>
      <c r="AB54" s="905"/>
      <c r="AC54" s="905"/>
      <c r="AD54" s="905"/>
      <c r="AE54" s="904"/>
      <c r="AF54" s="904"/>
      <c r="AG54" s="918"/>
    </row>
    <row r="55" spans="1:33">
      <c r="A55" s="901" t="s">
        <v>1059</v>
      </c>
      <c r="B55" s="902" t="s">
        <v>1061</v>
      </c>
      <c r="C55" s="904"/>
      <c r="D55" s="904"/>
      <c r="E55" s="920"/>
      <c r="F55" s="907"/>
      <c r="G55" s="907"/>
      <c r="H55" s="907"/>
      <c r="I55" s="907"/>
      <c r="J55" s="907"/>
      <c r="K55" s="907"/>
      <c r="L55" s="907"/>
      <c r="M55" s="907"/>
      <c r="N55" s="907"/>
      <c r="O55" s="907"/>
      <c r="P55" s="907"/>
      <c r="Q55" s="907"/>
      <c r="R55" s="907"/>
      <c r="S55" s="907"/>
      <c r="T55" s="907"/>
      <c r="U55" s="906"/>
      <c r="V55" s="905"/>
      <c r="W55" s="905"/>
      <c r="X55" s="905"/>
      <c r="Y55" s="905"/>
      <c r="Z55" s="905"/>
      <c r="AA55" s="905"/>
      <c r="AB55" s="905"/>
      <c r="AC55" s="905"/>
      <c r="AD55" s="905"/>
      <c r="AE55" s="904"/>
      <c r="AF55" s="904"/>
      <c r="AG55" s="918"/>
    </row>
    <row r="56" spans="1:33">
      <c r="A56" s="901" t="s">
        <v>1059</v>
      </c>
      <c r="B56" s="902" t="s">
        <v>1062</v>
      </c>
      <c r="C56" s="904"/>
      <c r="D56" s="904"/>
      <c r="E56" s="920"/>
      <c r="F56" s="907"/>
      <c r="G56" s="907"/>
      <c r="H56" s="907"/>
      <c r="I56" s="907"/>
      <c r="J56" s="907"/>
      <c r="K56" s="907"/>
      <c r="L56" s="907"/>
      <c r="M56" s="907"/>
      <c r="N56" s="907"/>
      <c r="O56" s="907"/>
      <c r="P56" s="907"/>
      <c r="Q56" s="907"/>
      <c r="R56" s="907"/>
      <c r="S56" s="907"/>
      <c r="T56" s="907"/>
      <c r="U56" s="907"/>
      <c r="V56" s="906"/>
      <c r="W56" s="905"/>
      <c r="X56" s="905"/>
      <c r="Y56" s="905"/>
      <c r="Z56" s="905"/>
      <c r="AA56" s="905"/>
      <c r="AB56" s="905"/>
      <c r="AC56" s="905"/>
      <c r="AD56" s="905"/>
      <c r="AE56" s="904"/>
      <c r="AF56" s="904"/>
      <c r="AG56" s="918"/>
    </row>
    <row r="57" spans="1:33">
      <c r="A57" s="901" t="s">
        <v>1059</v>
      </c>
      <c r="B57" s="902" t="s">
        <v>515</v>
      </c>
      <c r="C57" s="904"/>
      <c r="D57" s="904"/>
      <c r="E57" s="920"/>
      <c r="F57" s="907"/>
      <c r="G57" s="907"/>
      <c r="H57" s="907"/>
      <c r="I57" s="907"/>
      <c r="J57" s="907"/>
      <c r="K57" s="907"/>
      <c r="L57" s="907"/>
      <c r="M57" s="907"/>
      <c r="N57" s="907"/>
      <c r="O57" s="907"/>
      <c r="P57" s="907"/>
      <c r="Q57" s="907"/>
      <c r="R57" s="907"/>
      <c r="S57" s="907"/>
      <c r="T57" s="907"/>
      <c r="U57" s="907"/>
      <c r="V57" s="907"/>
      <c r="W57" s="906"/>
      <c r="X57" s="905"/>
      <c r="Y57" s="905"/>
      <c r="Z57" s="905"/>
      <c r="AA57" s="905"/>
      <c r="AB57" s="905"/>
      <c r="AC57" s="905"/>
      <c r="AD57" s="905"/>
      <c r="AE57" s="904"/>
      <c r="AF57" s="904"/>
      <c r="AG57" s="918"/>
    </row>
    <row r="58" spans="1:33">
      <c r="A58" s="901" t="s">
        <v>1059</v>
      </c>
      <c r="B58" s="902" t="s">
        <v>516</v>
      </c>
      <c r="C58" s="904"/>
      <c r="D58" s="904"/>
      <c r="E58" s="920"/>
      <c r="F58" s="907"/>
      <c r="G58" s="907"/>
      <c r="H58" s="907"/>
      <c r="I58" s="907"/>
      <c r="J58" s="907"/>
      <c r="K58" s="907"/>
      <c r="L58" s="907"/>
      <c r="M58" s="907"/>
      <c r="N58" s="907"/>
      <c r="O58" s="907"/>
      <c r="P58" s="907"/>
      <c r="Q58" s="907"/>
      <c r="R58" s="907"/>
      <c r="S58" s="907"/>
      <c r="T58" s="907"/>
      <c r="U58" s="907"/>
      <c r="V58" s="907"/>
      <c r="W58" s="907"/>
      <c r="X58" s="906"/>
      <c r="Y58" s="905"/>
      <c r="Z58" s="905"/>
      <c r="AA58" s="905"/>
      <c r="AB58" s="905"/>
      <c r="AC58" s="905"/>
      <c r="AD58" s="905"/>
      <c r="AE58" s="904"/>
      <c r="AF58" s="904"/>
      <c r="AG58" s="918"/>
    </row>
    <row r="59" spans="1:33">
      <c r="A59" s="901" t="s">
        <v>1059</v>
      </c>
      <c r="B59" s="902" t="s">
        <v>1063</v>
      </c>
      <c r="C59" s="904"/>
      <c r="D59" s="904"/>
      <c r="E59" s="920"/>
      <c r="F59" s="907"/>
      <c r="G59" s="907"/>
      <c r="H59" s="907"/>
      <c r="I59" s="907"/>
      <c r="J59" s="907"/>
      <c r="K59" s="907"/>
      <c r="L59" s="907"/>
      <c r="M59" s="907"/>
      <c r="N59" s="907"/>
      <c r="O59" s="907"/>
      <c r="P59" s="907"/>
      <c r="Q59" s="907"/>
      <c r="R59" s="907"/>
      <c r="S59" s="907"/>
      <c r="T59" s="907"/>
      <c r="U59" s="907"/>
      <c r="V59" s="907"/>
      <c r="W59" s="907"/>
      <c r="X59" s="907"/>
      <c r="Y59" s="906"/>
      <c r="Z59" s="905"/>
      <c r="AA59" s="905"/>
      <c r="AB59" s="905"/>
      <c r="AC59" s="905"/>
      <c r="AD59" s="905"/>
      <c r="AE59" s="904"/>
      <c r="AF59" s="904"/>
      <c r="AG59" s="918"/>
    </row>
    <row r="60" spans="1:33">
      <c r="A60" s="901" t="s">
        <v>1059</v>
      </c>
      <c r="B60" s="902" t="s">
        <v>1064</v>
      </c>
      <c r="C60" s="904"/>
      <c r="D60" s="904"/>
      <c r="E60" s="920"/>
      <c r="F60" s="907"/>
      <c r="G60" s="907"/>
      <c r="H60" s="907"/>
      <c r="I60" s="907"/>
      <c r="J60" s="907"/>
      <c r="K60" s="907"/>
      <c r="L60" s="907"/>
      <c r="M60" s="907"/>
      <c r="N60" s="907"/>
      <c r="O60" s="907"/>
      <c r="P60" s="907"/>
      <c r="Q60" s="907"/>
      <c r="R60" s="907"/>
      <c r="S60" s="907"/>
      <c r="T60" s="907"/>
      <c r="U60" s="907"/>
      <c r="V60" s="907"/>
      <c r="W60" s="907"/>
      <c r="X60" s="907"/>
      <c r="Y60" s="907"/>
      <c r="Z60" s="906"/>
      <c r="AA60" s="905"/>
      <c r="AB60" s="905"/>
      <c r="AC60" s="905"/>
      <c r="AD60" s="905"/>
      <c r="AE60" s="904"/>
      <c r="AF60" s="904"/>
      <c r="AG60" s="918"/>
    </row>
    <row r="61" spans="1:33">
      <c r="A61" s="901" t="s">
        <v>1059</v>
      </c>
      <c r="B61" s="902" t="s">
        <v>1065</v>
      </c>
      <c r="C61" s="904"/>
      <c r="D61" s="904"/>
      <c r="E61" s="920"/>
      <c r="F61" s="907"/>
      <c r="G61" s="907"/>
      <c r="H61" s="907"/>
      <c r="I61" s="907"/>
      <c r="J61" s="907"/>
      <c r="K61" s="907"/>
      <c r="L61" s="907"/>
      <c r="M61" s="907"/>
      <c r="N61" s="907"/>
      <c r="O61" s="907"/>
      <c r="P61" s="907"/>
      <c r="Q61" s="907"/>
      <c r="R61" s="907"/>
      <c r="S61" s="907"/>
      <c r="T61" s="907"/>
      <c r="U61" s="907"/>
      <c r="V61" s="907"/>
      <c r="W61" s="907"/>
      <c r="X61" s="907"/>
      <c r="Y61" s="907"/>
      <c r="Z61" s="907"/>
      <c r="AA61" s="906"/>
      <c r="AB61" s="905"/>
      <c r="AC61" s="905"/>
      <c r="AD61" s="905"/>
      <c r="AE61" s="904"/>
      <c r="AF61" s="904"/>
      <c r="AG61" s="918"/>
    </row>
    <row r="62" spans="1:33">
      <c r="A62" s="901" t="s">
        <v>1059</v>
      </c>
      <c r="B62" s="902" t="s">
        <v>1066</v>
      </c>
      <c r="C62" s="904"/>
      <c r="D62" s="904"/>
      <c r="E62" s="920"/>
      <c r="F62" s="907"/>
      <c r="G62" s="907"/>
      <c r="H62" s="907"/>
      <c r="I62" s="907"/>
      <c r="J62" s="907"/>
      <c r="K62" s="907"/>
      <c r="L62" s="907"/>
      <c r="M62" s="907"/>
      <c r="N62" s="907"/>
      <c r="O62" s="907"/>
      <c r="P62" s="907"/>
      <c r="Q62" s="907"/>
      <c r="R62" s="907"/>
      <c r="S62" s="907"/>
      <c r="T62" s="907"/>
      <c r="U62" s="907"/>
      <c r="V62" s="907"/>
      <c r="W62" s="907"/>
      <c r="X62" s="907"/>
      <c r="Y62" s="907"/>
      <c r="Z62" s="907"/>
      <c r="AA62" s="907"/>
      <c r="AB62" s="906"/>
      <c r="AC62" s="905"/>
      <c r="AD62" s="905"/>
      <c r="AE62" s="904"/>
      <c r="AF62" s="904"/>
      <c r="AG62" s="918"/>
    </row>
    <row r="63" spans="1:33">
      <c r="A63" s="901" t="s">
        <v>1059</v>
      </c>
      <c r="B63" s="902" t="s">
        <v>1067</v>
      </c>
      <c r="C63" s="904"/>
      <c r="D63" s="904"/>
      <c r="E63" s="920"/>
      <c r="F63" s="907"/>
      <c r="G63" s="907"/>
      <c r="H63" s="907"/>
      <c r="I63" s="907"/>
      <c r="J63" s="907"/>
      <c r="K63" s="907"/>
      <c r="L63" s="907"/>
      <c r="M63" s="907"/>
      <c r="N63" s="907"/>
      <c r="O63" s="907"/>
      <c r="P63" s="907"/>
      <c r="Q63" s="907"/>
      <c r="R63" s="907"/>
      <c r="S63" s="907"/>
      <c r="T63" s="907"/>
      <c r="U63" s="907"/>
      <c r="V63" s="907"/>
      <c r="W63" s="907"/>
      <c r="X63" s="907"/>
      <c r="Y63" s="907"/>
      <c r="Z63" s="907"/>
      <c r="AA63" s="907"/>
      <c r="AB63" s="907"/>
      <c r="AC63" s="906"/>
      <c r="AD63" s="905"/>
      <c r="AE63" s="904"/>
      <c r="AF63" s="904"/>
      <c r="AG63" s="918"/>
    </row>
    <row r="64" spans="1:33">
      <c r="A64" s="901" t="s">
        <v>1059</v>
      </c>
      <c r="B64" s="902" t="s">
        <v>1068</v>
      </c>
      <c r="C64" s="904"/>
      <c r="D64" s="904"/>
      <c r="E64" s="920"/>
      <c r="F64" s="907"/>
      <c r="G64" s="907"/>
      <c r="H64" s="907"/>
      <c r="I64" s="907"/>
      <c r="J64" s="907"/>
      <c r="K64" s="907"/>
      <c r="L64" s="907"/>
      <c r="M64" s="907"/>
      <c r="N64" s="907"/>
      <c r="O64" s="907"/>
      <c r="P64" s="907"/>
      <c r="Q64" s="907"/>
      <c r="R64" s="907"/>
      <c r="S64" s="907"/>
      <c r="T64" s="907"/>
      <c r="U64" s="907"/>
      <c r="V64" s="907"/>
      <c r="W64" s="907"/>
      <c r="X64" s="907"/>
      <c r="Y64" s="907"/>
      <c r="Z64" s="907"/>
      <c r="AA64" s="907"/>
      <c r="AB64" s="907"/>
      <c r="AC64" s="907"/>
      <c r="AD64" s="906"/>
      <c r="AE64" s="904"/>
      <c r="AF64" s="904"/>
      <c r="AG64" s="918"/>
    </row>
    <row r="65" spans="1:33" ht="13">
      <c r="A65" s="909"/>
      <c r="B65" s="910" t="s">
        <v>272</v>
      </c>
      <c r="C65" s="921"/>
      <c r="D65" s="921"/>
      <c r="E65" s="921"/>
      <c r="F65" s="911"/>
      <c r="G65" s="911"/>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21"/>
      <c r="AF65" s="921"/>
      <c r="AG65" s="921"/>
    </row>
    <row r="66" spans="1:33">
      <c r="C66" s="923"/>
    </row>
    <row r="68" spans="1:33" s="924" customFormat="1">
      <c r="A68" s="895"/>
      <c r="B68" s="922"/>
      <c r="C68" s="895"/>
      <c r="D68" s="895"/>
      <c r="E68" s="895"/>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row>
    <row r="69" spans="1:33" ht="13">
      <c r="B69" s="896" t="s">
        <v>1071</v>
      </c>
      <c r="F69" s="897" t="s">
        <v>10</v>
      </c>
    </row>
    <row r="70" spans="1:33" ht="26.15" customHeight="1">
      <c r="A70" s="898"/>
      <c r="B70" s="916" t="s">
        <v>414</v>
      </c>
      <c r="C70" s="1899" t="s">
        <v>1070</v>
      </c>
      <c r="D70" s="1899" t="s">
        <v>1038</v>
      </c>
      <c r="E70" s="1899" t="s">
        <v>1039</v>
      </c>
      <c r="F70" s="1901" t="s">
        <v>1040</v>
      </c>
      <c r="G70" s="1902"/>
      <c r="H70" s="1902"/>
      <c r="I70" s="1902"/>
      <c r="J70" s="1902"/>
      <c r="K70" s="1902"/>
      <c r="L70" s="1902"/>
      <c r="M70" s="1902"/>
      <c r="N70" s="1902"/>
      <c r="O70" s="1902"/>
      <c r="P70" s="1902"/>
      <c r="Q70" s="1902"/>
      <c r="R70" s="1902"/>
      <c r="S70" s="1902"/>
      <c r="T70" s="1902"/>
      <c r="U70" s="1902"/>
      <c r="V70" s="1902"/>
      <c r="W70" s="1902"/>
      <c r="X70" s="1902"/>
      <c r="Y70" s="1902"/>
      <c r="Z70" s="1902"/>
      <c r="AA70" s="1902"/>
      <c r="AB70" s="1902"/>
      <c r="AC70" s="1902"/>
      <c r="AD70" s="1903"/>
      <c r="AE70" s="899" t="s">
        <v>1041</v>
      </c>
      <c r="AF70" s="899" t="s">
        <v>1042</v>
      </c>
      <c r="AG70" s="899" t="s">
        <v>1043</v>
      </c>
    </row>
    <row r="71" spans="1:33" ht="12.9" customHeight="1">
      <c r="A71" s="898"/>
      <c r="B71" s="916"/>
      <c r="C71" s="1900"/>
      <c r="D71" s="1900"/>
      <c r="E71" s="1900"/>
      <c r="F71" s="900" t="s">
        <v>1044</v>
      </c>
      <c r="G71" s="900" t="s">
        <v>1045</v>
      </c>
      <c r="H71" s="900" t="s">
        <v>1046</v>
      </c>
      <c r="I71" s="900" t="s">
        <v>1047</v>
      </c>
      <c r="J71" s="900" t="s">
        <v>1048</v>
      </c>
      <c r="K71" s="900" t="s">
        <v>1049</v>
      </c>
      <c r="L71" s="900" t="s">
        <v>1050</v>
      </c>
      <c r="M71" s="900" t="s">
        <v>1051</v>
      </c>
      <c r="N71" s="900" t="s">
        <v>1052</v>
      </c>
      <c r="O71" s="900" t="s">
        <v>1053</v>
      </c>
      <c r="P71" s="900" t="s">
        <v>1054</v>
      </c>
      <c r="Q71" s="900" t="s">
        <v>1055</v>
      </c>
      <c r="R71" s="900" t="s">
        <v>1056</v>
      </c>
      <c r="S71" s="900" t="s">
        <v>1057</v>
      </c>
      <c r="T71" s="900" t="s">
        <v>326</v>
      </c>
      <c r="U71" s="900" t="s">
        <v>507</v>
      </c>
      <c r="V71" s="900" t="s">
        <v>508</v>
      </c>
      <c r="W71" s="900" t="s">
        <v>509</v>
      </c>
      <c r="X71" s="900" t="s">
        <v>510</v>
      </c>
      <c r="Y71" s="900" t="s">
        <v>511</v>
      </c>
      <c r="Z71" s="900" t="s">
        <v>947</v>
      </c>
      <c r="AA71" s="900" t="s">
        <v>948</v>
      </c>
      <c r="AB71" s="900" t="s">
        <v>949</v>
      </c>
      <c r="AC71" s="900" t="s">
        <v>950</v>
      </c>
      <c r="AD71" s="900" t="s">
        <v>951</v>
      </c>
      <c r="AE71" s="899"/>
      <c r="AF71" s="899"/>
      <c r="AG71" s="899"/>
    </row>
    <row r="72" spans="1:33">
      <c r="A72" s="901" t="s">
        <v>1058</v>
      </c>
      <c r="B72" s="902">
        <v>2005</v>
      </c>
      <c r="C72" s="925"/>
      <c r="D72" s="925"/>
      <c r="E72" s="917"/>
      <c r="F72" s="905"/>
      <c r="G72" s="905"/>
      <c r="H72" s="905"/>
      <c r="I72" s="905"/>
      <c r="J72" s="905"/>
      <c r="K72" s="905"/>
      <c r="L72" s="905"/>
      <c r="M72" s="905"/>
      <c r="N72" s="905"/>
      <c r="O72" s="905"/>
      <c r="P72" s="905"/>
      <c r="Q72" s="905"/>
      <c r="R72" s="905"/>
      <c r="S72" s="905"/>
      <c r="T72" s="905"/>
      <c r="U72" s="905"/>
      <c r="V72" s="905"/>
      <c r="W72" s="905"/>
      <c r="X72" s="905"/>
      <c r="Y72" s="905"/>
      <c r="Z72" s="905"/>
      <c r="AA72" s="905"/>
      <c r="AB72" s="905"/>
      <c r="AC72" s="905"/>
      <c r="AD72" s="905"/>
      <c r="AE72" s="918"/>
      <c r="AF72" s="918"/>
      <c r="AG72" s="918"/>
    </row>
    <row r="73" spans="1:33">
      <c r="A73" s="901" t="s">
        <v>1059</v>
      </c>
      <c r="B73" s="902" t="s">
        <v>1044</v>
      </c>
      <c r="C73" s="925"/>
      <c r="D73" s="925"/>
      <c r="E73" s="917"/>
      <c r="F73" s="906"/>
      <c r="G73" s="905"/>
      <c r="H73" s="905"/>
      <c r="I73" s="905"/>
      <c r="J73" s="905"/>
      <c r="K73" s="905"/>
      <c r="L73" s="905"/>
      <c r="M73" s="905"/>
      <c r="N73" s="905"/>
      <c r="O73" s="905"/>
      <c r="P73" s="905"/>
      <c r="Q73" s="905"/>
      <c r="R73" s="905"/>
      <c r="S73" s="905"/>
      <c r="T73" s="905"/>
      <c r="U73" s="905"/>
      <c r="V73" s="905"/>
      <c r="W73" s="905"/>
      <c r="X73" s="905"/>
      <c r="Y73" s="905"/>
      <c r="Z73" s="905"/>
      <c r="AA73" s="905"/>
      <c r="AB73" s="905"/>
      <c r="AC73" s="905"/>
      <c r="AD73" s="905"/>
      <c r="AE73" s="918"/>
      <c r="AF73" s="918"/>
      <c r="AG73" s="918"/>
    </row>
    <row r="74" spans="1:33">
      <c r="A74" s="901" t="s">
        <v>1059</v>
      </c>
      <c r="B74" s="902" t="s">
        <v>1045</v>
      </c>
      <c r="C74" s="925"/>
      <c r="D74" s="925"/>
      <c r="E74" s="917"/>
      <c r="F74" s="907"/>
      <c r="G74" s="906"/>
      <c r="H74" s="905"/>
      <c r="I74" s="905"/>
      <c r="J74" s="905"/>
      <c r="K74" s="905"/>
      <c r="L74" s="905"/>
      <c r="M74" s="905"/>
      <c r="N74" s="905"/>
      <c r="O74" s="905"/>
      <c r="P74" s="905"/>
      <c r="Q74" s="905"/>
      <c r="R74" s="905"/>
      <c r="S74" s="905"/>
      <c r="T74" s="905"/>
      <c r="U74" s="905"/>
      <c r="V74" s="905"/>
      <c r="W74" s="905"/>
      <c r="X74" s="905"/>
      <c r="Y74" s="905"/>
      <c r="Z74" s="905"/>
      <c r="AA74" s="905"/>
      <c r="AB74" s="905"/>
      <c r="AC74" s="905"/>
      <c r="AD74" s="905"/>
      <c r="AE74" s="918"/>
      <c r="AF74" s="918"/>
      <c r="AG74" s="918"/>
    </row>
    <row r="75" spans="1:33">
      <c r="A75" s="901" t="s">
        <v>1059</v>
      </c>
      <c r="B75" s="902" t="s">
        <v>1046</v>
      </c>
      <c r="C75" s="925"/>
      <c r="D75" s="925"/>
      <c r="E75" s="917"/>
      <c r="F75" s="907"/>
      <c r="G75" s="907"/>
      <c r="H75" s="906"/>
      <c r="I75" s="905"/>
      <c r="J75" s="905"/>
      <c r="K75" s="905"/>
      <c r="L75" s="905"/>
      <c r="M75" s="905"/>
      <c r="N75" s="905"/>
      <c r="O75" s="905"/>
      <c r="P75" s="905"/>
      <c r="Q75" s="905"/>
      <c r="R75" s="905"/>
      <c r="S75" s="905"/>
      <c r="T75" s="905"/>
      <c r="U75" s="905"/>
      <c r="V75" s="905"/>
      <c r="W75" s="905"/>
      <c r="X75" s="905"/>
      <c r="Y75" s="905"/>
      <c r="Z75" s="905"/>
      <c r="AA75" s="905"/>
      <c r="AB75" s="905"/>
      <c r="AC75" s="905"/>
      <c r="AD75" s="905"/>
      <c r="AE75" s="918"/>
      <c r="AF75" s="918"/>
      <c r="AG75" s="918"/>
    </row>
    <row r="76" spans="1:33">
      <c r="A76" s="901" t="s">
        <v>1059</v>
      </c>
      <c r="B76" s="902" t="s">
        <v>1047</v>
      </c>
      <c r="C76" s="925"/>
      <c r="D76" s="925"/>
      <c r="E76" s="917"/>
      <c r="F76" s="907"/>
      <c r="G76" s="907"/>
      <c r="H76" s="907"/>
      <c r="I76" s="906"/>
      <c r="J76" s="905"/>
      <c r="K76" s="905"/>
      <c r="L76" s="905"/>
      <c r="M76" s="905"/>
      <c r="N76" s="905"/>
      <c r="O76" s="905"/>
      <c r="P76" s="905"/>
      <c r="Q76" s="905"/>
      <c r="R76" s="905"/>
      <c r="S76" s="905"/>
      <c r="T76" s="905"/>
      <c r="U76" s="905"/>
      <c r="V76" s="905"/>
      <c r="W76" s="905"/>
      <c r="X76" s="905"/>
      <c r="Y76" s="905"/>
      <c r="Z76" s="905"/>
      <c r="AA76" s="905"/>
      <c r="AB76" s="905"/>
      <c r="AC76" s="905"/>
      <c r="AD76" s="905"/>
      <c r="AE76" s="918"/>
      <c r="AF76" s="918"/>
      <c r="AG76" s="918"/>
    </row>
    <row r="77" spans="1:33">
      <c r="A77" s="901" t="s">
        <v>1059</v>
      </c>
      <c r="B77" s="902" t="s">
        <v>1048</v>
      </c>
      <c r="C77" s="925"/>
      <c r="D77" s="925"/>
      <c r="E77" s="917"/>
      <c r="F77" s="907"/>
      <c r="G77" s="907"/>
      <c r="H77" s="907"/>
      <c r="I77" s="907"/>
      <c r="J77" s="906"/>
      <c r="K77" s="905"/>
      <c r="L77" s="905"/>
      <c r="M77" s="905"/>
      <c r="N77" s="905"/>
      <c r="O77" s="905"/>
      <c r="P77" s="905"/>
      <c r="Q77" s="905"/>
      <c r="R77" s="905"/>
      <c r="S77" s="905"/>
      <c r="T77" s="905"/>
      <c r="U77" s="905"/>
      <c r="V77" s="905"/>
      <c r="W77" s="905"/>
      <c r="X77" s="905"/>
      <c r="Y77" s="905"/>
      <c r="Z77" s="905"/>
      <c r="AA77" s="905"/>
      <c r="AB77" s="905"/>
      <c r="AC77" s="905"/>
      <c r="AD77" s="905"/>
      <c r="AE77" s="918"/>
      <c r="AF77" s="918"/>
      <c r="AG77" s="918"/>
    </row>
    <row r="78" spans="1:33">
      <c r="A78" s="901" t="s">
        <v>1059</v>
      </c>
      <c r="B78" s="902" t="s">
        <v>1049</v>
      </c>
      <c r="C78" s="925"/>
      <c r="D78" s="925"/>
      <c r="E78" s="917"/>
      <c r="F78" s="907"/>
      <c r="G78" s="907"/>
      <c r="H78" s="907"/>
      <c r="I78" s="907"/>
      <c r="J78" s="907"/>
      <c r="K78" s="906"/>
      <c r="L78" s="905"/>
      <c r="M78" s="905"/>
      <c r="N78" s="905"/>
      <c r="O78" s="905"/>
      <c r="P78" s="905"/>
      <c r="Q78" s="905"/>
      <c r="R78" s="905"/>
      <c r="S78" s="905"/>
      <c r="T78" s="905"/>
      <c r="U78" s="905"/>
      <c r="V78" s="905"/>
      <c r="W78" s="905"/>
      <c r="X78" s="905"/>
      <c r="Y78" s="905"/>
      <c r="Z78" s="905"/>
      <c r="AA78" s="905"/>
      <c r="AB78" s="905"/>
      <c r="AC78" s="905"/>
      <c r="AD78" s="905"/>
      <c r="AE78" s="918"/>
      <c r="AF78" s="918"/>
      <c r="AG78" s="918"/>
    </row>
    <row r="79" spans="1:33">
      <c r="A79" s="901" t="s">
        <v>1059</v>
      </c>
      <c r="B79" s="902" t="s">
        <v>1050</v>
      </c>
      <c r="C79" s="925"/>
      <c r="D79" s="925"/>
      <c r="E79" s="917"/>
      <c r="F79" s="907"/>
      <c r="G79" s="907"/>
      <c r="H79" s="907"/>
      <c r="I79" s="907"/>
      <c r="J79" s="907"/>
      <c r="K79" s="907"/>
      <c r="L79" s="906"/>
      <c r="M79" s="905"/>
      <c r="N79" s="905"/>
      <c r="O79" s="905"/>
      <c r="P79" s="905"/>
      <c r="Q79" s="905"/>
      <c r="R79" s="905"/>
      <c r="S79" s="905"/>
      <c r="T79" s="905"/>
      <c r="U79" s="905"/>
      <c r="V79" s="905"/>
      <c r="W79" s="905"/>
      <c r="X79" s="905"/>
      <c r="Y79" s="905"/>
      <c r="Z79" s="905"/>
      <c r="AA79" s="905"/>
      <c r="AB79" s="905"/>
      <c r="AC79" s="905"/>
      <c r="AD79" s="905"/>
      <c r="AE79" s="918"/>
      <c r="AF79" s="918"/>
      <c r="AG79" s="918"/>
    </row>
    <row r="80" spans="1:33">
      <c r="A80" s="901" t="s">
        <v>1059</v>
      </c>
      <c r="B80" s="902" t="s">
        <v>1051</v>
      </c>
      <c r="C80" s="925"/>
      <c r="D80" s="925"/>
      <c r="E80" s="917"/>
      <c r="F80" s="907"/>
      <c r="G80" s="907"/>
      <c r="H80" s="907"/>
      <c r="I80" s="907"/>
      <c r="J80" s="907"/>
      <c r="K80" s="907"/>
      <c r="L80" s="907"/>
      <c r="M80" s="906"/>
      <c r="N80" s="905"/>
      <c r="O80" s="905"/>
      <c r="P80" s="905"/>
      <c r="Q80" s="905"/>
      <c r="R80" s="905"/>
      <c r="S80" s="905"/>
      <c r="T80" s="905"/>
      <c r="U80" s="905"/>
      <c r="V80" s="905"/>
      <c r="W80" s="905"/>
      <c r="X80" s="905"/>
      <c r="Y80" s="905"/>
      <c r="Z80" s="905"/>
      <c r="AA80" s="905"/>
      <c r="AB80" s="905"/>
      <c r="AC80" s="905"/>
      <c r="AD80" s="905"/>
      <c r="AE80" s="918"/>
      <c r="AF80" s="918"/>
      <c r="AG80" s="918"/>
    </row>
    <row r="81" spans="1:33">
      <c r="A81" s="901" t="s">
        <v>1059</v>
      </c>
      <c r="B81" s="902" t="s">
        <v>1052</v>
      </c>
      <c r="C81" s="925"/>
      <c r="D81" s="925"/>
      <c r="E81" s="917"/>
      <c r="F81" s="907"/>
      <c r="G81" s="907"/>
      <c r="H81" s="907"/>
      <c r="I81" s="907"/>
      <c r="J81" s="907"/>
      <c r="K81" s="907"/>
      <c r="L81" s="907"/>
      <c r="M81" s="907"/>
      <c r="N81" s="906"/>
      <c r="O81" s="905"/>
      <c r="P81" s="905"/>
      <c r="Q81" s="905"/>
      <c r="R81" s="905"/>
      <c r="S81" s="905"/>
      <c r="T81" s="905"/>
      <c r="U81" s="905"/>
      <c r="V81" s="905"/>
      <c r="W81" s="905"/>
      <c r="X81" s="905"/>
      <c r="Y81" s="905"/>
      <c r="Z81" s="905"/>
      <c r="AA81" s="905"/>
      <c r="AB81" s="905"/>
      <c r="AC81" s="905"/>
      <c r="AD81" s="905"/>
      <c r="AE81" s="918"/>
      <c r="AF81" s="918"/>
      <c r="AG81" s="918"/>
    </row>
    <row r="82" spans="1:33">
      <c r="A82" s="901" t="s">
        <v>1059</v>
      </c>
      <c r="B82" s="902" t="s">
        <v>1053</v>
      </c>
      <c r="C82" s="904"/>
      <c r="D82" s="901"/>
      <c r="E82" s="917"/>
      <c r="F82" s="907"/>
      <c r="G82" s="907"/>
      <c r="H82" s="907"/>
      <c r="I82" s="907"/>
      <c r="J82" s="907"/>
      <c r="K82" s="907"/>
      <c r="L82" s="907"/>
      <c r="M82" s="907"/>
      <c r="N82" s="907"/>
      <c r="O82" s="906"/>
      <c r="P82" s="905"/>
      <c r="Q82" s="905"/>
      <c r="R82" s="905"/>
      <c r="S82" s="905"/>
      <c r="T82" s="905"/>
      <c r="U82" s="905"/>
      <c r="V82" s="905"/>
      <c r="W82" s="905"/>
      <c r="X82" s="905"/>
      <c r="Y82" s="905"/>
      <c r="Z82" s="905"/>
      <c r="AA82" s="905"/>
      <c r="AB82" s="905"/>
      <c r="AC82" s="905"/>
      <c r="AD82" s="905"/>
      <c r="AE82" s="918"/>
      <c r="AF82" s="918"/>
      <c r="AG82" s="918"/>
    </row>
    <row r="83" spans="1:33">
      <c r="A83" s="901" t="s">
        <v>1059</v>
      </c>
      <c r="B83" s="902" t="s">
        <v>1054</v>
      </c>
      <c r="C83" s="904"/>
      <c r="D83" s="901"/>
      <c r="E83" s="917"/>
      <c r="F83" s="907"/>
      <c r="G83" s="907"/>
      <c r="H83" s="907"/>
      <c r="I83" s="907"/>
      <c r="J83" s="907"/>
      <c r="K83" s="907"/>
      <c r="L83" s="907"/>
      <c r="M83" s="907"/>
      <c r="N83" s="907"/>
      <c r="O83" s="907"/>
      <c r="P83" s="906"/>
      <c r="Q83" s="905"/>
      <c r="R83" s="905"/>
      <c r="S83" s="905"/>
      <c r="T83" s="905"/>
      <c r="U83" s="905"/>
      <c r="V83" s="905"/>
      <c r="W83" s="905"/>
      <c r="X83" s="905"/>
      <c r="Y83" s="905"/>
      <c r="Z83" s="905"/>
      <c r="AA83" s="905"/>
      <c r="AB83" s="905"/>
      <c r="AC83" s="905"/>
      <c r="AD83" s="905"/>
      <c r="AE83" s="918"/>
      <c r="AF83" s="918"/>
      <c r="AG83" s="918"/>
    </row>
    <row r="84" spans="1:33">
      <c r="A84" s="901" t="s">
        <v>1059</v>
      </c>
      <c r="B84" s="902" t="s">
        <v>1055</v>
      </c>
      <c r="C84" s="904"/>
      <c r="D84" s="904"/>
      <c r="E84" s="917"/>
      <c r="F84" s="907"/>
      <c r="G84" s="907"/>
      <c r="H84" s="907"/>
      <c r="I84" s="907"/>
      <c r="J84" s="907"/>
      <c r="K84" s="907"/>
      <c r="L84" s="907"/>
      <c r="M84" s="907"/>
      <c r="N84" s="907"/>
      <c r="O84" s="907"/>
      <c r="P84" s="907"/>
      <c r="Q84" s="906"/>
      <c r="R84" s="905"/>
      <c r="S84" s="905"/>
      <c r="T84" s="905"/>
      <c r="U84" s="905"/>
      <c r="V84" s="905"/>
      <c r="W84" s="905"/>
      <c r="X84" s="905"/>
      <c r="Y84" s="905"/>
      <c r="Z84" s="905"/>
      <c r="AA84" s="905"/>
      <c r="AB84" s="905"/>
      <c r="AC84" s="905"/>
      <c r="AD84" s="905"/>
      <c r="AE84" s="918"/>
      <c r="AF84" s="918"/>
      <c r="AG84" s="918"/>
    </row>
    <row r="85" spans="1:33">
      <c r="A85" s="901" t="s">
        <v>1059</v>
      </c>
      <c r="B85" s="902" t="s">
        <v>1056</v>
      </c>
      <c r="C85" s="904"/>
      <c r="D85" s="904"/>
      <c r="E85" s="917"/>
      <c r="F85" s="907"/>
      <c r="G85" s="907"/>
      <c r="H85" s="907"/>
      <c r="I85" s="907"/>
      <c r="J85" s="907"/>
      <c r="K85" s="907"/>
      <c r="L85" s="907"/>
      <c r="M85" s="907"/>
      <c r="N85" s="907"/>
      <c r="O85" s="907"/>
      <c r="P85" s="907"/>
      <c r="Q85" s="907"/>
      <c r="R85" s="906"/>
      <c r="S85" s="905"/>
      <c r="T85" s="905"/>
      <c r="U85" s="905"/>
      <c r="V85" s="905"/>
      <c r="W85" s="905"/>
      <c r="X85" s="905"/>
      <c r="Y85" s="905"/>
      <c r="Z85" s="905"/>
      <c r="AA85" s="905"/>
      <c r="AB85" s="905"/>
      <c r="AC85" s="905"/>
      <c r="AD85" s="905"/>
      <c r="AE85" s="918"/>
      <c r="AF85" s="918"/>
      <c r="AG85" s="918"/>
    </row>
    <row r="86" spans="1:33">
      <c r="A86" s="901" t="s">
        <v>1059</v>
      </c>
      <c r="B86" s="902" t="s">
        <v>1057</v>
      </c>
      <c r="C86" s="904"/>
      <c r="D86" s="904"/>
      <c r="E86" s="917"/>
      <c r="F86" s="907"/>
      <c r="G86" s="907"/>
      <c r="H86" s="907"/>
      <c r="I86" s="907"/>
      <c r="J86" s="907"/>
      <c r="K86" s="907"/>
      <c r="L86" s="907"/>
      <c r="M86" s="907"/>
      <c r="N86" s="907"/>
      <c r="O86" s="907"/>
      <c r="P86" s="907"/>
      <c r="Q86" s="907"/>
      <c r="R86" s="907"/>
      <c r="S86" s="906"/>
      <c r="T86" s="905"/>
      <c r="U86" s="905"/>
      <c r="V86" s="905"/>
      <c r="W86" s="905"/>
      <c r="X86" s="905"/>
      <c r="Y86" s="905"/>
      <c r="Z86" s="905"/>
      <c r="AA86" s="905"/>
      <c r="AB86" s="905"/>
      <c r="AC86" s="905"/>
      <c r="AD86" s="905"/>
      <c r="AE86" s="918"/>
      <c r="AF86" s="918"/>
      <c r="AG86" s="918"/>
    </row>
    <row r="87" spans="1:33">
      <c r="A87" s="901" t="s">
        <v>1059</v>
      </c>
      <c r="B87" s="902" t="s">
        <v>1060</v>
      </c>
      <c r="C87" s="904"/>
      <c r="D87" s="904"/>
      <c r="E87" s="920"/>
      <c r="F87" s="907"/>
      <c r="G87" s="907"/>
      <c r="H87" s="907"/>
      <c r="I87" s="907"/>
      <c r="J87" s="907"/>
      <c r="K87" s="907"/>
      <c r="L87" s="907"/>
      <c r="M87" s="907"/>
      <c r="N87" s="907"/>
      <c r="O87" s="907"/>
      <c r="P87" s="907"/>
      <c r="Q87" s="907"/>
      <c r="R87" s="907"/>
      <c r="S87" s="907"/>
      <c r="T87" s="906"/>
      <c r="U87" s="905"/>
      <c r="V87" s="905"/>
      <c r="W87" s="905"/>
      <c r="X87" s="905"/>
      <c r="Y87" s="905"/>
      <c r="Z87" s="905"/>
      <c r="AA87" s="905"/>
      <c r="AB87" s="905"/>
      <c r="AC87" s="905"/>
      <c r="AD87" s="905"/>
      <c r="AE87" s="918"/>
      <c r="AF87" s="918"/>
      <c r="AG87" s="918"/>
    </row>
    <row r="88" spans="1:33">
      <c r="A88" s="901" t="s">
        <v>1059</v>
      </c>
      <c r="B88" s="902" t="s">
        <v>1061</v>
      </c>
      <c r="C88" s="904"/>
      <c r="D88" s="904"/>
      <c r="E88" s="920"/>
      <c r="F88" s="907"/>
      <c r="G88" s="907"/>
      <c r="H88" s="907"/>
      <c r="I88" s="907"/>
      <c r="J88" s="907"/>
      <c r="K88" s="907"/>
      <c r="L88" s="907"/>
      <c r="M88" s="907"/>
      <c r="N88" s="907"/>
      <c r="O88" s="907"/>
      <c r="P88" s="907"/>
      <c r="Q88" s="907"/>
      <c r="R88" s="907"/>
      <c r="S88" s="907"/>
      <c r="T88" s="907"/>
      <c r="U88" s="906"/>
      <c r="V88" s="905"/>
      <c r="W88" s="905"/>
      <c r="X88" s="905"/>
      <c r="Y88" s="905"/>
      <c r="Z88" s="905"/>
      <c r="AA88" s="905"/>
      <c r="AB88" s="905"/>
      <c r="AC88" s="905"/>
      <c r="AD88" s="905"/>
      <c r="AE88" s="918"/>
      <c r="AF88" s="918"/>
      <c r="AG88" s="918"/>
    </row>
    <row r="89" spans="1:33">
      <c r="A89" s="901" t="s">
        <v>1059</v>
      </c>
      <c r="B89" s="902" t="s">
        <v>1062</v>
      </c>
      <c r="C89" s="904"/>
      <c r="D89" s="904"/>
      <c r="E89" s="920"/>
      <c r="F89" s="907"/>
      <c r="G89" s="907"/>
      <c r="H89" s="907"/>
      <c r="I89" s="907"/>
      <c r="J89" s="907"/>
      <c r="K89" s="907"/>
      <c r="L89" s="907"/>
      <c r="M89" s="907"/>
      <c r="N89" s="907"/>
      <c r="O89" s="907"/>
      <c r="P89" s="907"/>
      <c r="Q89" s="907"/>
      <c r="R89" s="907"/>
      <c r="S89" s="907"/>
      <c r="T89" s="907"/>
      <c r="U89" s="907"/>
      <c r="V89" s="906"/>
      <c r="W89" s="905"/>
      <c r="X89" s="905"/>
      <c r="Y89" s="905"/>
      <c r="Z89" s="905"/>
      <c r="AA89" s="905"/>
      <c r="AB89" s="905"/>
      <c r="AC89" s="905"/>
      <c r="AD89" s="905"/>
      <c r="AE89" s="918"/>
      <c r="AF89" s="918"/>
      <c r="AG89" s="918"/>
    </row>
    <row r="90" spans="1:33">
      <c r="A90" s="901" t="s">
        <v>1059</v>
      </c>
      <c r="B90" s="902" t="s">
        <v>515</v>
      </c>
      <c r="C90" s="904"/>
      <c r="D90" s="904"/>
      <c r="E90" s="920"/>
      <c r="F90" s="907"/>
      <c r="G90" s="907"/>
      <c r="H90" s="907"/>
      <c r="I90" s="907"/>
      <c r="J90" s="907"/>
      <c r="K90" s="907"/>
      <c r="L90" s="907"/>
      <c r="M90" s="907"/>
      <c r="N90" s="907"/>
      <c r="O90" s="907"/>
      <c r="P90" s="907"/>
      <c r="Q90" s="907"/>
      <c r="R90" s="907"/>
      <c r="S90" s="907"/>
      <c r="T90" s="907"/>
      <c r="U90" s="907"/>
      <c r="V90" s="907"/>
      <c r="W90" s="906"/>
      <c r="X90" s="905"/>
      <c r="Y90" s="905"/>
      <c r="Z90" s="905"/>
      <c r="AA90" s="905"/>
      <c r="AB90" s="905"/>
      <c r="AC90" s="905"/>
      <c r="AD90" s="905"/>
      <c r="AE90" s="918"/>
      <c r="AF90" s="918"/>
      <c r="AG90" s="918"/>
    </row>
    <row r="91" spans="1:33">
      <c r="A91" s="901" t="s">
        <v>1059</v>
      </c>
      <c r="B91" s="902" t="s">
        <v>516</v>
      </c>
      <c r="C91" s="904"/>
      <c r="D91" s="904"/>
      <c r="E91" s="920"/>
      <c r="F91" s="907"/>
      <c r="G91" s="907"/>
      <c r="H91" s="907"/>
      <c r="I91" s="907"/>
      <c r="J91" s="907"/>
      <c r="K91" s="907"/>
      <c r="L91" s="907"/>
      <c r="M91" s="907"/>
      <c r="N91" s="907"/>
      <c r="O91" s="907"/>
      <c r="P91" s="907"/>
      <c r="Q91" s="907"/>
      <c r="R91" s="907"/>
      <c r="S91" s="907"/>
      <c r="T91" s="907"/>
      <c r="U91" s="907"/>
      <c r="V91" s="907"/>
      <c r="W91" s="907"/>
      <c r="X91" s="906"/>
      <c r="Y91" s="905"/>
      <c r="Z91" s="905"/>
      <c r="AA91" s="905"/>
      <c r="AB91" s="905"/>
      <c r="AC91" s="905"/>
      <c r="AD91" s="905"/>
      <c r="AE91" s="918"/>
      <c r="AF91" s="918"/>
      <c r="AG91" s="918"/>
    </row>
    <row r="92" spans="1:33">
      <c r="A92" s="901" t="s">
        <v>1059</v>
      </c>
      <c r="B92" s="902" t="s">
        <v>1063</v>
      </c>
      <c r="C92" s="904"/>
      <c r="D92" s="904"/>
      <c r="E92" s="920"/>
      <c r="F92" s="907"/>
      <c r="G92" s="907"/>
      <c r="H92" s="907"/>
      <c r="I92" s="907"/>
      <c r="J92" s="907"/>
      <c r="K92" s="907"/>
      <c r="L92" s="907"/>
      <c r="M92" s="907"/>
      <c r="N92" s="907"/>
      <c r="O92" s="907"/>
      <c r="P92" s="907"/>
      <c r="Q92" s="907"/>
      <c r="R92" s="907"/>
      <c r="S92" s="907"/>
      <c r="T92" s="907"/>
      <c r="U92" s="907"/>
      <c r="V92" s="907"/>
      <c r="W92" s="907"/>
      <c r="X92" s="907"/>
      <c r="Y92" s="906"/>
      <c r="Z92" s="905"/>
      <c r="AA92" s="905"/>
      <c r="AB92" s="905"/>
      <c r="AC92" s="905"/>
      <c r="AD92" s="905"/>
      <c r="AE92" s="918"/>
      <c r="AF92" s="918"/>
      <c r="AG92" s="918"/>
    </row>
    <row r="93" spans="1:33">
      <c r="A93" s="901" t="s">
        <v>1059</v>
      </c>
      <c r="B93" s="902" t="s">
        <v>1064</v>
      </c>
      <c r="C93" s="904"/>
      <c r="D93" s="904"/>
      <c r="E93" s="920"/>
      <c r="F93" s="907"/>
      <c r="G93" s="907"/>
      <c r="H93" s="907"/>
      <c r="I93" s="907"/>
      <c r="J93" s="907"/>
      <c r="K93" s="907"/>
      <c r="L93" s="907"/>
      <c r="M93" s="907"/>
      <c r="N93" s="907"/>
      <c r="O93" s="907"/>
      <c r="P93" s="907"/>
      <c r="Q93" s="907"/>
      <c r="R93" s="907"/>
      <c r="S93" s="907"/>
      <c r="T93" s="907"/>
      <c r="U93" s="907"/>
      <c r="V93" s="907"/>
      <c r="W93" s="907"/>
      <c r="X93" s="907"/>
      <c r="Y93" s="907"/>
      <c r="Z93" s="906"/>
      <c r="AA93" s="905"/>
      <c r="AB93" s="905"/>
      <c r="AC93" s="905"/>
      <c r="AD93" s="905"/>
      <c r="AE93" s="904"/>
      <c r="AF93" s="904"/>
      <c r="AG93" s="918"/>
    </row>
    <row r="94" spans="1:33">
      <c r="A94" s="901" t="s">
        <v>1059</v>
      </c>
      <c r="B94" s="902" t="s">
        <v>1065</v>
      </c>
      <c r="C94" s="904"/>
      <c r="D94" s="904"/>
      <c r="E94" s="920"/>
      <c r="F94" s="907"/>
      <c r="G94" s="907"/>
      <c r="H94" s="907"/>
      <c r="I94" s="907"/>
      <c r="J94" s="907"/>
      <c r="K94" s="907"/>
      <c r="L94" s="907"/>
      <c r="M94" s="907"/>
      <c r="N94" s="907"/>
      <c r="O94" s="907"/>
      <c r="P94" s="907"/>
      <c r="Q94" s="907"/>
      <c r="R94" s="907"/>
      <c r="S94" s="907"/>
      <c r="T94" s="907"/>
      <c r="U94" s="907"/>
      <c r="V94" s="907"/>
      <c r="W94" s="907"/>
      <c r="X94" s="907"/>
      <c r="Y94" s="907"/>
      <c r="Z94" s="907"/>
      <c r="AA94" s="906"/>
      <c r="AB94" s="905"/>
      <c r="AC94" s="905"/>
      <c r="AD94" s="905"/>
      <c r="AE94" s="904"/>
      <c r="AF94" s="904"/>
      <c r="AG94" s="918"/>
    </row>
    <row r="95" spans="1:33">
      <c r="A95" s="901" t="s">
        <v>1059</v>
      </c>
      <c r="B95" s="902" t="s">
        <v>1066</v>
      </c>
      <c r="C95" s="904"/>
      <c r="D95" s="904"/>
      <c r="E95" s="920"/>
      <c r="F95" s="907"/>
      <c r="G95" s="907"/>
      <c r="H95" s="907"/>
      <c r="I95" s="907"/>
      <c r="J95" s="907"/>
      <c r="K95" s="907"/>
      <c r="L95" s="907"/>
      <c r="M95" s="907"/>
      <c r="N95" s="907"/>
      <c r="O95" s="907"/>
      <c r="P95" s="907"/>
      <c r="Q95" s="907"/>
      <c r="R95" s="907"/>
      <c r="S95" s="907"/>
      <c r="T95" s="907"/>
      <c r="U95" s="907"/>
      <c r="V95" s="907"/>
      <c r="W95" s="907"/>
      <c r="X95" s="907"/>
      <c r="Y95" s="907"/>
      <c r="Z95" s="907"/>
      <c r="AA95" s="907"/>
      <c r="AB95" s="906"/>
      <c r="AC95" s="905"/>
      <c r="AD95" s="905"/>
      <c r="AE95" s="904"/>
      <c r="AF95" s="904"/>
      <c r="AG95" s="918"/>
    </row>
    <row r="96" spans="1:33">
      <c r="A96" s="901" t="s">
        <v>1059</v>
      </c>
      <c r="B96" s="902" t="s">
        <v>1067</v>
      </c>
      <c r="C96" s="904"/>
      <c r="D96" s="904"/>
      <c r="E96" s="920"/>
      <c r="F96" s="907"/>
      <c r="G96" s="907"/>
      <c r="H96" s="907"/>
      <c r="I96" s="907"/>
      <c r="J96" s="907"/>
      <c r="K96" s="907"/>
      <c r="L96" s="907"/>
      <c r="M96" s="907"/>
      <c r="N96" s="907"/>
      <c r="O96" s="907"/>
      <c r="P96" s="907"/>
      <c r="Q96" s="907"/>
      <c r="R96" s="907"/>
      <c r="S96" s="907"/>
      <c r="T96" s="907"/>
      <c r="U96" s="907"/>
      <c r="V96" s="907"/>
      <c r="W96" s="907"/>
      <c r="X96" s="907"/>
      <c r="Y96" s="907"/>
      <c r="Z96" s="907"/>
      <c r="AA96" s="907"/>
      <c r="AB96" s="907"/>
      <c r="AC96" s="906"/>
      <c r="AD96" s="905"/>
      <c r="AE96" s="904"/>
      <c r="AF96" s="904"/>
      <c r="AG96" s="918"/>
    </row>
    <row r="97" spans="1:33">
      <c r="A97" s="901" t="s">
        <v>1059</v>
      </c>
      <c r="B97" s="902" t="s">
        <v>1068</v>
      </c>
      <c r="C97" s="904"/>
      <c r="D97" s="904"/>
      <c r="E97" s="920"/>
      <c r="F97" s="907"/>
      <c r="G97" s="907"/>
      <c r="H97" s="907"/>
      <c r="I97" s="907"/>
      <c r="J97" s="907"/>
      <c r="K97" s="907"/>
      <c r="L97" s="907"/>
      <c r="M97" s="907"/>
      <c r="N97" s="907"/>
      <c r="O97" s="907"/>
      <c r="P97" s="907"/>
      <c r="Q97" s="907"/>
      <c r="R97" s="907"/>
      <c r="S97" s="907"/>
      <c r="T97" s="907"/>
      <c r="U97" s="907"/>
      <c r="V97" s="907"/>
      <c r="W97" s="907"/>
      <c r="X97" s="907"/>
      <c r="Y97" s="907"/>
      <c r="Z97" s="907"/>
      <c r="AA97" s="907"/>
      <c r="AB97" s="907"/>
      <c r="AC97" s="907"/>
      <c r="AD97" s="906"/>
      <c r="AE97" s="904"/>
      <c r="AF97" s="904"/>
      <c r="AG97" s="918"/>
    </row>
    <row r="98" spans="1:33" ht="13">
      <c r="A98" s="909"/>
      <c r="B98" s="910" t="s">
        <v>272</v>
      </c>
      <c r="C98" s="911"/>
      <c r="D98" s="911"/>
      <c r="E98" s="921"/>
      <c r="F98" s="911"/>
      <c r="G98" s="911"/>
      <c r="H98" s="911"/>
      <c r="I98" s="911"/>
      <c r="J98" s="911"/>
      <c r="K98" s="911"/>
      <c r="L98" s="911"/>
      <c r="M98" s="911"/>
      <c r="N98" s="911"/>
      <c r="O98" s="911"/>
      <c r="P98" s="911"/>
      <c r="Q98" s="911"/>
      <c r="R98" s="911"/>
      <c r="S98" s="911"/>
      <c r="T98" s="911"/>
      <c r="U98" s="911"/>
      <c r="V98" s="911"/>
      <c r="W98" s="911"/>
      <c r="X98" s="911"/>
      <c r="Y98" s="911"/>
      <c r="Z98" s="911"/>
      <c r="AA98" s="911"/>
      <c r="AB98" s="911"/>
      <c r="AC98" s="911"/>
      <c r="AD98" s="911"/>
      <c r="AE98" s="911"/>
      <c r="AF98" s="911"/>
      <c r="AG98" s="911"/>
    </row>
    <row r="102" spans="1:33" ht="13">
      <c r="B102" s="896" t="s">
        <v>1072</v>
      </c>
      <c r="F102" s="897" t="s">
        <v>10</v>
      </c>
    </row>
    <row r="103" spans="1:33" ht="26.15" customHeight="1">
      <c r="A103" s="898"/>
      <c r="B103" s="916" t="s">
        <v>414</v>
      </c>
      <c r="C103" s="1899" t="s">
        <v>1070</v>
      </c>
      <c r="D103" s="1899" t="s">
        <v>1038</v>
      </c>
      <c r="E103" s="1899" t="s">
        <v>1039</v>
      </c>
      <c r="F103" s="1901" t="s">
        <v>1040</v>
      </c>
      <c r="G103" s="1902"/>
      <c r="H103" s="1902"/>
      <c r="I103" s="1902"/>
      <c r="J103" s="1902"/>
      <c r="K103" s="1902"/>
      <c r="L103" s="1902"/>
      <c r="M103" s="1902"/>
      <c r="N103" s="1902"/>
      <c r="O103" s="1902"/>
      <c r="P103" s="1902"/>
      <c r="Q103" s="1902"/>
      <c r="R103" s="1902"/>
      <c r="S103" s="1902"/>
      <c r="T103" s="1902"/>
      <c r="U103" s="1902"/>
      <c r="V103" s="1902"/>
      <c r="W103" s="1902"/>
      <c r="X103" s="1902"/>
      <c r="Y103" s="1902"/>
      <c r="Z103" s="1902"/>
      <c r="AA103" s="1902"/>
      <c r="AB103" s="1902"/>
      <c r="AC103" s="1902"/>
      <c r="AD103" s="1903"/>
      <c r="AE103" s="899" t="s">
        <v>1041</v>
      </c>
      <c r="AF103" s="899" t="s">
        <v>1042</v>
      </c>
      <c r="AG103" s="899" t="s">
        <v>1043</v>
      </c>
    </row>
    <row r="104" spans="1:33" ht="12.9" customHeight="1">
      <c r="A104" s="898"/>
      <c r="B104" s="916"/>
      <c r="C104" s="1900"/>
      <c r="D104" s="1900"/>
      <c r="E104" s="1900"/>
      <c r="F104" s="900" t="s">
        <v>1044</v>
      </c>
      <c r="G104" s="900" t="s">
        <v>1045</v>
      </c>
      <c r="H104" s="900" t="s">
        <v>1046</v>
      </c>
      <c r="I104" s="900" t="s">
        <v>1047</v>
      </c>
      <c r="J104" s="900" t="s">
        <v>1048</v>
      </c>
      <c r="K104" s="900" t="s">
        <v>1049</v>
      </c>
      <c r="L104" s="900" t="s">
        <v>1050</v>
      </c>
      <c r="M104" s="900" t="s">
        <v>1051</v>
      </c>
      <c r="N104" s="900" t="s">
        <v>1052</v>
      </c>
      <c r="O104" s="900" t="s">
        <v>1053</v>
      </c>
      <c r="P104" s="900" t="s">
        <v>1054</v>
      </c>
      <c r="Q104" s="900" t="s">
        <v>1055</v>
      </c>
      <c r="R104" s="900" t="s">
        <v>1056</v>
      </c>
      <c r="S104" s="900" t="s">
        <v>1057</v>
      </c>
      <c r="T104" s="900" t="s">
        <v>326</v>
      </c>
      <c r="U104" s="900" t="s">
        <v>507</v>
      </c>
      <c r="V104" s="900" t="s">
        <v>508</v>
      </c>
      <c r="W104" s="900" t="s">
        <v>509</v>
      </c>
      <c r="X104" s="900" t="s">
        <v>510</v>
      </c>
      <c r="Y104" s="900" t="s">
        <v>511</v>
      </c>
      <c r="Z104" s="900" t="s">
        <v>947</v>
      </c>
      <c r="AA104" s="900" t="s">
        <v>948</v>
      </c>
      <c r="AB104" s="900" t="s">
        <v>949</v>
      </c>
      <c r="AC104" s="900" t="s">
        <v>950</v>
      </c>
      <c r="AD104" s="900" t="s">
        <v>951</v>
      </c>
      <c r="AE104" s="899"/>
      <c r="AF104" s="899"/>
      <c r="AG104" s="899"/>
    </row>
    <row r="105" spans="1:33">
      <c r="A105" s="901" t="s">
        <v>1058</v>
      </c>
      <c r="B105" s="902">
        <v>2005</v>
      </c>
      <c r="C105" s="901"/>
      <c r="D105" s="901"/>
      <c r="E105" s="917"/>
      <c r="F105" s="905"/>
      <c r="G105" s="905"/>
      <c r="H105" s="905"/>
      <c r="I105" s="905"/>
      <c r="J105" s="905"/>
      <c r="K105" s="905"/>
      <c r="L105" s="905"/>
      <c r="M105" s="905"/>
      <c r="N105" s="905"/>
      <c r="O105" s="905"/>
      <c r="P105" s="905"/>
      <c r="Q105" s="905"/>
      <c r="R105" s="905"/>
      <c r="S105" s="905"/>
      <c r="T105" s="905"/>
      <c r="U105" s="905"/>
      <c r="V105" s="905"/>
      <c r="W105" s="905"/>
      <c r="X105" s="905"/>
      <c r="Y105" s="905"/>
      <c r="Z105" s="905"/>
      <c r="AA105" s="905"/>
      <c r="AB105" s="905"/>
      <c r="AC105" s="905"/>
      <c r="AD105" s="905"/>
      <c r="AE105" s="918"/>
      <c r="AF105" s="918"/>
      <c r="AG105" s="918"/>
    </row>
    <row r="106" spans="1:33">
      <c r="A106" s="901" t="s">
        <v>1059</v>
      </c>
      <c r="B106" s="902" t="s">
        <v>1044</v>
      </c>
      <c r="C106" s="901"/>
      <c r="D106" s="901"/>
      <c r="E106" s="917"/>
      <c r="F106" s="906"/>
      <c r="G106" s="905"/>
      <c r="H106" s="905"/>
      <c r="I106" s="905"/>
      <c r="J106" s="905"/>
      <c r="K106" s="905"/>
      <c r="L106" s="905"/>
      <c r="M106" s="905"/>
      <c r="N106" s="905"/>
      <c r="O106" s="905"/>
      <c r="P106" s="905"/>
      <c r="Q106" s="905"/>
      <c r="R106" s="905"/>
      <c r="S106" s="905"/>
      <c r="T106" s="905"/>
      <c r="U106" s="905"/>
      <c r="V106" s="905"/>
      <c r="W106" s="905"/>
      <c r="X106" s="905"/>
      <c r="Y106" s="905"/>
      <c r="Z106" s="905"/>
      <c r="AA106" s="905"/>
      <c r="AB106" s="905"/>
      <c r="AC106" s="905"/>
      <c r="AD106" s="905"/>
      <c r="AE106" s="918"/>
      <c r="AF106" s="918"/>
      <c r="AG106" s="918"/>
    </row>
    <row r="107" spans="1:33">
      <c r="A107" s="901" t="s">
        <v>1059</v>
      </c>
      <c r="B107" s="902" t="s">
        <v>1045</v>
      </c>
      <c r="C107" s="901"/>
      <c r="D107" s="901"/>
      <c r="E107" s="917"/>
      <c r="F107" s="907"/>
      <c r="G107" s="906"/>
      <c r="H107" s="905"/>
      <c r="I107" s="905"/>
      <c r="J107" s="905"/>
      <c r="K107" s="905"/>
      <c r="L107" s="905"/>
      <c r="M107" s="905"/>
      <c r="N107" s="905"/>
      <c r="O107" s="905"/>
      <c r="P107" s="905"/>
      <c r="Q107" s="905"/>
      <c r="R107" s="905"/>
      <c r="S107" s="905"/>
      <c r="T107" s="905"/>
      <c r="U107" s="905"/>
      <c r="V107" s="905"/>
      <c r="W107" s="905"/>
      <c r="X107" s="905"/>
      <c r="Y107" s="905"/>
      <c r="Z107" s="905"/>
      <c r="AA107" s="905"/>
      <c r="AB107" s="905"/>
      <c r="AC107" s="905"/>
      <c r="AD107" s="905"/>
      <c r="AE107" s="918"/>
      <c r="AF107" s="918"/>
      <c r="AG107" s="918"/>
    </row>
    <row r="108" spans="1:33">
      <c r="A108" s="901" t="s">
        <v>1059</v>
      </c>
      <c r="B108" s="902" t="s">
        <v>1046</v>
      </c>
      <c r="C108" s="901"/>
      <c r="D108" s="901"/>
      <c r="E108" s="917"/>
      <c r="F108" s="907"/>
      <c r="G108" s="907"/>
      <c r="H108" s="906"/>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18"/>
      <c r="AF108" s="918"/>
      <c r="AG108" s="918"/>
    </row>
    <row r="109" spans="1:33">
      <c r="A109" s="901" t="s">
        <v>1059</v>
      </c>
      <c r="B109" s="902" t="s">
        <v>1047</v>
      </c>
      <c r="C109" s="901"/>
      <c r="D109" s="901"/>
      <c r="E109" s="917"/>
      <c r="F109" s="907"/>
      <c r="G109" s="907"/>
      <c r="H109" s="907"/>
      <c r="I109" s="906"/>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18"/>
      <c r="AF109" s="918"/>
      <c r="AG109" s="918"/>
    </row>
    <row r="110" spans="1:33">
      <c r="A110" s="901" t="s">
        <v>1059</v>
      </c>
      <c r="B110" s="902" t="s">
        <v>1048</v>
      </c>
      <c r="C110" s="901"/>
      <c r="D110" s="901"/>
      <c r="E110" s="917"/>
      <c r="F110" s="907"/>
      <c r="G110" s="907"/>
      <c r="H110" s="907"/>
      <c r="I110" s="907"/>
      <c r="J110" s="906"/>
      <c r="K110" s="905"/>
      <c r="L110" s="905"/>
      <c r="M110" s="905"/>
      <c r="N110" s="905"/>
      <c r="O110" s="905"/>
      <c r="P110" s="905"/>
      <c r="Q110" s="905"/>
      <c r="R110" s="905"/>
      <c r="S110" s="905"/>
      <c r="T110" s="905"/>
      <c r="U110" s="905"/>
      <c r="V110" s="905"/>
      <c r="W110" s="905"/>
      <c r="X110" s="905"/>
      <c r="Y110" s="905"/>
      <c r="Z110" s="905"/>
      <c r="AA110" s="905"/>
      <c r="AB110" s="905"/>
      <c r="AC110" s="905"/>
      <c r="AD110" s="905"/>
      <c r="AE110" s="918"/>
      <c r="AF110" s="918"/>
      <c r="AG110" s="918"/>
    </row>
    <row r="111" spans="1:33">
      <c r="A111" s="901" t="s">
        <v>1059</v>
      </c>
      <c r="B111" s="902" t="s">
        <v>1049</v>
      </c>
      <c r="C111" s="901"/>
      <c r="D111" s="901"/>
      <c r="E111" s="917"/>
      <c r="F111" s="907"/>
      <c r="G111" s="907"/>
      <c r="H111" s="907"/>
      <c r="I111" s="907"/>
      <c r="J111" s="907"/>
      <c r="K111" s="906"/>
      <c r="L111" s="905"/>
      <c r="M111" s="905"/>
      <c r="N111" s="905"/>
      <c r="O111" s="905"/>
      <c r="P111" s="905"/>
      <c r="Q111" s="905"/>
      <c r="R111" s="905"/>
      <c r="S111" s="905"/>
      <c r="T111" s="905"/>
      <c r="U111" s="905"/>
      <c r="V111" s="905"/>
      <c r="W111" s="905"/>
      <c r="X111" s="905"/>
      <c r="Y111" s="905"/>
      <c r="Z111" s="905"/>
      <c r="AA111" s="905"/>
      <c r="AB111" s="905"/>
      <c r="AC111" s="905"/>
      <c r="AD111" s="905"/>
      <c r="AE111" s="918"/>
      <c r="AF111" s="918"/>
      <c r="AG111" s="918"/>
    </row>
    <row r="112" spans="1:33">
      <c r="A112" s="901" t="s">
        <v>1059</v>
      </c>
      <c r="B112" s="902" t="s">
        <v>1050</v>
      </c>
      <c r="C112" s="901"/>
      <c r="D112" s="901"/>
      <c r="E112" s="917"/>
      <c r="F112" s="907"/>
      <c r="G112" s="907"/>
      <c r="H112" s="907"/>
      <c r="I112" s="907"/>
      <c r="J112" s="907"/>
      <c r="K112" s="907"/>
      <c r="L112" s="906"/>
      <c r="M112" s="905"/>
      <c r="N112" s="905"/>
      <c r="O112" s="905"/>
      <c r="P112" s="905"/>
      <c r="Q112" s="905"/>
      <c r="R112" s="905"/>
      <c r="S112" s="905"/>
      <c r="T112" s="905"/>
      <c r="U112" s="905"/>
      <c r="V112" s="905"/>
      <c r="W112" s="905"/>
      <c r="X112" s="905"/>
      <c r="Y112" s="905"/>
      <c r="Z112" s="905"/>
      <c r="AA112" s="905"/>
      <c r="AB112" s="905"/>
      <c r="AC112" s="905"/>
      <c r="AD112" s="905"/>
      <c r="AE112" s="918"/>
      <c r="AF112" s="918"/>
      <c r="AG112" s="918"/>
    </row>
    <row r="113" spans="1:33">
      <c r="A113" s="901" t="s">
        <v>1059</v>
      </c>
      <c r="B113" s="902" t="s">
        <v>1051</v>
      </c>
      <c r="C113" s="901"/>
      <c r="D113" s="901"/>
      <c r="E113" s="917"/>
      <c r="F113" s="907"/>
      <c r="G113" s="907"/>
      <c r="H113" s="907"/>
      <c r="I113" s="907"/>
      <c r="J113" s="907"/>
      <c r="K113" s="907"/>
      <c r="L113" s="907"/>
      <c r="M113" s="906"/>
      <c r="N113" s="905"/>
      <c r="O113" s="905"/>
      <c r="P113" s="905"/>
      <c r="Q113" s="905"/>
      <c r="R113" s="905"/>
      <c r="S113" s="905"/>
      <c r="T113" s="905"/>
      <c r="U113" s="905"/>
      <c r="V113" s="905"/>
      <c r="W113" s="905"/>
      <c r="X113" s="905"/>
      <c r="Y113" s="905"/>
      <c r="Z113" s="905"/>
      <c r="AA113" s="905"/>
      <c r="AB113" s="905"/>
      <c r="AC113" s="905"/>
      <c r="AD113" s="905"/>
      <c r="AE113" s="918"/>
      <c r="AF113" s="918"/>
      <c r="AG113" s="918"/>
    </row>
    <row r="114" spans="1:33">
      <c r="A114" s="901" t="s">
        <v>1059</v>
      </c>
      <c r="B114" s="902" t="s">
        <v>1052</v>
      </c>
      <c r="C114" s="901"/>
      <c r="D114" s="901"/>
      <c r="E114" s="917"/>
      <c r="F114" s="907"/>
      <c r="G114" s="907"/>
      <c r="H114" s="907"/>
      <c r="I114" s="907"/>
      <c r="J114" s="907"/>
      <c r="K114" s="907"/>
      <c r="L114" s="907"/>
      <c r="M114" s="907"/>
      <c r="N114" s="906"/>
      <c r="O114" s="905"/>
      <c r="P114" s="905"/>
      <c r="Q114" s="905"/>
      <c r="R114" s="905"/>
      <c r="S114" s="905"/>
      <c r="T114" s="905"/>
      <c r="U114" s="905"/>
      <c r="V114" s="905"/>
      <c r="W114" s="905"/>
      <c r="X114" s="905"/>
      <c r="Y114" s="905"/>
      <c r="Z114" s="905"/>
      <c r="AA114" s="905"/>
      <c r="AB114" s="905"/>
      <c r="AC114" s="905"/>
      <c r="AD114" s="905"/>
      <c r="AE114" s="918"/>
      <c r="AF114" s="918"/>
      <c r="AG114" s="918"/>
    </row>
    <row r="115" spans="1:33">
      <c r="A115" s="901" t="s">
        <v>1059</v>
      </c>
      <c r="B115" s="902" t="s">
        <v>1053</v>
      </c>
      <c r="C115" s="904"/>
      <c r="D115" s="901"/>
      <c r="E115" s="917"/>
      <c r="F115" s="907"/>
      <c r="G115" s="907"/>
      <c r="H115" s="907"/>
      <c r="I115" s="907"/>
      <c r="J115" s="907"/>
      <c r="K115" s="907"/>
      <c r="L115" s="907"/>
      <c r="M115" s="907"/>
      <c r="N115" s="907"/>
      <c r="O115" s="906"/>
      <c r="P115" s="905"/>
      <c r="Q115" s="905"/>
      <c r="R115" s="905"/>
      <c r="S115" s="905"/>
      <c r="T115" s="905"/>
      <c r="U115" s="905"/>
      <c r="V115" s="905"/>
      <c r="W115" s="905"/>
      <c r="X115" s="905"/>
      <c r="Y115" s="905"/>
      <c r="Z115" s="905"/>
      <c r="AA115" s="905"/>
      <c r="AB115" s="905"/>
      <c r="AC115" s="905"/>
      <c r="AD115" s="905"/>
      <c r="AE115" s="918"/>
      <c r="AF115" s="918"/>
      <c r="AG115" s="918"/>
    </row>
    <row r="116" spans="1:33">
      <c r="A116" s="901" t="s">
        <v>1059</v>
      </c>
      <c r="B116" s="902" t="s">
        <v>1054</v>
      </c>
      <c r="C116" s="904"/>
      <c r="D116" s="901"/>
      <c r="E116" s="917"/>
      <c r="F116" s="907"/>
      <c r="G116" s="907"/>
      <c r="H116" s="907"/>
      <c r="I116" s="907"/>
      <c r="J116" s="907"/>
      <c r="K116" s="907"/>
      <c r="L116" s="907"/>
      <c r="M116" s="907"/>
      <c r="N116" s="907"/>
      <c r="O116" s="907"/>
      <c r="P116" s="906"/>
      <c r="Q116" s="905"/>
      <c r="R116" s="905"/>
      <c r="S116" s="905"/>
      <c r="T116" s="905"/>
      <c r="U116" s="905"/>
      <c r="V116" s="905"/>
      <c r="W116" s="905"/>
      <c r="X116" s="905"/>
      <c r="Y116" s="905"/>
      <c r="Z116" s="905"/>
      <c r="AA116" s="905"/>
      <c r="AB116" s="905"/>
      <c r="AC116" s="905"/>
      <c r="AD116" s="905"/>
      <c r="AE116" s="918"/>
      <c r="AF116" s="918"/>
      <c r="AG116" s="918"/>
    </row>
    <row r="117" spans="1:33">
      <c r="A117" s="901" t="s">
        <v>1059</v>
      </c>
      <c r="B117" s="902" t="s">
        <v>1055</v>
      </c>
      <c r="C117" s="904"/>
      <c r="D117" s="904"/>
      <c r="E117" s="917"/>
      <c r="F117" s="907"/>
      <c r="G117" s="907"/>
      <c r="H117" s="907"/>
      <c r="I117" s="907"/>
      <c r="J117" s="907"/>
      <c r="K117" s="907"/>
      <c r="L117" s="907"/>
      <c r="M117" s="907"/>
      <c r="N117" s="907"/>
      <c r="O117" s="907"/>
      <c r="P117" s="907"/>
      <c r="Q117" s="906"/>
      <c r="R117" s="905"/>
      <c r="S117" s="905"/>
      <c r="T117" s="905"/>
      <c r="U117" s="905"/>
      <c r="V117" s="905"/>
      <c r="W117" s="905"/>
      <c r="X117" s="905"/>
      <c r="Y117" s="905"/>
      <c r="Z117" s="905"/>
      <c r="AA117" s="905"/>
      <c r="AB117" s="905"/>
      <c r="AC117" s="905"/>
      <c r="AD117" s="905"/>
      <c r="AE117" s="918"/>
      <c r="AF117" s="918"/>
      <c r="AG117" s="918"/>
    </row>
    <row r="118" spans="1:33">
      <c r="A118" s="901" t="s">
        <v>1059</v>
      </c>
      <c r="B118" s="902" t="s">
        <v>1056</v>
      </c>
      <c r="C118" s="904"/>
      <c r="D118" s="904"/>
      <c r="E118" s="917"/>
      <c r="F118" s="907"/>
      <c r="G118" s="907"/>
      <c r="H118" s="907"/>
      <c r="I118" s="907"/>
      <c r="J118" s="907"/>
      <c r="K118" s="907"/>
      <c r="L118" s="907"/>
      <c r="M118" s="907"/>
      <c r="N118" s="907"/>
      <c r="O118" s="907"/>
      <c r="P118" s="907"/>
      <c r="Q118" s="907"/>
      <c r="R118" s="906"/>
      <c r="S118" s="905"/>
      <c r="T118" s="905"/>
      <c r="U118" s="905"/>
      <c r="V118" s="905"/>
      <c r="W118" s="905"/>
      <c r="X118" s="905"/>
      <c r="Y118" s="905"/>
      <c r="Z118" s="905"/>
      <c r="AA118" s="905"/>
      <c r="AB118" s="905"/>
      <c r="AC118" s="905"/>
      <c r="AD118" s="905"/>
      <c r="AE118" s="918"/>
      <c r="AF118" s="918"/>
      <c r="AG118" s="918"/>
    </row>
    <row r="119" spans="1:33">
      <c r="A119" s="901" t="s">
        <v>1059</v>
      </c>
      <c r="B119" s="902" t="s">
        <v>1057</v>
      </c>
      <c r="C119" s="904"/>
      <c r="D119" s="904"/>
      <c r="E119" s="917"/>
      <c r="F119" s="907"/>
      <c r="G119" s="907"/>
      <c r="H119" s="907"/>
      <c r="I119" s="907"/>
      <c r="J119" s="907"/>
      <c r="K119" s="907"/>
      <c r="L119" s="907"/>
      <c r="M119" s="907"/>
      <c r="N119" s="907"/>
      <c r="O119" s="907"/>
      <c r="P119" s="907"/>
      <c r="Q119" s="907"/>
      <c r="R119" s="907"/>
      <c r="S119" s="906"/>
      <c r="T119" s="905"/>
      <c r="U119" s="905"/>
      <c r="V119" s="905"/>
      <c r="W119" s="905"/>
      <c r="X119" s="905"/>
      <c r="Y119" s="905"/>
      <c r="Z119" s="905"/>
      <c r="AA119" s="905"/>
      <c r="AB119" s="905"/>
      <c r="AC119" s="905"/>
      <c r="AD119" s="905"/>
      <c r="AE119" s="918"/>
      <c r="AF119" s="918"/>
      <c r="AG119" s="918"/>
    </row>
    <row r="120" spans="1:33">
      <c r="A120" s="901" t="s">
        <v>1059</v>
      </c>
      <c r="B120" s="902" t="s">
        <v>1060</v>
      </c>
      <c r="C120" s="904"/>
      <c r="D120" s="904"/>
      <c r="E120" s="920"/>
      <c r="F120" s="907"/>
      <c r="G120" s="907"/>
      <c r="H120" s="907"/>
      <c r="I120" s="907"/>
      <c r="J120" s="907"/>
      <c r="K120" s="907"/>
      <c r="L120" s="907"/>
      <c r="M120" s="907"/>
      <c r="N120" s="907"/>
      <c r="O120" s="907"/>
      <c r="P120" s="907"/>
      <c r="Q120" s="907"/>
      <c r="R120" s="907"/>
      <c r="S120" s="907"/>
      <c r="T120" s="906"/>
      <c r="U120" s="905"/>
      <c r="V120" s="905"/>
      <c r="W120" s="905"/>
      <c r="X120" s="905"/>
      <c r="Y120" s="905"/>
      <c r="Z120" s="905"/>
      <c r="AA120" s="905"/>
      <c r="AB120" s="905"/>
      <c r="AC120" s="905"/>
      <c r="AD120" s="905"/>
      <c r="AE120" s="918"/>
      <c r="AF120" s="918"/>
      <c r="AG120" s="918"/>
    </row>
    <row r="121" spans="1:33">
      <c r="A121" s="901" t="s">
        <v>1059</v>
      </c>
      <c r="B121" s="902" t="s">
        <v>1061</v>
      </c>
      <c r="C121" s="904"/>
      <c r="D121" s="904"/>
      <c r="E121" s="920"/>
      <c r="F121" s="907"/>
      <c r="G121" s="907"/>
      <c r="H121" s="907"/>
      <c r="I121" s="907"/>
      <c r="J121" s="907"/>
      <c r="K121" s="907"/>
      <c r="L121" s="907"/>
      <c r="M121" s="907"/>
      <c r="N121" s="907"/>
      <c r="O121" s="907"/>
      <c r="P121" s="907"/>
      <c r="Q121" s="907"/>
      <c r="R121" s="907"/>
      <c r="S121" s="907"/>
      <c r="T121" s="907"/>
      <c r="U121" s="906"/>
      <c r="V121" s="905"/>
      <c r="W121" s="905"/>
      <c r="X121" s="905"/>
      <c r="Y121" s="905"/>
      <c r="Z121" s="905"/>
      <c r="AA121" s="905"/>
      <c r="AB121" s="905"/>
      <c r="AC121" s="905"/>
      <c r="AD121" s="905"/>
      <c r="AE121" s="918"/>
      <c r="AF121" s="918"/>
      <c r="AG121" s="918"/>
    </row>
    <row r="122" spans="1:33">
      <c r="A122" s="901" t="s">
        <v>1059</v>
      </c>
      <c r="B122" s="902" t="s">
        <v>1062</v>
      </c>
      <c r="C122" s="904"/>
      <c r="D122" s="904"/>
      <c r="E122" s="920"/>
      <c r="F122" s="907"/>
      <c r="G122" s="907"/>
      <c r="H122" s="907"/>
      <c r="I122" s="907"/>
      <c r="J122" s="907"/>
      <c r="K122" s="907"/>
      <c r="L122" s="907"/>
      <c r="M122" s="907"/>
      <c r="N122" s="907"/>
      <c r="O122" s="907"/>
      <c r="P122" s="907"/>
      <c r="Q122" s="907"/>
      <c r="R122" s="907"/>
      <c r="S122" s="907"/>
      <c r="T122" s="907"/>
      <c r="U122" s="907"/>
      <c r="V122" s="906"/>
      <c r="W122" s="905"/>
      <c r="X122" s="905"/>
      <c r="Y122" s="905"/>
      <c r="Z122" s="905"/>
      <c r="AA122" s="905"/>
      <c r="AB122" s="905"/>
      <c r="AC122" s="905"/>
      <c r="AD122" s="905"/>
      <c r="AE122" s="918"/>
      <c r="AF122" s="918"/>
      <c r="AG122" s="918"/>
    </row>
    <row r="123" spans="1:33">
      <c r="A123" s="901" t="s">
        <v>1059</v>
      </c>
      <c r="B123" s="902" t="s">
        <v>515</v>
      </c>
      <c r="C123" s="904"/>
      <c r="D123" s="904"/>
      <c r="E123" s="920"/>
      <c r="F123" s="907"/>
      <c r="G123" s="907"/>
      <c r="H123" s="907"/>
      <c r="I123" s="907"/>
      <c r="J123" s="907"/>
      <c r="K123" s="907"/>
      <c r="L123" s="907"/>
      <c r="M123" s="907"/>
      <c r="N123" s="907"/>
      <c r="O123" s="907"/>
      <c r="P123" s="907"/>
      <c r="Q123" s="907"/>
      <c r="R123" s="907"/>
      <c r="S123" s="907"/>
      <c r="T123" s="907"/>
      <c r="U123" s="907"/>
      <c r="V123" s="907"/>
      <c r="W123" s="906"/>
      <c r="X123" s="905"/>
      <c r="Y123" s="905"/>
      <c r="Z123" s="905"/>
      <c r="AA123" s="905"/>
      <c r="AB123" s="905"/>
      <c r="AC123" s="905"/>
      <c r="AD123" s="905"/>
      <c r="AE123" s="918"/>
      <c r="AF123" s="918"/>
      <c r="AG123" s="918"/>
    </row>
    <row r="124" spans="1:33">
      <c r="A124" s="901" t="s">
        <v>1059</v>
      </c>
      <c r="B124" s="902" t="s">
        <v>516</v>
      </c>
      <c r="C124" s="904"/>
      <c r="D124" s="904"/>
      <c r="E124" s="920"/>
      <c r="F124" s="907"/>
      <c r="G124" s="907"/>
      <c r="H124" s="907"/>
      <c r="I124" s="907"/>
      <c r="J124" s="907"/>
      <c r="K124" s="907"/>
      <c r="L124" s="907"/>
      <c r="M124" s="907"/>
      <c r="N124" s="907"/>
      <c r="O124" s="907"/>
      <c r="P124" s="907"/>
      <c r="Q124" s="907"/>
      <c r="R124" s="907"/>
      <c r="S124" s="907"/>
      <c r="T124" s="907"/>
      <c r="U124" s="907"/>
      <c r="V124" s="907"/>
      <c r="W124" s="907"/>
      <c r="X124" s="906"/>
      <c r="Y124" s="905"/>
      <c r="Z124" s="905"/>
      <c r="AA124" s="905"/>
      <c r="AB124" s="905"/>
      <c r="AC124" s="905"/>
      <c r="AD124" s="905"/>
      <c r="AE124" s="918"/>
      <c r="AF124" s="918"/>
      <c r="AG124" s="918"/>
    </row>
    <row r="125" spans="1:33">
      <c r="A125" s="901" t="s">
        <v>1059</v>
      </c>
      <c r="B125" s="902" t="s">
        <v>1063</v>
      </c>
      <c r="C125" s="904"/>
      <c r="D125" s="904"/>
      <c r="E125" s="920"/>
      <c r="F125" s="907"/>
      <c r="G125" s="907"/>
      <c r="H125" s="907"/>
      <c r="I125" s="907"/>
      <c r="J125" s="907"/>
      <c r="K125" s="907"/>
      <c r="L125" s="907"/>
      <c r="M125" s="907"/>
      <c r="N125" s="907"/>
      <c r="O125" s="907"/>
      <c r="P125" s="907"/>
      <c r="Q125" s="907"/>
      <c r="R125" s="907"/>
      <c r="S125" s="907"/>
      <c r="T125" s="907"/>
      <c r="U125" s="907"/>
      <c r="V125" s="907"/>
      <c r="W125" s="907"/>
      <c r="X125" s="907"/>
      <c r="Y125" s="906"/>
      <c r="Z125" s="905"/>
      <c r="AA125" s="905"/>
      <c r="AB125" s="905"/>
      <c r="AC125" s="905"/>
      <c r="AD125" s="905"/>
      <c r="AE125" s="918"/>
      <c r="AF125" s="918"/>
      <c r="AG125" s="918"/>
    </row>
    <row r="126" spans="1:33">
      <c r="A126" s="901" t="s">
        <v>1059</v>
      </c>
      <c r="B126" s="902" t="s">
        <v>1064</v>
      </c>
      <c r="C126" s="904"/>
      <c r="D126" s="904"/>
      <c r="E126" s="920"/>
      <c r="F126" s="907"/>
      <c r="G126" s="907"/>
      <c r="H126" s="907"/>
      <c r="I126" s="907"/>
      <c r="J126" s="907"/>
      <c r="K126" s="907"/>
      <c r="L126" s="907"/>
      <c r="M126" s="907"/>
      <c r="N126" s="907"/>
      <c r="O126" s="907"/>
      <c r="P126" s="907"/>
      <c r="Q126" s="907"/>
      <c r="R126" s="907"/>
      <c r="S126" s="907"/>
      <c r="T126" s="907"/>
      <c r="U126" s="907"/>
      <c r="V126" s="907"/>
      <c r="W126" s="907"/>
      <c r="X126" s="907"/>
      <c r="Y126" s="907"/>
      <c r="Z126" s="906"/>
      <c r="AA126" s="905"/>
      <c r="AB126" s="905"/>
      <c r="AC126" s="905"/>
      <c r="AD126" s="905"/>
      <c r="AE126" s="904"/>
      <c r="AF126" s="904"/>
      <c r="AG126" s="918"/>
    </row>
    <row r="127" spans="1:33">
      <c r="A127" s="901" t="s">
        <v>1059</v>
      </c>
      <c r="B127" s="902" t="s">
        <v>1065</v>
      </c>
      <c r="C127" s="904"/>
      <c r="D127" s="904"/>
      <c r="E127" s="920"/>
      <c r="F127" s="907"/>
      <c r="G127" s="907"/>
      <c r="H127" s="907"/>
      <c r="I127" s="907"/>
      <c r="J127" s="907"/>
      <c r="K127" s="907"/>
      <c r="L127" s="907"/>
      <c r="M127" s="907"/>
      <c r="N127" s="907"/>
      <c r="O127" s="907"/>
      <c r="P127" s="907"/>
      <c r="Q127" s="907"/>
      <c r="R127" s="907"/>
      <c r="S127" s="907"/>
      <c r="T127" s="907"/>
      <c r="U127" s="907"/>
      <c r="V127" s="907"/>
      <c r="W127" s="907"/>
      <c r="X127" s="907"/>
      <c r="Y127" s="907"/>
      <c r="Z127" s="907"/>
      <c r="AA127" s="906"/>
      <c r="AB127" s="905"/>
      <c r="AC127" s="905"/>
      <c r="AD127" s="905"/>
      <c r="AE127" s="904"/>
      <c r="AF127" s="904"/>
      <c r="AG127" s="918"/>
    </row>
    <row r="128" spans="1:33">
      <c r="A128" s="901" t="s">
        <v>1059</v>
      </c>
      <c r="B128" s="902" t="s">
        <v>1066</v>
      </c>
      <c r="C128" s="904"/>
      <c r="D128" s="904"/>
      <c r="E128" s="920"/>
      <c r="F128" s="907"/>
      <c r="G128" s="907"/>
      <c r="H128" s="907"/>
      <c r="I128" s="907"/>
      <c r="J128" s="907"/>
      <c r="K128" s="907"/>
      <c r="L128" s="907"/>
      <c r="M128" s="907"/>
      <c r="N128" s="907"/>
      <c r="O128" s="907"/>
      <c r="P128" s="907"/>
      <c r="Q128" s="907"/>
      <c r="R128" s="907"/>
      <c r="S128" s="907"/>
      <c r="T128" s="907"/>
      <c r="U128" s="907"/>
      <c r="V128" s="907"/>
      <c r="W128" s="907"/>
      <c r="X128" s="907"/>
      <c r="Y128" s="907"/>
      <c r="Z128" s="907"/>
      <c r="AA128" s="907"/>
      <c r="AB128" s="906"/>
      <c r="AC128" s="905"/>
      <c r="AD128" s="905"/>
      <c r="AE128" s="904"/>
      <c r="AF128" s="904"/>
      <c r="AG128" s="918"/>
    </row>
    <row r="129" spans="1:33">
      <c r="A129" s="901" t="s">
        <v>1059</v>
      </c>
      <c r="B129" s="902" t="s">
        <v>1067</v>
      </c>
      <c r="C129" s="904"/>
      <c r="D129" s="904"/>
      <c r="E129" s="920"/>
      <c r="F129" s="907"/>
      <c r="G129" s="907"/>
      <c r="H129" s="907"/>
      <c r="I129" s="907"/>
      <c r="J129" s="907"/>
      <c r="K129" s="907"/>
      <c r="L129" s="907"/>
      <c r="M129" s="907"/>
      <c r="N129" s="907"/>
      <c r="O129" s="907"/>
      <c r="P129" s="907"/>
      <c r="Q129" s="907"/>
      <c r="R129" s="907"/>
      <c r="S129" s="907"/>
      <c r="T129" s="907"/>
      <c r="U129" s="907"/>
      <c r="V129" s="907"/>
      <c r="W129" s="907"/>
      <c r="X129" s="907"/>
      <c r="Y129" s="907"/>
      <c r="Z129" s="907"/>
      <c r="AA129" s="907"/>
      <c r="AB129" s="907"/>
      <c r="AC129" s="906"/>
      <c r="AD129" s="905"/>
      <c r="AE129" s="904"/>
      <c r="AF129" s="904"/>
      <c r="AG129" s="918"/>
    </row>
    <row r="130" spans="1:33">
      <c r="A130" s="901" t="s">
        <v>1059</v>
      </c>
      <c r="B130" s="902" t="s">
        <v>1068</v>
      </c>
      <c r="C130" s="904"/>
      <c r="D130" s="904"/>
      <c r="E130" s="920"/>
      <c r="F130" s="907"/>
      <c r="G130" s="907"/>
      <c r="H130" s="907"/>
      <c r="I130" s="907"/>
      <c r="J130" s="907"/>
      <c r="K130" s="907"/>
      <c r="L130" s="907"/>
      <c r="M130" s="907"/>
      <c r="N130" s="907"/>
      <c r="O130" s="907"/>
      <c r="P130" s="907"/>
      <c r="Q130" s="907"/>
      <c r="R130" s="907"/>
      <c r="S130" s="907"/>
      <c r="T130" s="907"/>
      <c r="U130" s="907"/>
      <c r="V130" s="907"/>
      <c r="W130" s="907"/>
      <c r="X130" s="907"/>
      <c r="Y130" s="907"/>
      <c r="Z130" s="907"/>
      <c r="AA130" s="907"/>
      <c r="AB130" s="907"/>
      <c r="AC130" s="907"/>
      <c r="AD130" s="906"/>
      <c r="AE130" s="904"/>
      <c r="AF130" s="904"/>
      <c r="AG130" s="918"/>
    </row>
    <row r="131" spans="1:33" ht="13">
      <c r="A131" s="909"/>
      <c r="B131" s="910" t="s">
        <v>272</v>
      </c>
      <c r="C131" s="911"/>
      <c r="D131" s="911"/>
      <c r="E131" s="911"/>
      <c r="F131" s="911"/>
      <c r="G131" s="911"/>
      <c r="H131" s="911"/>
      <c r="I131" s="911"/>
      <c r="J131" s="911"/>
      <c r="K131" s="911"/>
      <c r="L131" s="911"/>
      <c r="M131" s="911"/>
      <c r="N131" s="911"/>
      <c r="O131" s="911"/>
      <c r="P131" s="911"/>
      <c r="Q131" s="911"/>
      <c r="R131" s="911"/>
      <c r="S131" s="911"/>
      <c r="T131" s="911"/>
      <c r="U131" s="911"/>
      <c r="V131" s="911"/>
      <c r="W131" s="911"/>
      <c r="X131" s="911"/>
      <c r="Y131" s="911"/>
      <c r="Z131" s="911"/>
      <c r="AA131" s="911"/>
      <c r="AB131" s="911"/>
      <c r="AC131" s="911"/>
      <c r="AD131" s="911"/>
      <c r="AE131" s="911"/>
      <c r="AF131" s="911"/>
      <c r="AG131" s="911"/>
    </row>
    <row r="132" spans="1:33">
      <c r="C132" s="923"/>
    </row>
    <row r="134" spans="1:33">
      <c r="F134" s="912"/>
    </row>
    <row r="135" spans="1:33" ht="13">
      <c r="B135" s="896" t="s">
        <v>1073</v>
      </c>
      <c r="F135" s="897" t="s">
        <v>10</v>
      </c>
    </row>
    <row r="136" spans="1:33" ht="26.15" customHeight="1">
      <c r="A136" s="898"/>
      <c r="B136" s="916" t="s">
        <v>414</v>
      </c>
      <c r="C136" s="1899" t="s">
        <v>1070</v>
      </c>
      <c r="D136" s="1899" t="s">
        <v>1038</v>
      </c>
      <c r="E136" s="1899" t="s">
        <v>1039</v>
      </c>
      <c r="F136" s="1901" t="s">
        <v>1040</v>
      </c>
      <c r="G136" s="1902"/>
      <c r="H136" s="1902"/>
      <c r="I136" s="1902"/>
      <c r="J136" s="1902"/>
      <c r="K136" s="1902"/>
      <c r="L136" s="1902"/>
      <c r="M136" s="1902"/>
      <c r="N136" s="1902"/>
      <c r="O136" s="1902"/>
      <c r="P136" s="1902"/>
      <c r="Q136" s="1902"/>
      <c r="R136" s="1902"/>
      <c r="S136" s="1902"/>
      <c r="T136" s="1902"/>
      <c r="U136" s="1902"/>
      <c r="V136" s="1902"/>
      <c r="W136" s="1902"/>
      <c r="X136" s="1902"/>
      <c r="Y136" s="1902"/>
      <c r="Z136" s="1902"/>
      <c r="AA136" s="1902"/>
      <c r="AB136" s="1902"/>
      <c r="AC136" s="1902"/>
      <c r="AD136" s="1903"/>
      <c r="AE136" s="899" t="s">
        <v>1041</v>
      </c>
      <c r="AF136" s="899" t="s">
        <v>1042</v>
      </c>
      <c r="AG136" s="899" t="s">
        <v>1043</v>
      </c>
    </row>
    <row r="137" spans="1:33" ht="12.9" customHeight="1">
      <c r="A137" s="898"/>
      <c r="B137" s="916"/>
      <c r="C137" s="1900"/>
      <c r="D137" s="1900"/>
      <c r="E137" s="1900"/>
      <c r="F137" s="900" t="s">
        <v>1044</v>
      </c>
      <c r="G137" s="900" t="s">
        <v>1045</v>
      </c>
      <c r="H137" s="900" t="s">
        <v>1046</v>
      </c>
      <c r="I137" s="900" t="s">
        <v>1047</v>
      </c>
      <c r="J137" s="900" t="s">
        <v>1048</v>
      </c>
      <c r="K137" s="900" t="s">
        <v>1049</v>
      </c>
      <c r="L137" s="900" t="s">
        <v>1050</v>
      </c>
      <c r="M137" s="900" t="s">
        <v>1051</v>
      </c>
      <c r="N137" s="900" t="s">
        <v>1052</v>
      </c>
      <c r="O137" s="900" t="s">
        <v>1053</v>
      </c>
      <c r="P137" s="900" t="s">
        <v>1054</v>
      </c>
      <c r="Q137" s="900" t="s">
        <v>1055</v>
      </c>
      <c r="R137" s="900" t="s">
        <v>1056</v>
      </c>
      <c r="S137" s="900" t="s">
        <v>1057</v>
      </c>
      <c r="T137" s="900" t="s">
        <v>326</v>
      </c>
      <c r="U137" s="900" t="s">
        <v>507</v>
      </c>
      <c r="V137" s="900" t="s">
        <v>508</v>
      </c>
      <c r="W137" s="900" t="s">
        <v>509</v>
      </c>
      <c r="X137" s="900" t="s">
        <v>510</v>
      </c>
      <c r="Y137" s="900" t="s">
        <v>511</v>
      </c>
      <c r="Z137" s="900" t="s">
        <v>947</v>
      </c>
      <c r="AA137" s="900" t="s">
        <v>948</v>
      </c>
      <c r="AB137" s="900" t="s">
        <v>949</v>
      </c>
      <c r="AC137" s="900" t="s">
        <v>950</v>
      </c>
      <c r="AD137" s="900" t="s">
        <v>951</v>
      </c>
      <c r="AE137" s="899"/>
      <c r="AF137" s="899"/>
      <c r="AG137" s="899"/>
    </row>
    <row r="138" spans="1:33">
      <c r="A138" s="901" t="s">
        <v>1058</v>
      </c>
      <c r="B138" s="902">
        <v>2005</v>
      </c>
      <c r="C138" s="901"/>
      <c r="D138" s="901"/>
      <c r="E138" s="917"/>
      <c r="F138" s="905"/>
      <c r="G138" s="905"/>
      <c r="H138" s="905"/>
      <c r="I138" s="905"/>
      <c r="J138" s="905"/>
      <c r="K138" s="905"/>
      <c r="L138" s="905"/>
      <c r="M138" s="905"/>
      <c r="N138" s="905"/>
      <c r="O138" s="905"/>
      <c r="P138" s="905"/>
      <c r="Q138" s="905"/>
      <c r="R138" s="905"/>
      <c r="S138" s="905"/>
      <c r="T138" s="905"/>
      <c r="U138" s="905"/>
      <c r="V138" s="905"/>
      <c r="W138" s="905"/>
      <c r="X138" s="905"/>
      <c r="Y138" s="905"/>
      <c r="Z138" s="905"/>
      <c r="AA138" s="905"/>
      <c r="AB138" s="905"/>
      <c r="AC138" s="905"/>
      <c r="AD138" s="905"/>
      <c r="AE138" s="918"/>
      <c r="AF138" s="918"/>
      <c r="AG138" s="918"/>
    </row>
    <row r="139" spans="1:33">
      <c r="A139" s="901" t="s">
        <v>1059</v>
      </c>
      <c r="B139" s="902" t="s">
        <v>1044</v>
      </c>
      <c r="C139" s="901"/>
      <c r="D139" s="901"/>
      <c r="E139" s="917"/>
      <c r="F139" s="906"/>
      <c r="G139" s="905"/>
      <c r="H139" s="905"/>
      <c r="I139" s="905"/>
      <c r="J139" s="905"/>
      <c r="K139" s="905"/>
      <c r="L139" s="905"/>
      <c r="M139" s="905"/>
      <c r="N139" s="905"/>
      <c r="O139" s="905"/>
      <c r="P139" s="905"/>
      <c r="Q139" s="905"/>
      <c r="R139" s="905"/>
      <c r="S139" s="905"/>
      <c r="T139" s="905"/>
      <c r="U139" s="905"/>
      <c r="V139" s="905"/>
      <c r="W139" s="905"/>
      <c r="X139" s="905"/>
      <c r="Y139" s="905"/>
      <c r="Z139" s="905"/>
      <c r="AA139" s="905"/>
      <c r="AB139" s="905"/>
      <c r="AC139" s="905"/>
      <c r="AD139" s="905"/>
      <c r="AE139" s="918"/>
      <c r="AF139" s="918"/>
      <c r="AG139" s="918"/>
    </row>
    <row r="140" spans="1:33">
      <c r="A140" s="901" t="s">
        <v>1059</v>
      </c>
      <c r="B140" s="902" t="s">
        <v>1045</v>
      </c>
      <c r="C140" s="901"/>
      <c r="D140" s="901"/>
      <c r="E140" s="917"/>
      <c r="F140" s="907"/>
      <c r="G140" s="906"/>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18"/>
      <c r="AF140" s="918"/>
      <c r="AG140" s="918"/>
    </row>
    <row r="141" spans="1:33">
      <c r="A141" s="901" t="s">
        <v>1059</v>
      </c>
      <c r="B141" s="902" t="s">
        <v>1046</v>
      </c>
      <c r="C141" s="901"/>
      <c r="D141" s="901"/>
      <c r="E141" s="917"/>
      <c r="F141" s="907"/>
      <c r="G141" s="907"/>
      <c r="H141" s="906"/>
      <c r="I141" s="905"/>
      <c r="J141" s="905"/>
      <c r="K141" s="905"/>
      <c r="L141" s="905"/>
      <c r="M141" s="905"/>
      <c r="N141" s="905"/>
      <c r="O141" s="905"/>
      <c r="P141" s="905"/>
      <c r="Q141" s="905"/>
      <c r="R141" s="905"/>
      <c r="S141" s="905"/>
      <c r="T141" s="905"/>
      <c r="U141" s="905"/>
      <c r="V141" s="905"/>
      <c r="W141" s="905"/>
      <c r="X141" s="905"/>
      <c r="Y141" s="905"/>
      <c r="Z141" s="905"/>
      <c r="AA141" s="905"/>
      <c r="AB141" s="905"/>
      <c r="AC141" s="905"/>
      <c r="AD141" s="905"/>
      <c r="AE141" s="918"/>
      <c r="AF141" s="918"/>
      <c r="AG141" s="918"/>
    </row>
    <row r="142" spans="1:33">
      <c r="A142" s="901" t="s">
        <v>1059</v>
      </c>
      <c r="B142" s="902" t="s">
        <v>1047</v>
      </c>
      <c r="C142" s="901"/>
      <c r="D142" s="901"/>
      <c r="E142" s="917"/>
      <c r="F142" s="907"/>
      <c r="G142" s="907"/>
      <c r="H142" s="907"/>
      <c r="I142" s="906"/>
      <c r="J142" s="905"/>
      <c r="K142" s="905"/>
      <c r="L142" s="905"/>
      <c r="M142" s="905"/>
      <c r="N142" s="905"/>
      <c r="O142" s="905"/>
      <c r="P142" s="905"/>
      <c r="Q142" s="905"/>
      <c r="R142" s="905"/>
      <c r="S142" s="905"/>
      <c r="T142" s="905"/>
      <c r="U142" s="905"/>
      <c r="V142" s="905"/>
      <c r="W142" s="905"/>
      <c r="X142" s="905"/>
      <c r="Y142" s="905"/>
      <c r="Z142" s="905"/>
      <c r="AA142" s="905"/>
      <c r="AB142" s="905"/>
      <c r="AC142" s="905"/>
      <c r="AD142" s="905"/>
      <c r="AE142" s="918"/>
      <c r="AF142" s="918"/>
      <c r="AG142" s="918"/>
    </row>
    <row r="143" spans="1:33">
      <c r="A143" s="901" t="s">
        <v>1059</v>
      </c>
      <c r="B143" s="902" t="s">
        <v>1048</v>
      </c>
      <c r="C143" s="901"/>
      <c r="D143" s="901"/>
      <c r="E143" s="917"/>
      <c r="F143" s="907"/>
      <c r="G143" s="907"/>
      <c r="H143" s="907"/>
      <c r="I143" s="907"/>
      <c r="J143" s="906"/>
      <c r="K143" s="905"/>
      <c r="L143" s="905"/>
      <c r="M143" s="905"/>
      <c r="N143" s="905"/>
      <c r="O143" s="905"/>
      <c r="P143" s="905"/>
      <c r="Q143" s="905"/>
      <c r="R143" s="905"/>
      <c r="S143" s="905"/>
      <c r="T143" s="905"/>
      <c r="U143" s="905"/>
      <c r="V143" s="905"/>
      <c r="W143" s="905"/>
      <c r="X143" s="905"/>
      <c r="Y143" s="905"/>
      <c r="Z143" s="905"/>
      <c r="AA143" s="905"/>
      <c r="AB143" s="905"/>
      <c r="AC143" s="905"/>
      <c r="AD143" s="905"/>
      <c r="AE143" s="918"/>
      <c r="AF143" s="918"/>
      <c r="AG143" s="918"/>
    </row>
    <row r="144" spans="1:33">
      <c r="A144" s="901" t="s">
        <v>1059</v>
      </c>
      <c r="B144" s="902" t="s">
        <v>1049</v>
      </c>
      <c r="C144" s="901"/>
      <c r="D144" s="901"/>
      <c r="E144" s="917"/>
      <c r="F144" s="907"/>
      <c r="G144" s="907"/>
      <c r="H144" s="907"/>
      <c r="I144" s="907"/>
      <c r="J144" s="907"/>
      <c r="K144" s="906"/>
      <c r="L144" s="905"/>
      <c r="M144" s="905"/>
      <c r="N144" s="905"/>
      <c r="O144" s="905"/>
      <c r="P144" s="905"/>
      <c r="Q144" s="905"/>
      <c r="R144" s="905"/>
      <c r="S144" s="905"/>
      <c r="T144" s="905"/>
      <c r="U144" s="905"/>
      <c r="V144" s="905"/>
      <c r="W144" s="905"/>
      <c r="X144" s="905"/>
      <c r="Y144" s="905"/>
      <c r="Z144" s="905"/>
      <c r="AA144" s="905"/>
      <c r="AB144" s="905"/>
      <c r="AC144" s="905"/>
      <c r="AD144" s="905"/>
      <c r="AE144" s="918"/>
      <c r="AF144" s="918"/>
      <c r="AG144" s="918"/>
    </row>
    <row r="145" spans="1:33">
      <c r="A145" s="901" t="s">
        <v>1059</v>
      </c>
      <c r="B145" s="902" t="s">
        <v>1050</v>
      </c>
      <c r="C145" s="901"/>
      <c r="D145" s="901"/>
      <c r="E145" s="917"/>
      <c r="F145" s="907"/>
      <c r="G145" s="907"/>
      <c r="H145" s="907"/>
      <c r="I145" s="907"/>
      <c r="J145" s="907"/>
      <c r="K145" s="907"/>
      <c r="L145" s="906"/>
      <c r="M145" s="905"/>
      <c r="N145" s="905"/>
      <c r="O145" s="905"/>
      <c r="P145" s="905"/>
      <c r="Q145" s="905"/>
      <c r="R145" s="905"/>
      <c r="S145" s="905"/>
      <c r="T145" s="905"/>
      <c r="U145" s="905"/>
      <c r="V145" s="905"/>
      <c r="W145" s="905"/>
      <c r="X145" s="905"/>
      <c r="Y145" s="905"/>
      <c r="Z145" s="905"/>
      <c r="AA145" s="905"/>
      <c r="AB145" s="905"/>
      <c r="AC145" s="905"/>
      <c r="AD145" s="905"/>
      <c r="AE145" s="918"/>
      <c r="AF145" s="918"/>
      <c r="AG145" s="918"/>
    </row>
    <row r="146" spans="1:33">
      <c r="A146" s="901" t="s">
        <v>1059</v>
      </c>
      <c r="B146" s="902" t="s">
        <v>1051</v>
      </c>
      <c r="C146" s="901"/>
      <c r="D146" s="901"/>
      <c r="E146" s="917"/>
      <c r="F146" s="907"/>
      <c r="G146" s="907"/>
      <c r="H146" s="907"/>
      <c r="I146" s="907"/>
      <c r="J146" s="907"/>
      <c r="K146" s="907"/>
      <c r="L146" s="907"/>
      <c r="M146" s="906"/>
      <c r="N146" s="905"/>
      <c r="O146" s="905"/>
      <c r="P146" s="905"/>
      <c r="Q146" s="905"/>
      <c r="R146" s="905"/>
      <c r="S146" s="905"/>
      <c r="T146" s="905"/>
      <c r="U146" s="905"/>
      <c r="V146" s="905"/>
      <c r="W146" s="905"/>
      <c r="X146" s="905"/>
      <c r="Y146" s="905"/>
      <c r="Z146" s="905"/>
      <c r="AA146" s="905"/>
      <c r="AB146" s="905"/>
      <c r="AC146" s="905"/>
      <c r="AD146" s="905"/>
      <c r="AE146" s="918"/>
      <c r="AF146" s="918"/>
      <c r="AG146" s="918"/>
    </row>
    <row r="147" spans="1:33">
      <c r="A147" s="901" t="s">
        <v>1059</v>
      </c>
      <c r="B147" s="902" t="s">
        <v>1052</v>
      </c>
      <c r="C147" s="901"/>
      <c r="D147" s="901"/>
      <c r="E147" s="917"/>
      <c r="F147" s="907"/>
      <c r="G147" s="907"/>
      <c r="H147" s="907"/>
      <c r="I147" s="907"/>
      <c r="J147" s="907"/>
      <c r="K147" s="907"/>
      <c r="L147" s="907"/>
      <c r="M147" s="907"/>
      <c r="N147" s="906"/>
      <c r="O147" s="905"/>
      <c r="P147" s="905"/>
      <c r="Q147" s="905"/>
      <c r="R147" s="905"/>
      <c r="S147" s="905"/>
      <c r="T147" s="905"/>
      <c r="U147" s="905"/>
      <c r="V147" s="905"/>
      <c r="W147" s="905"/>
      <c r="X147" s="905"/>
      <c r="Y147" s="905"/>
      <c r="Z147" s="905"/>
      <c r="AA147" s="905"/>
      <c r="AB147" s="905"/>
      <c r="AC147" s="905"/>
      <c r="AD147" s="905"/>
      <c r="AE147" s="918"/>
      <c r="AF147" s="918"/>
      <c r="AG147" s="918"/>
    </row>
    <row r="148" spans="1:33">
      <c r="A148" s="901" t="s">
        <v>1059</v>
      </c>
      <c r="B148" s="902" t="s">
        <v>1053</v>
      </c>
      <c r="C148" s="904"/>
      <c r="D148" s="901"/>
      <c r="E148" s="917"/>
      <c r="F148" s="907"/>
      <c r="G148" s="907"/>
      <c r="H148" s="907"/>
      <c r="I148" s="907"/>
      <c r="J148" s="907"/>
      <c r="K148" s="907"/>
      <c r="L148" s="907"/>
      <c r="M148" s="907"/>
      <c r="N148" s="907"/>
      <c r="O148" s="906"/>
      <c r="P148" s="905"/>
      <c r="Q148" s="905"/>
      <c r="R148" s="905"/>
      <c r="S148" s="905"/>
      <c r="T148" s="905"/>
      <c r="U148" s="905"/>
      <c r="V148" s="905"/>
      <c r="W148" s="905"/>
      <c r="X148" s="905"/>
      <c r="Y148" s="905"/>
      <c r="Z148" s="905"/>
      <c r="AA148" s="905"/>
      <c r="AB148" s="905"/>
      <c r="AC148" s="905"/>
      <c r="AD148" s="905"/>
      <c r="AE148" s="918"/>
      <c r="AF148" s="918"/>
      <c r="AG148" s="918"/>
    </row>
    <row r="149" spans="1:33">
      <c r="A149" s="901" t="s">
        <v>1059</v>
      </c>
      <c r="B149" s="902" t="s">
        <v>1054</v>
      </c>
      <c r="C149" s="904"/>
      <c r="D149" s="901"/>
      <c r="E149" s="917"/>
      <c r="F149" s="907"/>
      <c r="G149" s="907"/>
      <c r="H149" s="907"/>
      <c r="I149" s="907"/>
      <c r="J149" s="907"/>
      <c r="K149" s="907"/>
      <c r="L149" s="907"/>
      <c r="M149" s="907"/>
      <c r="N149" s="907"/>
      <c r="O149" s="907"/>
      <c r="P149" s="906"/>
      <c r="Q149" s="905"/>
      <c r="R149" s="905"/>
      <c r="S149" s="905"/>
      <c r="T149" s="905"/>
      <c r="U149" s="905"/>
      <c r="V149" s="905"/>
      <c r="W149" s="905"/>
      <c r="X149" s="905"/>
      <c r="Y149" s="905"/>
      <c r="Z149" s="905"/>
      <c r="AA149" s="905"/>
      <c r="AB149" s="905"/>
      <c r="AC149" s="905"/>
      <c r="AD149" s="905"/>
      <c r="AE149" s="918"/>
      <c r="AF149" s="918"/>
      <c r="AG149" s="918"/>
    </row>
    <row r="150" spans="1:33">
      <c r="A150" s="901" t="s">
        <v>1059</v>
      </c>
      <c r="B150" s="902" t="s">
        <v>1055</v>
      </c>
      <c r="C150" s="904"/>
      <c r="D150" s="904"/>
      <c r="E150" s="917"/>
      <c r="F150" s="907"/>
      <c r="G150" s="907"/>
      <c r="H150" s="907"/>
      <c r="I150" s="907"/>
      <c r="J150" s="907"/>
      <c r="K150" s="907"/>
      <c r="L150" s="907"/>
      <c r="M150" s="907"/>
      <c r="N150" s="907"/>
      <c r="O150" s="907"/>
      <c r="P150" s="907"/>
      <c r="Q150" s="906"/>
      <c r="R150" s="905"/>
      <c r="S150" s="905"/>
      <c r="T150" s="905"/>
      <c r="U150" s="905"/>
      <c r="V150" s="905"/>
      <c r="W150" s="905"/>
      <c r="X150" s="905"/>
      <c r="Y150" s="905"/>
      <c r="Z150" s="905"/>
      <c r="AA150" s="905"/>
      <c r="AB150" s="905"/>
      <c r="AC150" s="905"/>
      <c r="AD150" s="905"/>
      <c r="AE150" s="918"/>
      <c r="AF150" s="918"/>
      <c r="AG150" s="918"/>
    </row>
    <row r="151" spans="1:33">
      <c r="A151" s="901" t="s">
        <v>1059</v>
      </c>
      <c r="B151" s="902" t="s">
        <v>1056</v>
      </c>
      <c r="C151" s="904"/>
      <c r="D151" s="904"/>
      <c r="E151" s="917"/>
      <c r="F151" s="907"/>
      <c r="G151" s="907"/>
      <c r="H151" s="907"/>
      <c r="I151" s="907"/>
      <c r="J151" s="907"/>
      <c r="K151" s="907"/>
      <c r="L151" s="907"/>
      <c r="M151" s="907"/>
      <c r="N151" s="907"/>
      <c r="O151" s="907"/>
      <c r="P151" s="907"/>
      <c r="Q151" s="907"/>
      <c r="R151" s="906"/>
      <c r="S151" s="905"/>
      <c r="T151" s="905"/>
      <c r="U151" s="905"/>
      <c r="V151" s="905"/>
      <c r="W151" s="905"/>
      <c r="X151" s="905"/>
      <c r="Y151" s="905"/>
      <c r="Z151" s="905"/>
      <c r="AA151" s="905"/>
      <c r="AB151" s="905"/>
      <c r="AC151" s="905"/>
      <c r="AD151" s="905"/>
      <c r="AE151" s="918"/>
      <c r="AF151" s="918"/>
      <c r="AG151" s="918"/>
    </row>
    <row r="152" spans="1:33">
      <c r="A152" s="901" t="s">
        <v>1059</v>
      </c>
      <c r="B152" s="902" t="s">
        <v>1057</v>
      </c>
      <c r="C152" s="904"/>
      <c r="D152" s="904"/>
      <c r="E152" s="917"/>
      <c r="F152" s="907"/>
      <c r="G152" s="907"/>
      <c r="H152" s="907"/>
      <c r="I152" s="907"/>
      <c r="J152" s="907"/>
      <c r="K152" s="907"/>
      <c r="L152" s="907"/>
      <c r="M152" s="907"/>
      <c r="N152" s="907"/>
      <c r="O152" s="907"/>
      <c r="P152" s="907"/>
      <c r="Q152" s="907"/>
      <c r="R152" s="907"/>
      <c r="S152" s="906"/>
      <c r="T152" s="905"/>
      <c r="U152" s="905"/>
      <c r="V152" s="905"/>
      <c r="W152" s="905"/>
      <c r="X152" s="905"/>
      <c r="Y152" s="905"/>
      <c r="Z152" s="905"/>
      <c r="AA152" s="905"/>
      <c r="AB152" s="905"/>
      <c r="AC152" s="905"/>
      <c r="AD152" s="905"/>
      <c r="AE152" s="918"/>
      <c r="AF152" s="918"/>
      <c r="AG152" s="918"/>
    </row>
    <row r="153" spans="1:33">
      <c r="A153" s="901" t="s">
        <v>1059</v>
      </c>
      <c r="B153" s="902" t="s">
        <v>1060</v>
      </c>
      <c r="C153" s="904"/>
      <c r="D153" s="904"/>
      <c r="E153" s="920"/>
      <c r="F153" s="907"/>
      <c r="G153" s="907"/>
      <c r="H153" s="907"/>
      <c r="I153" s="907"/>
      <c r="J153" s="907"/>
      <c r="K153" s="907"/>
      <c r="L153" s="907"/>
      <c r="M153" s="907"/>
      <c r="N153" s="907"/>
      <c r="O153" s="907"/>
      <c r="P153" s="907"/>
      <c r="Q153" s="907"/>
      <c r="R153" s="907"/>
      <c r="S153" s="907"/>
      <c r="T153" s="906"/>
      <c r="U153" s="905"/>
      <c r="V153" s="905"/>
      <c r="W153" s="905"/>
      <c r="X153" s="905"/>
      <c r="Y153" s="905"/>
      <c r="Z153" s="905"/>
      <c r="AA153" s="905"/>
      <c r="AB153" s="905"/>
      <c r="AC153" s="905"/>
      <c r="AD153" s="905"/>
      <c r="AE153" s="918"/>
      <c r="AF153" s="918"/>
      <c r="AG153" s="918"/>
    </row>
    <row r="154" spans="1:33">
      <c r="A154" s="901" t="s">
        <v>1059</v>
      </c>
      <c r="B154" s="902" t="s">
        <v>1061</v>
      </c>
      <c r="C154" s="904"/>
      <c r="D154" s="904"/>
      <c r="E154" s="920"/>
      <c r="F154" s="907"/>
      <c r="G154" s="907"/>
      <c r="H154" s="907"/>
      <c r="I154" s="907"/>
      <c r="J154" s="907"/>
      <c r="K154" s="907"/>
      <c r="L154" s="907"/>
      <c r="M154" s="907"/>
      <c r="N154" s="907"/>
      <c r="O154" s="907"/>
      <c r="P154" s="907"/>
      <c r="Q154" s="907"/>
      <c r="R154" s="907"/>
      <c r="S154" s="907"/>
      <c r="T154" s="907"/>
      <c r="U154" s="906"/>
      <c r="V154" s="905"/>
      <c r="W154" s="905"/>
      <c r="X154" s="905"/>
      <c r="Y154" s="905"/>
      <c r="Z154" s="905"/>
      <c r="AA154" s="905"/>
      <c r="AB154" s="905"/>
      <c r="AC154" s="905"/>
      <c r="AD154" s="905"/>
      <c r="AE154" s="918"/>
      <c r="AF154" s="918"/>
      <c r="AG154" s="918"/>
    </row>
    <row r="155" spans="1:33">
      <c r="A155" s="901" t="s">
        <v>1059</v>
      </c>
      <c r="B155" s="902" t="s">
        <v>1062</v>
      </c>
      <c r="C155" s="904"/>
      <c r="D155" s="904"/>
      <c r="E155" s="920"/>
      <c r="F155" s="907"/>
      <c r="G155" s="907"/>
      <c r="H155" s="907"/>
      <c r="I155" s="907"/>
      <c r="J155" s="907"/>
      <c r="K155" s="907"/>
      <c r="L155" s="907"/>
      <c r="M155" s="907"/>
      <c r="N155" s="907"/>
      <c r="O155" s="907"/>
      <c r="P155" s="907"/>
      <c r="Q155" s="907"/>
      <c r="R155" s="907"/>
      <c r="S155" s="907"/>
      <c r="T155" s="907"/>
      <c r="U155" s="907"/>
      <c r="V155" s="906"/>
      <c r="W155" s="905"/>
      <c r="X155" s="905"/>
      <c r="Y155" s="905"/>
      <c r="Z155" s="905"/>
      <c r="AA155" s="905"/>
      <c r="AB155" s="905"/>
      <c r="AC155" s="905"/>
      <c r="AD155" s="905"/>
      <c r="AE155" s="918"/>
      <c r="AF155" s="918"/>
      <c r="AG155" s="918"/>
    </row>
    <row r="156" spans="1:33">
      <c r="A156" s="901" t="s">
        <v>1059</v>
      </c>
      <c r="B156" s="902" t="s">
        <v>515</v>
      </c>
      <c r="C156" s="904"/>
      <c r="D156" s="904"/>
      <c r="E156" s="920"/>
      <c r="F156" s="907"/>
      <c r="G156" s="907"/>
      <c r="H156" s="907"/>
      <c r="I156" s="907"/>
      <c r="J156" s="907"/>
      <c r="K156" s="907"/>
      <c r="L156" s="907"/>
      <c r="M156" s="907"/>
      <c r="N156" s="907"/>
      <c r="O156" s="907"/>
      <c r="P156" s="907"/>
      <c r="Q156" s="907"/>
      <c r="R156" s="907"/>
      <c r="S156" s="907"/>
      <c r="T156" s="907"/>
      <c r="U156" s="907"/>
      <c r="V156" s="907"/>
      <c r="W156" s="906"/>
      <c r="X156" s="905"/>
      <c r="Y156" s="905"/>
      <c r="Z156" s="905"/>
      <c r="AA156" s="905"/>
      <c r="AB156" s="905"/>
      <c r="AC156" s="905"/>
      <c r="AD156" s="905"/>
      <c r="AE156" s="918"/>
      <c r="AF156" s="918"/>
      <c r="AG156" s="918"/>
    </row>
    <row r="157" spans="1:33">
      <c r="A157" s="901" t="s">
        <v>1059</v>
      </c>
      <c r="B157" s="902" t="s">
        <v>516</v>
      </c>
      <c r="C157" s="904"/>
      <c r="D157" s="904"/>
      <c r="E157" s="920"/>
      <c r="F157" s="907"/>
      <c r="G157" s="907"/>
      <c r="H157" s="907"/>
      <c r="I157" s="907"/>
      <c r="J157" s="907"/>
      <c r="K157" s="907"/>
      <c r="L157" s="907"/>
      <c r="M157" s="907"/>
      <c r="N157" s="907"/>
      <c r="O157" s="907"/>
      <c r="P157" s="907"/>
      <c r="Q157" s="907"/>
      <c r="R157" s="907"/>
      <c r="S157" s="907"/>
      <c r="T157" s="907"/>
      <c r="U157" s="907"/>
      <c r="V157" s="907"/>
      <c r="W157" s="907"/>
      <c r="X157" s="906"/>
      <c r="Y157" s="905"/>
      <c r="Z157" s="905"/>
      <c r="AA157" s="905"/>
      <c r="AB157" s="905"/>
      <c r="AC157" s="905"/>
      <c r="AD157" s="905"/>
      <c r="AE157" s="918"/>
      <c r="AF157" s="918"/>
      <c r="AG157" s="918"/>
    </row>
    <row r="158" spans="1:33">
      <c r="A158" s="901" t="s">
        <v>1059</v>
      </c>
      <c r="B158" s="902" t="s">
        <v>1063</v>
      </c>
      <c r="C158" s="904"/>
      <c r="D158" s="904"/>
      <c r="E158" s="920"/>
      <c r="F158" s="907"/>
      <c r="G158" s="907"/>
      <c r="H158" s="907"/>
      <c r="I158" s="907"/>
      <c r="J158" s="907"/>
      <c r="K158" s="907"/>
      <c r="L158" s="907"/>
      <c r="M158" s="907"/>
      <c r="N158" s="907"/>
      <c r="O158" s="907"/>
      <c r="P158" s="907"/>
      <c r="Q158" s="907"/>
      <c r="R158" s="907"/>
      <c r="S158" s="907"/>
      <c r="T158" s="907"/>
      <c r="U158" s="907"/>
      <c r="V158" s="907"/>
      <c r="W158" s="907"/>
      <c r="X158" s="907"/>
      <c r="Y158" s="906"/>
      <c r="Z158" s="905"/>
      <c r="AA158" s="905"/>
      <c r="AB158" s="905"/>
      <c r="AC158" s="905"/>
      <c r="AD158" s="905"/>
      <c r="AE158" s="918"/>
      <c r="AF158" s="918"/>
      <c r="AG158" s="918"/>
    </row>
    <row r="159" spans="1:33">
      <c r="A159" s="901" t="s">
        <v>1059</v>
      </c>
      <c r="B159" s="902" t="s">
        <v>1064</v>
      </c>
      <c r="C159" s="904"/>
      <c r="D159" s="904"/>
      <c r="E159" s="920"/>
      <c r="F159" s="907"/>
      <c r="G159" s="907"/>
      <c r="H159" s="907"/>
      <c r="I159" s="907"/>
      <c r="J159" s="907"/>
      <c r="K159" s="907"/>
      <c r="L159" s="907"/>
      <c r="M159" s="907"/>
      <c r="N159" s="907"/>
      <c r="O159" s="907"/>
      <c r="P159" s="907"/>
      <c r="Q159" s="907"/>
      <c r="R159" s="907"/>
      <c r="S159" s="907"/>
      <c r="T159" s="907"/>
      <c r="U159" s="907"/>
      <c r="V159" s="907"/>
      <c r="W159" s="907"/>
      <c r="X159" s="907"/>
      <c r="Y159" s="907"/>
      <c r="Z159" s="906"/>
      <c r="AA159" s="905"/>
      <c r="AB159" s="905"/>
      <c r="AC159" s="905"/>
      <c r="AD159" s="905"/>
      <c r="AE159" s="904"/>
      <c r="AF159" s="904"/>
      <c r="AG159" s="918"/>
    </row>
    <row r="160" spans="1:33">
      <c r="A160" s="901" t="s">
        <v>1059</v>
      </c>
      <c r="B160" s="902" t="s">
        <v>1065</v>
      </c>
      <c r="C160" s="904"/>
      <c r="D160" s="904"/>
      <c r="E160" s="920"/>
      <c r="F160" s="907"/>
      <c r="G160" s="907"/>
      <c r="H160" s="907"/>
      <c r="I160" s="907"/>
      <c r="J160" s="907"/>
      <c r="K160" s="907"/>
      <c r="L160" s="907"/>
      <c r="M160" s="907"/>
      <c r="N160" s="907"/>
      <c r="O160" s="907"/>
      <c r="P160" s="907"/>
      <c r="Q160" s="907"/>
      <c r="R160" s="907"/>
      <c r="S160" s="907"/>
      <c r="T160" s="907"/>
      <c r="U160" s="907"/>
      <c r="V160" s="907"/>
      <c r="W160" s="907"/>
      <c r="X160" s="907"/>
      <c r="Y160" s="907"/>
      <c r="Z160" s="907"/>
      <c r="AA160" s="906"/>
      <c r="AB160" s="905"/>
      <c r="AC160" s="905"/>
      <c r="AD160" s="905"/>
      <c r="AE160" s="904"/>
      <c r="AF160" s="904"/>
      <c r="AG160" s="918"/>
    </row>
    <row r="161" spans="1:33">
      <c r="A161" s="901" t="s">
        <v>1059</v>
      </c>
      <c r="B161" s="902" t="s">
        <v>1066</v>
      </c>
      <c r="C161" s="904"/>
      <c r="D161" s="904"/>
      <c r="E161" s="920"/>
      <c r="F161" s="907"/>
      <c r="G161" s="907"/>
      <c r="H161" s="907"/>
      <c r="I161" s="907"/>
      <c r="J161" s="907"/>
      <c r="K161" s="907"/>
      <c r="L161" s="907"/>
      <c r="M161" s="907"/>
      <c r="N161" s="907"/>
      <c r="O161" s="907"/>
      <c r="P161" s="907"/>
      <c r="Q161" s="907"/>
      <c r="R161" s="907"/>
      <c r="S161" s="907"/>
      <c r="T161" s="907"/>
      <c r="U161" s="907"/>
      <c r="V161" s="907"/>
      <c r="W161" s="907"/>
      <c r="X161" s="907"/>
      <c r="Y161" s="907"/>
      <c r="Z161" s="907"/>
      <c r="AA161" s="907"/>
      <c r="AB161" s="906"/>
      <c r="AC161" s="905"/>
      <c r="AD161" s="905"/>
      <c r="AE161" s="904"/>
      <c r="AF161" s="904"/>
      <c r="AG161" s="918"/>
    </row>
    <row r="162" spans="1:33">
      <c r="A162" s="901" t="s">
        <v>1059</v>
      </c>
      <c r="B162" s="902" t="s">
        <v>1067</v>
      </c>
      <c r="C162" s="904"/>
      <c r="D162" s="904"/>
      <c r="E162" s="920"/>
      <c r="F162" s="907"/>
      <c r="G162" s="907"/>
      <c r="H162" s="907"/>
      <c r="I162" s="907"/>
      <c r="J162" s="907"/>
      <c r="K162" s="907"/>
      <c r="L162" s="907"/>
      <c r="M162" s="907"/>
      <c r="N162" s="907"/>
      <c r="O162" s="907"/>
      <c r="P162" s="907"/>
      <c r="Q162" s="907"/>
      <c r="R162" s="907"/>
      <c r="S162" s="907"/>
      <c r="T162" s="907"/>
      <c r="U162" s="907"/>
      <c r="V162" s="907"/>
      <c r="W162" s="907"/>
      <c r="X162" s="907"/>
      <c r="Y162" s="907"/>
      <c r="Z162" s="907"/>
      <c r="AA162" s="907"/>
      <c r="AB162" s="907"/>
      <c r="AC162" s="906"/>
      <c r="AD162" s="905"/>
      <c r="AE162" s="904"/>
      <c r="AF162" s="904"/>
      <c r="AG162" s="918"/>
    </row>
    <row r="163" spans="1:33">
      <c r="A163" s="901" t="s">
        <v>1059</v>
      </c>
      <c r="B163" s="902" t="s">
        <v>1068</v>
      </c>
      <c r="C163" s="904"/>
      <c r="D163" s="904"/>
      <c r="E163" s="920"/>
      <c r="F163" s="907"/>
      <c r="G163" s="907"/>
      <c r="H163" s="907"/>
      <c r="I163" s="907"/>
      <c r="J163" s="907"/>
      <c r="K163" s="907"/>
      <c r="L163" s="907"/>
      <c r="M163" s="907"/>
      <c r="N163" s="907"/>
      <c r="O163" s="907"/>
      <c r="P163" s="907"/>
      <c r="Q163" s="907"/>
      <c r="R163" s="907"/>
      <c r="S163" s="907"/>
      <c r="T163" s="907"/>
      <c r="U163" s="907"/>
      <c r="V163" s="907"/>
      <c r="W163" s="907"/>
      <c r="X163" s="907"/>
      <c r="Y163" s="907"/>
      <c r="Z163" s="907"/>
      <c r="AA163" s="907"/>
      <c r="AB163" s="907"/>
      <c r="AC163" s="907"/>
      <c r="AD163" s="906"/>
      <c r="AE163" s="904"/>
      <c r="AF163" s="904"/>
      <c r="AG163" s="918"/>
    </row>
    <row r="164" spans="1:33" ht="13">
      <c r="A164" s="909"/>
      <c r="B164" s="910" t="s">
        <v>272</v>
      </c>
      <c r="C164" s="911"/>
      <c r="D164" s="911"/>
      <c r="E164" s="911"/>
      <c r="F164" s="911"/>
      <c r="G164" s="911"/>
      <c r="H164" s="911"/>
      <c r="I164" s="911"/>
      <c r="J164" s="911"/>
      <c r="K164" s="911"/>
      <c r="L164" s="911"/>
      <c r="M164" s="911"/>
      <c r="N164" s="911"/>
      <c r="O164" s="911"/>
      <c r="P164" s="911"/>
      <c r="Q164" s="911"/>
      <c r="R164" s="911"/>
      <c r="S164" s="911"/>
      <c r="T164" s="911"/>
      <c r="U164" s="911"/>
      <c r="V164" s="911"/>
      <c r="W164" s="911"/>
      <c r="X164" s="911"/>
      <c r="Y164" s="911"/>
      <c r="Z164" s="911"/>
      <c r="AA164" s="911"/>
      <c r="AB164" s="911"/>
      <c r="AC164" s="911"/>
      <c r="AD164" s="911"/>
      <c r="AE164" s="911"/>
      <c r="AF164" s="911"/>
      <c r="AG164" s="911"/>
    </row>
    <row r="165" spans="1:33">
      <c r="C165" s="923"/>
    </row>
    <row r="168" spans="1:33" ht="13">
      <c r="B168" s="896" t="s">
        <v>1074</v>
      </c>
      <c r="F168" s="897" t="s">
        <v>10</v>
      </c>
    </row>
    <row r="169" spans="1:33" ht="26.15" customHeight="1">
      <c r="A169" s="898"/>
      <c r="B169" s="916" t="s">
        <v>414</v>
      </c>
      <c r="C169" s="1899" t="s">
        <v>1070</v>
      </c>
      <c r="D169" s="1899" t="s">
        <v>1038</v>
      </c>
      <c r="E169" s="1899" t="s">
        <v>1039</v>
      </c>
      <c r="F169" s="1901" t="s">
        <v>1040</v>
      </c>
      <c r="G169" s="1902"/>
      <c r="H169" s="1902"/>
      <c r="I169" s="1902"/>
      <c r="J169" s="1902"/>
      <c r="K169" s="1902"/>
      <c r="L169" s="1902"/>
      <c r="M169" s="1902"/>
      <c r="N169" s="1902"/>
      <c r="O169" s="1902"/>
      <c r="P169" s="1902"/>
      <c r="Q169" s="1902"/>
      <c r="R169" s="1902"/>
      <c r="S169" s="1902"/>
      <c r="T169" s="1902"/>
      <c r="U169" s="1902"/>
      <c r="V169" s="1902"/>
      <c r="W169" s="1902"/>
      <c r="X169" s="1902"/>
      <c r="Y169" s="1902"/>
      <c r="Z169" s="1902"/>
      <c r="AA169" s="1902"/>
      <c r="AB169" s="1902"/>
      <c r="AC169" s="1902"/>
      <c r="AD169" s="1903"/>
      <c r="AE169" s="899" t="s">
        <v>1041</v>
      </c>
      <c r="AF169" s="899" t="s">
        <v>1042</v>
      </c>
      <c r="AG169" s="899" t="s">
        <v>1043</v>
      </c>
    </row>
    <row r="170" spans="1:33" ht="12.9" customHeight="1">
      <c r="A170" s="898"/>
      <c r="B170" s="916"/>
      <c r="C170" s="1900"/>
      <c r="D170" s="1900"/>
      <c r="E170" s="1900"/>
      <c r="F170" s="900" t="s">
        <v>1044</v>
      </c>
      <c r="G170" s="900" t="s">
        <v>1045</v>
      </c>
      <c r="H170" s="900" t="s">
        <v>1046</v>
      </c>
      <c r="I170" s="900" t="s">
        <v>1047</v>
      </c>
      <c r="J170" s="900" t="s">
        <v>1048</v>
      </c>
      <c r="K170" s="900" t="s">
        <v>1049</v>
      </c>
      <c r="L170" s="900" t="s">
        <v>1050</v>
      </c>
      <c r="M170" s="900" t="s">
        <v>1051</v>
      </c>
      <c r="N170" s="900" t="s">
        <v>1052</v>
      </c>
      <c r="O170" s="900" t="s">
        <v>1053</v>
      </c>
      <c r="P170" s="900" t="s">
        <v>1054</v>
      </c>
      <c r="Q170" s="900" t="s">
        <v>1055</v>
      </c>
      <c r="R170" s="900" t="s">
        <v>1056</v>
      </c>
      <c r="S170" s="900" t="s">
        <v>1057</v>
      </c>
      <c r="T170" s="900" t="s">
        <v>326</v>
      </c>
      <c r="U170" s="900" t="s">
        <v>507</v>
      </c>
      <c r="V170" s="900" t="s">
        <v>508</v>
      </c>
      <c r="W170" s="900" t="s">
        <v>509</v>
      </c>
      <c r="X170" s="900" t="s">
        <v>510</v>
      </c>
      <c r="Y170" s="900" t="s">
        <v>511</v>
      </c>
      <c r="Z170" s="900" t="s">
        <v>947</v>
      </c>
      <c r="AA170" s="900" t="s">
        <v>948</v>
      </c>
      <c r="AB170" s="900" t="s">
        <v>949</v>
      </c>
      <c r="AC170" s="900" t="s">
        <v>950</v>
      </c>
      <c r="AD170" s="900" t="s">
        <v>951</v>
      </c>
      <c r="AE170" s="899"/>
      <c r="AF170" s="899"/>
      <c r="AG170" s="899"/>
    </row>
    <row r="171" spans="1:33">
      <c r="A171" s="901" t="s">
        <v>1058</v>
      </c>
      <c r="B171" s="902">
        <v>2005</v>
      </c>
      <c r="C171" s="901"/>
      <c r="D171" s="901"/>
      <c r="E171" s="917"/>
      <c r="F171" s="905"/>
      <c r="G171" s="905"/>
      <c r="H171" s="905"/>
      <c r="I171" s="905"/>
      <c r="J171" s="905"/>
      <c r="K171" s="905"/>
      <c r="L171" s="905"/>
      <c r="M171" s="905"/>
      <c r="N171" s="905"/>
      <c r="O171" s="905"/>
      <c r="P171" s="905"/>
      <c r="Q171" s="905"/>
      <c r="R171" s="905"/>
      <c r="S171" s="905"/>
      <c r="T171" s="905"/>
      <c r="U171" s="905"/>
      <c r="V171" s="905"/>
      <c r="W171" s="905"/>
      <c r="X171" s="905"/>
      <c r="Y171" s="905"/>
      <c r="Z171" s="905"/>
      <c r="AA171" s="905"/>
      <c r="AB171" s="905"/>
      <c r="AC171" s="905"/>
      <c r="AD171" s="905"/>
      <c r="AE171" s="918"/>
      <c r="AF171" s="918"/>
      <c r="AG171" s="918"/>
    </row>
    <row r="172" spans="1:33">
      <c r="A172" s="901" t="s">
        <v>1059</v>
      </c>
      <c r="B172" s="902" t="s">
        <v>1044</v>
      </c>
      <c r="C172" s="901"/>
      <c r="D172" s="901"/>
      <c r="E172" s="917"/>
      <c r="F172" s="906"/>
      <c r="G172" s="905"/>
      <c r="H172" s="905"/>
      <c r="I172" s="905"/>
      <c r="J172" s="905"/>
      <c r="K172" s="905"/>
      <c r="L172" s="905"/>
      <c r="M172" s="905"/>
      <c r="N172" s="905"/>
      <c r="O172" s="905"/>
      <c r="P172" s="905"/>
      <c r="Q172" s="905"/>
      <c r="R172" s="905"/>
      <c r="S172" s="905"/>
      <c r="T172" s="905"/>
      <c r="U172" s="905"/>
      <c r="V172" s="905"/>
      <c r="W172" s="905"/>
      <c r="X172" s="905"/>
      <c r="Y172" s="905"/>
      <c r="Z172" s="905"/>
      <c r="AA172" s="905"/>
      <c r="AB172" s="905"/>
      <c r="AC172" s="905"/>
      <c r="AD172" s="905"/>
      <c r="AE172" s="918"/>
      <c r="AF172" s="918"/>
      <c r="AG172" s="918"/>
    </row>
    <row r="173" spans="1:33">
      <c r="A173" s="901" t="s">
        <v>1059</v>
      </c>
      <c r="B173" s="902" t="s">
        <v>1045</v>
      </c>
      <c r="C173" s="901"/>
      <c r="D173" s="901"/>
      <c r="E173" s="917"/>
      <c r="F173" s="907"/>
      <c r="G173" s="906"/>
      <c r="H173" s="905"/>
      <c r="I173" s="905"/>
      <c r="J173" s="905"/>
      <c r="K173" s="905"/>
      <c r="L173" s="905"/>
      <c r="M173" s="905"/>
      <c r="N173" s="905"/>
      <c r="O173" s="905"/>
      <c r="P173" s="905"/>
      <c r="Q173" s="905"/>
      <c r="R173" s="905"/>
      <c r="S173" s="905"/>
      <c r="T173" s="905"/>
      <c r="U173" s="905"/>
      <c r="V173" s="905"/>
      <c r="W173" s="905"/>
      <c r="X173" s="905"/>
      <c r="Y173" s="905"/>
      <c r="Z173" s="905"/>
      <c r="AA173" s="905"/>
      <c r="AB173" s="905"/>
      <c r="AC173" s="905"/>
      <c r="AD173" s="905"/>
      <c r="AE173" s="918"/>
      <c r="AF173" s="918"/>
      <c r="AG173" s="918"/>
    </row>
    <row r="174" spans="1:33">
      <c r="A174" s="901" t="s">
        <v>1059</v>
      </c>
      <c r="B174" s="902" t="s">
        <v>1046</v>
      </c>
      <c r="C174" s="901"/>
      <c r="D174" s="901"/>
      <c r="E174" s="917"/>
      <c r="F174" s="907"/>
      <c r="G174" s="907"/>
      <c r="H174" s="906"/>
      <c r="I174" s="905"/>
      <c r="J174" s="905"/>
      <c r="K174" s="905"/>
      <c r="L174" s="905"/>
      <c r="M174" s="905"/>
      <c r="N174" s="905"/>
      <c r="O174" s="905"/>
      <c r="P174" s="905"/>
      <c r="Q174" s="905"/>
      <c r="R174" s="905"/>
      <c r="S174" s="905"/>
      <c r="T174" s="905"/>
      <c r="U174" s="905"/>
      <c r="V174" s="905"/>
      <c r="W174" s="905"/>
      <c r="X174" s="905"/>
      <c r="Y174" s="905"/>
      <c r="Z174" s="905"/>
      <c r="AA174" s="905"/>
      <c r="AB174" s="905"/>
      <c r="AC174" s="905"/>
      <c r="AD174" s="905"/>
      <c r="AE174" s="918"/>
      <c r="AF174" s="918"/>
      <c r="AG174" s="918"/>
    </row>
    <row r="175" spans="1:33">
      <c r="A175" s="901" t="s">
        <v>1059</v>
      </c>
      <c r="B175" s="902" t="s">
        <v>1047</v>
      </c>
      <c r="C175" s="901"/>
      <c r="D175" s="901"/>
      <c r="E175" s="917"/>
      <c r="F175" s="907"/>
      <c r="G175" s="907"/>
      <c r="H175" s="907"/>
      <c r="I175" s="906"/>
      <c r="J175" s="905"/>
      <c r="K175" s="905"/>
      <c r="L175" s="905"/>
      <c r="M175" s="905"/>
      <c r="N175" s="905"/>
      <c r="O175" s="905"/>
      <c r="P175" s="905"/>
      <c r="Q175" s="905"/>
      <c r="R175" s="905"/>
      <c r="S175" s="905"/>
      <c r="T175" s="905"/>
      <c r="U175" s="905"/>
      <c r="V175" s="905"/>
      <c r="W175" s="905"/>
      <c r="X175" s="905"/>
      <c r="Y175" s="905"/>
      <c r="Z175" s="905"/>
      <c r="AA175" s="905"/>
      <c r="AB175" s="905"/>
      <c r="AC175" s="905"/>
      <c r="AD175" s="905"/>
      <c r="AE175" s="918"/>
      <c r="AF175" s="918"/>
      <c r="AG175" s="918"/>
    </row>
    <row r="176" spans="1:33">
      <c r="A176" s="901" t="s">
        <v>1059</v>
      </c>
      <c r="B176" s="902" t="s">
        <v>1048</v>
      </c>
      <c r="C176" s="901"/>
      <c r="D176" s="901"/>
      <c r="E176" s="917"/>
      <c r="F176" s="907"/>
      <c r="G176" s="907"/>
      <c r="H176" s="907"/>
      <c r="I176" s="907"/>
      <c r="J176" s="906"/>
      <c r="K176" s="905"/>
      <c r="L176" s="905"/>
      <c r="M176" s="905"/>
      <c r="N176" s="905"/>
      <c r="O176" s="905"/>
      <c r="P176" s="905"/>
      <c r="Q176" s="905"/>
      <c r="R176" s="905"/>
      <c r="S176" s="905"/>
      <c r="T176" s="905"/>
      <c r="U176" s="905"/>
      <c r="V176" s="905"/>
      <c r="W176" s="905"/>
      <c r="X176" s="905"/>
      <c r="Y176" s="905"/>
      <c r="Z176" s="905"/>
      <c r="AA176" s="905"/>
      <c r="AB176" s="905"/>
      <c r="AC176" s="905"/>
      <c r="AD176" s="905"/>
      <c r="AE176" s="918"/>
      <c r="AF176" s="918"/>
      <c r="AG176" s="918"/>
    </row>
    <row r="177" spans="1:33">
      <c r="A177" s="901" t="s">
        <v>1059</v>
      </c>
      <c r="B177" s="902" t="s">
        <v>1049</v>
      </c>
      <c r="C177" s="901"/>
      <c r="D177" s="901"/>
      <c r="E177" s="917"/>
      <c r="F177" s="907"/>
      <c r="G177" s="907"/>
      <c r="H177" s="907"/>
      <c r="I177" s="907"/>
      <c r="J177" s="907"/>
      <c r="K177" s="906"/>
      <c r="L177" s="905"/>
      <c r="M177" s="905"/>
      <c r="N177" s="905"/>
      <c r="O177" s="905"/>
      <c r="P177" s="905"/>
      <c r="Q177" s="905"/>
      <c r="R177" s="905"/>
      <c r="S177" s="905"/>
      <c r="T177" s="905"/>
      <c r="U177" s="905"/>
      <c r="V177" s="905"/>
      <c r="W177" s="905"/>
      <c r="X177" s="905"/>
      <c r="Y177" s="905"/>
      <c r="Z177" s="905"/>
      <c r="AA177" s="905"/>
      <c r="AB177" s="905"/>
      <c r="AC177" s="905"/>
      <c r="AD177" s="905"/>
      <c r="AE177" s="918"/>
      <c r="AF177" s="918"/>
      <c r="AG177" s="918"/>
    </row>
    <row r="178" spans="1:33">
      <c r="A178" s="901" t="s">
        <v>1059</v>
      </c>
      <c r="B178" s="902" t="s">
        <v>1050</v>
      </c>
      <c r="C178" s="901"/>
      <c r="D178" s="901"/>
      <c r="E178" s="917"/>
      <c r="F178" s="907"/>
      <c r="G178" s="907"/>
      <c r="H178" s="907"/>
      <c r="I178" s="907"/>
      <c r="J178" s="907"/>
      <c r="K178" s="907"/>
      <c r="L178" s="906"/>
      <c r="M178" s="905"/>
      <c r="N178" s="905"/>
      <c r="O178" s="905"/>
      <c r="P178" s="905"/>
      <c r="Q178" s="905"/>
      <c r="R178" s="905"/>
      <c r="S178" s="905"/>
      <c r="T178" s="905"/>
      <c r="U178" s="905"/>
      <c r="V178" s="905"/>
      <c r="W178" s="905"/>
      <c r="X178" s="905"/>
      <c r="Y178" s="905"/>
      <c r="Z178" s="905"/>
      <c r="AA178" s="905"/>
      <c r="AB178" s="905"/>
      <c r="AC178" s="905"/>
      <c r="AD178" s="905"/>
      <c r="AE178" s="918"/>
      <c r="AF178" s="918"/>
      <c r="AG178" s="918"/>
    </row>
    <row r="179" spans="1:33">
      <c r="A179" s="901" t="s">
        <v>1059</v>
      </c>
      <c r="B179" s="902" t="s">
        <v>1051</v>
      </c>
      <c r="C179" s="901"/>
      <c r="D179" s="901"/>
      <c r="E179" s="917"/>
      <c r="F179" s="907"/>
      <c r="G179" s="907"/>
      <c r="H179" s="907"/>
      <c r="I179" s="907"/>
      <c r="J179" s="907"/>
      <c r="K179" s="907"/>
      <c r="L179" s="907"/>
      <c r="M179" s="906"/>
      <c r="N179" s="905"/>
      <c r="O179" s="905"/>
      <c r="P179" s="905"/>
      <c r="Q179" s="905"/>
      <c r="R179" s="905"/>
      <c r="S179" s="905"/>
      <c r="T179" s="905"/>
      <c r="U179" s="905"/>
      <c r="V179" s="905"/>
      <c r="W179" s="905"/>
      <c r="X179" s="905"/>
      <c r="Y179" s="905"/>
      <c r="Z179" s="905"/>
      <c r="AA179" s="905"/>
      <c r="AB179" s="905"/>
      <c r="AC179" s="905"/>
      <c r="AD179" s="905"/>
      <c r="AE179" s="918"/>
      <c r="AF179" s="918"/>
      <c r="AG179" s="918"/>
    </row>
    <row r="180" spans="1:33">
      <c r="A180" s="901" t="s">
        <v>1059</v>
      </c>
      <c r="B180" s="902" t="s">
        <v>1052</v>
      </c>
      <c r="C180" s="901"/>
      <c r="D180" s="901"/>
      <c r="E180" s="917"/>
      <c r="F180" s="907"/>
      <c r="G180" s="907"/>
      <c r="H180" s="907"/>
      <c r="I180" s="907"/>
      <c r="J180" s="907"/>
      <c r="K180" s="907"/>
      <c r="L180" s="907"/>
      <c r="M180" s="907"/>
      <c r="N180" s="906"/>
      <c r="O180" s="905"/>
      <c r="P180" s="905"/>
      <c r="Q180" s="905"/>
      <c r="R180" s="905"/>
      <c r="S180" s="905"/>
      <c r="T180" s="905"/>
      <c r="U180" s="905"/>
      <c r="V180" s="905"/>
      <c r="W180" s="905"/>
      <c r="X180" s="905"/>
      <c r="Y180" s="905"/>
      <c r="Z180" s="905"/>
      <c r="AA180" s="905"/>
      <c r="AB180" s="905"/>
      <c r="AC180" s="905"/>
      <c r="AD180" s="905"/>
      <c r="AE180" s="918"/>
      <c r="AF180" s="918"/>
      <c r="AG180" s="918"/>
    </row>
    <row r="181" spans="1:33">
      <c r="A181" s="901" t="s">
        <v>1059</v>
      </c>
      <c r="B181" s="902" t="s">
        <v>1053</v>
      </c>
      <c r="C181" s="904"/>
      <c r="D181" s="901"/>
      <c r="E181" s="917"/>
      <c r="F181" s="907"/>
      <c r="G181" s="907"/>
      <c r="H181" s="907"/>
      <c r="I181" s="907"/>
      <c r="J181" s="907"/>
      <c r="K181" s="907"/>
      <c r="L181" s="907"/>
      <c r="M181" s="907"/>
      <c r="N181" s="907"/>
      <c r="O181" s="906"/>
      <c r="P181" s="905"/>
      <c r="Q181" s="905"/>
      <c r="R181" s="905"/>
      <c r="S181" s="905"/>
      <c r="T181" s="905"/>
      <c r="U181" s="905"/>
      <c r="V181" s="905"/>
      <c r="W181" s="905"/>
      <c r="X181" s="905"/>
      <c r="Y181" s="905"/>
      <c r="Z181" s="905"/>
      <c r="AA181" s="905"/>
      <c r="AB181" s="905"/>
      <c r="AC181" s="905"/>
      <c r="AD181" s="905"/>
      <c r="AE181" s="918"/>
      <c r="AF181" s="918"/>
      <c r="AG181" s="918"/>
    </row>
    <row r="182" spans="1:33">
      <c r="A182" s="901" t="s">
        <v>1059</v>
      </c>
      <c r="B182" s="902" t="s">
        <v>1054</v>
      </c>
      <c r="C182" s="904"/>
      <c r="D182" s="901"/>
      <c r="E182" s="917"/>
      <c r="F182" s="907"/>
      <c r="G182" s="907"/>
      <c r="H182" s="907"/>
      <c r="I182" s="907"/>
      <c r="J182" s="907"/>
      <c r="K182" s="907"/>
      <c r="L182" s="907"/>
      <c r="M182" s="907"/>
      <c r="N182" s="907"/>
      <c r="O182" s="907"/>
      <c r="P182" s="906"/>
      <c r="Q182" s="905"/>
      <c r="R182" s="905"/>
      <c r="S182" s="905"/>
      <c r="T182" s="905"/>
      <c r="U182" s="905"/>
      <c r="V182" s="905"/>
      <c r="W182" s="905"/>
      <c r="X182" s="905"/>
      <c r="Y182" s="905"/>
      <c r="Z182" s="905"/>
      <c r="AA182" s="905"/>
      <c r="AB182" s="905"/>
      <c r="AC182" s="905"/>
      <c r="AD182" s="905"/>
      <c r="AE182" s="918"/>
      <c r="AF182" s="918"/>
      <c r="AG182" s="918"/>
    </row>
    <row r="183" spans="1:33">
      <c r="A183" s="901" t="s">
        <v>1059</v>
      </c>
      <c r="B183" s="902" t="s">
        <v>1055</v>
      </c>
      <c r="C183" s="904"/>
      <c r="D183" s="904"/>
      <c r="E183" s="917"/>
      <c r="F183" s="907"/>
      <c r="G183" s="907"/>
      <c r="H183" s="907"/>
      <c r="I183" s="907"/>
      <c r="J183" s="907"/>
      <c r="K183" s="907"/>
      <c r="L183" s="907"/>
      <c r="M183" s="907"/>
      <c r="N183" s="907"/>
      <c r="O183" s="907"/>
      <c r="P183" s="907"/>
      <c r="Q183" s="906"/>
      <c r="R183" s="905"/>
      <c r="S183" s="905"/>
      <c r="T183" s="905"/>
      <c r="U183" s="905"/>
      <c r="V183" s="905"/>
      <c r="W183" s="905"/>
      <c r="X183" s="905"/>
      <c r="Y183" s="905"/>
      <c r="Z183" s="905"/>
      <c r="AA183" s="905"/>
      <c r="AB183" s="905"/>
      <c r="AC183" s="905"/>
      <c r="AD183" s="905"/>
      <c r="AE183" s="918"/>
      <c r="AF183" s="918"/>
      <c r="AG183" s="918"/>
    </row>
    <row r="184" spans="1:33">
      <c r="A184" s="901" t="s">
        <v>1059</v>
      </c>
      <c r="B184" s="902" t="s">
        <v>1056</v>
      </c>
      <c r="C184" s="904"/>
      <c r="D184" s="904"/>
      <c r="E184" s="917"/>
      <c r="F184" s="907"/>
      <c r="G184" s="907"/>
      <c r="H184" s="907"/>
      <c r="I184" s="907"/>
      <c r="J184" s="907"/>
      <c r="K184" s="907"/>
      <c r="L184" s="907"/>
      <c r="M184" s="907"/>
      <c r="N184" s="907"/>
      <c r="O184" s="907"/>
      <c r="P184" s="907"/>
      <c r="Q184" s="907"/>
      <c r="R184" s="906"/>
      <c r="S184" s="905"/>
      <c r="T184" s="905"/>
      <c r="U184" s="905"/>
      <c r="V184" s="905"/>
      <c r="W184" s="905"/>
      <c r="X184" s="905"/>
      <c r="Y184" s="905"/>
      <c r="Z184" s="905"/>
      <c r="AA184" s="905"/>
      <c r="AB184" s="905"/>
      <c r="AC184" s="905"/>
      <c r="AD184" s="905"/>
      <c r="AE184" s="918"/>
      <c r="AF184" s="918"/>
      <c r="AG184" s="918"/>
    </row>
    <row r="185" spans="1:33">
      <c r="A185" s="901" t="s">
        <v>1059</v>
      </c>
      <c r="B185" s="902" t="s">
        <v>1057</v>
      </c>
      <c r="C185" s="904"/>
      <c r="D185" s="904"/>
      <c r="E185" s="917"/>
      <c r="F185" s="907"/>
      <c r="G185" s="907"/>
      <c r="H185" s="907"/>
      <c r="I185" s="907"/>
      <c r="J185" s="907"/>
      <c r="K185" s="907"/>
      <c r="L185" s="907"/>
      <c r="M185" s="907"/>
      <c r="N185" s="907"/>
      <c r="O185" s="907"/>
      <c r="P185" s="907"/>
      <c r="Q185" s="907"/>
      <c r="R185" s="907"/>
      <c r="S185" s="906"/>
      <c r="T185" s="905"/>
      <c r="U185" s="905"/>
      <c r="V185" s="905"/>
      <c r="W185" s="905"/>
      <c r="X185" s="905"/>
      <c r="Y185" s="905"/>
      <c r="Z185" s="905"/>
      <c r="AA185" s="905"/>
      <c r="AB185" s="905"/>
      <c r="AC185" s="905"/>
      <c r="AD185" s="905"/>
      <c r="AE185" s="918"/>
      <c r="AF185" s="918"/>
      <c r="AG185" s="918"/>
    </row>
    <row r="186" spans="1:33">
      <c r="A186" s="901" t="s">
        <v>1059</v>
      </c>
      <c r="B186" s="902" t="s">
        <v>1060</v>
      </c>
      <c r="C186" s="919"/>
      <c r="D186" s="904"/>
      <c r="E186" s="917"/>
      <c r="F186" s="907"/>
      <c r="G186" s="907"/>
      <c r="H186" s="907"/>
      <c r="I186" s="907"/>
      <c r="J186" s="907"/>
      <c r="K186" s="907"/>
      <c r="L186" s="907"/>
      <c r="M186" s="907"/>
      <c r="N186" s="907"/>
      <c r="O186" s="907"/>
      <c r="P186" s="907"/>
      <c r="Q186" s="907"/>
      <c r="R186" s="907"/>
      <c r="S186" s="907"/>
      <c r="T186" s="906"/>
      <c r="U186" s="905"/>
      <c r="V186" s="905"/>
      <c r="W186" s="905"/>
      <c r="X186" s="905"/>
      <c r="Y186" s="905"/>
      <c r="Z186" s="905"/>
      <c r="AA186" s="905"/>
      <c r="AB186" s="905"/>
      <c r="AC186" s="905"/>
      <c r="AD186" s="905"/>
      <c r="AE186" s="918"/>
      <c r="AF186" s="918"/>
      <c r="AG186" s="918"/>
    </row>
    <row r="187" spans="1:33">
      <c r="A187" s="901" t="s">
        <v>1059</v>
      </c>
      <c r="B187" s="902" t="s">
        <v>1061</v>
      </c>
      <c r="C187" s="904"/>
      <c r="D187" s="904"/>
      <c r="E187" s="917"/>
      <c r="F187" s="907"/>
      <c r="G187" s="907"/>
      <c r="H187" s="907"/>
      <c r="I187" s="907"/>
      <c r="J187" s="907"/>
      <c r="K187" s="907"/>
      <c r="L187" s="907"/>
      <c r="M187" s="907"/>
      <c r="N187" s="907"/>
      <c r="O187" s="907"/>
      <c r="P187" s="907"/>
      <c r="Q187" s="907"/>
      <c r="R187" s="907"/>
      <c r="S187" s="907"/>
      <c r="T187" s="907"/>
      <c r="U187" s="906"/>
      <c r="V187" s="905"/>
      <c r="W187" s="905"/>
      <c r="X187" s="905"/>
      <c r="Y187" s="905"/>
      <c r="Z187" s="905"/>
      <c r="AA187" s="905"/>
      <c r="AB187" s="905"/>
      <c r="AC187" s="905"/>
      <c r="AD187" s="905"/>
      <c r="AE187" s="918"/>
      <c r="AF187" s="918"/>
      <c r="AG187" s="918"/>
    </row>
    <row r="188" spans="1:33">
      <c r="A188" s="901" t="s">
        <v>1059</v>
      </c>
      <c r="B188" s="902" t="s">
        <v>1062</v>
      </c>
      <c r="C188" s="904"/>
      <c r="D188" s="904"/>
      <c r="E188" s="917"/>
      <c r="F188" s="907"/>
      <c r="G188" s="907"/>
      <c r="H188" s="907"/>
      <c r="I188" s="907"/>
      <c r="J188" s="907"/>
      <c r="K188" s="907"/>
      <c r="L188" s="907"/>
      <c r="M188" s="907"/>
      <c r="N188" s="907"/>
      <c r="O188" s="907"/>
      <c r="P188" s="907"/>
      <c r="Q188" s="907"/>
      <c r="R188" s="907"/>
      <c r="S188" s="907"/>
      <c r="T188" s="907"/>
      <c r="U188" s="907"/>
      <c r="V188" s="906"/>
      <c r="W188" s="905"/>
      <c r="X188" s="905"/>
      <c r="Y188" s="905"/>
      <c r="Z188" s="905"/>
      <c r="AA188" s="905"/>
      <c r="AB188" s="905"/>
      <c r="AC188" s="905"/>
      <c r="AD188" s="905"/>
      <c r="AE188" s="918"/>
      <c r="AF188" s="918"/>
      <c r="AG188" s="918"/>
    </row>
    <row r="189" spans="1:33">
      <c r="A189" s="901" t="s">
        <v>1059</v>
      </c>
      <c r="B189" s="902" t="s">
        <v>515</v>
      </c>
      <c r="C189" s="904"/>
      <c r="D189" s="904"/>
      <c r="E189" s="917"/>
      <c r="F189" s="907"/>
      <c r="G189" s="907"/>
      <c r="H189" s="907"/>
      <c r="I189" s="907"/>
      <c r="J189" s="907"/>
      <c r="K189" s="907"/>
      <c r="L189" s="907"/>
      <c r="M189" s="907"/>
      <c r="N189" s="907"/>
      <c r="O189" s="907"/>
      <c r="P189" s="907"/>
      <c r="Q189" s="907"/>
      <c r="R189" s="907"/>
      <c r="S189" s="907"/>
      <c r="T189" s="907"/>
      <c r="U189" s="907"/>
      <c r="V189" s="907"/>
      <c r="W189" s="906"/>
      <c r="X189" s="905"/>
      <c r="Y189" s="905"/>
      <c r="Z189" s="905"/>
      <c r="AA189" s="905"/>
      <c r="AB189" s="905"/>
      <c r="AC189" s="905"/>
      <c r="AD189" s="905"/>
      <c r="AE189" s="918"/>
      <c r="AF189" s="918"/>
      <c r="AG189" s="918"/>
    </row>
    <row r="190" spans="1:33">
      <c r="A190" s="901" t="s">
        <v>1059</v>
      </c>
      <c r="B190" s="902" t="s">
        <v>516</v>
      </c>
      <c r="C190" s="904"/>
      <c r="D190" s="904"/>
      <c r="E190" s="917"/>
      <c r="F190" s="907"/>
      <c r="G190" s="907"/>
      <c r="H190" s="907"/>
      <c r="I190" s="907"/>
      <c r="J190" s="907"/>
      <c r="K190" s="907"/>
      <c r="L190" s="907"/>
      <c r="M190" s="907"/>
      <c r="N190" s="907"/>
      <c r="O190" s="907"/>
      <c r="P190" s="907"/>
      <c r="Q190" s="907"/>
      <c r="R190" s="907"/>
      <c r="S190" s="907"/>
      <c r="T190" s="907"/>
      <c r="U190" s="907"/>
      <c r="V190" s="907"/>
      <c r="W190" s="907"/>
      <c r="X190" s="906"/>
      <c r="Y190" s="905"/>
      <c r="Z190" s="905"/>
      <c r="AA190" s="905"/>
      <c r="AB190" s="905"/>
      <c r="AC190" s="905"/>
      <c r="AD190" s="905"/>
      <c r="AE190" s="918"/>
      <c r="AF190" s="918"/>
      <c r="AG190" s="918"/>
    </row>
    <row r="191" spans="1:33">
      <c r="A191" s="901" t="s">
        <v>1059</v>
      </c>
      <c r="B191" s="902" t="s">
        <v>1063</v>
      </c>
      <c r="C191" s="904"/>
      <c r="D191" s="904"/>
      <c r="E191" s="917"/>
      <c r="F191" s="907"/>
      <c r="G191" s="907"/>
      <c r="H191" s="907"/>
      <c r="I191" s="907"/>
      <c r="J191" s="907"/>
      <c r="K191" s="907"/>
      <c r="L191" s="907"/>
      <c r="M191" s="907"/>
      <c r="N191" s="907"/>
      <c r="O191" s="907"/>
      <c r="P191" s="907"/>
      <c r="Q191" s="907"/>
      <c r="R191" s="907"/>
      <c r="S191" s="907"/>
      <c r="T191" s="907"/>
      <c r="U191" s="907"/>
      <c r="V191" s="907"/>
      <c r="W191" s="907"/>
      <c r="X191" s="907"/>
      <c r="Y191" s="906"/>
      <c r="Z191" s="905"/>
      <c r="AA191" s="905"/>
      <c r="AB191" s="905"/>
      <c r="AC191" s="905"/>
      <c r="AD191" s="905"/>
      <c r="AE191" s="918"/>
      <c r="AF191" s="918"/>
      <c r="AG191" s="918"/>
    </row>
    <row r="192" spans="1:33">
      <c r="A192" s="901" t="s">
        <v>1059</v>
      </c>
      <c r="B192" s="902" t="s">
        <v>1064</v>
      </c>
      <c r="C192" s="904"/>
      <c r="D192" s="904"/>
      <c r="E192" s="920"/>
      <c r="F192" s="907"/>
      <c r="G192" s="907"/>
      <c r="H192" s="907"/>
      <c r="I192" s="907"/>
      <c r="J192" s="907"/>
      <c r="K192" s="907"/>
      <c r="L192" s="907"/>
      <c r="M192" s="907"/>
      <c r="N192" s="907"/>
      <c r="O192" s="907"/>
      <c r="P192" s="907"/>
      <c r="Q192" s="907"/>
      <c r="R192" s="907"/>
      <c r="S192" s="907"/>
      <c r="T192" s="907"/>
      <c r="U192" s="907"/>
      <c r="V192" s="907"/>
      <c r="W192" s="907"/>
      <c r="X192" s="907"/>
      <c r="Y192" s="907"/>
      <c r="Z192" s="906"/>
      <c r="AA192" s="905"/>
      <c r="AB192" s="905"/>
      <c r="AC192" s="905"/>
      <c r="AD192" s="905"/>
      <c r="AE192" s="904"/>
      <c r="AF192" s="904"/>
      <c r="AG192" s="918"/>
    </row>
    <row r="193" spans="1:33">
      <c r="A193" s="901" t="s">
        <v>1059</v>
      </c>
      <c r="B193" s="902" t="s">
        <v>1065</v>
      </c>
      <c r="C193" s="904"/>
      <c r="D193" s="904"/>
      <c r="E193" s="920"/>
      <c r="F193" s="907"/>
      <c r="G193" s="907"/>
      <c r="H193" s="907"/>
      <c r="I193" s="907"/>
      <c r="J193" s="907"/>
      <c r="K193" s="907"/>
      <c r="L193" s="907"/>
      <c r="M193" s="907"/>
      <c r="N193" s="907"/>
      <c r="O193" s="907"/>
      <c r="P193" s="907"/>
      <c r="Q193" s="907"/>
      <c r="R193" s="907"/>
      <c r="S193" s="907"/>
      <c r="T193" s="907"/>
      <c r="U193" s="907"/>
      <c r="V193" s="907"/>
      <c r="W193" s="907"/>
      <c r="X193" s="907"/>
      <c r="Y193" s="907"/>
      <c r="Z193" s="907"/>
      <c r="AA193" s="906"/>
      <c r="AB193" s="905"/>
      <c r="AC193" s="905"/>
      <c r="AD193" s="905"/>
      <c r="AE193" s="904"/>
      <c r="AF193" s="904"/>
      <c r="AG193" s="918"/>
    </row>
    <row r="194" spans="1:33">
      <c r="A194" s="901" t="s">
        <v>1059</v>
      </c>
      <c r="B194" s="902" t="s">
        <v>1066</v>
      </c>
      <c r="C194" s="904"/>
      <c r="D194" s="904"/>
      <c r="E194" s="920"/>
      <c r="F194" s="907"/>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6"/>
      <c r="AC194" s="905"/>
      <c r="AD194" s="905"/>
      <c r="AE194" s="904"/>
      <c r="AF194" s="904"/>
      <c r="AG194" s="918"/>
    </row>
    <row r="195" spans="1:33">
      <c r="A195" s="901" t="s">
        <v>1059</v>
      </c>
      <c r="B195" s="902" t="s">
        <v>1067</v>
      </c>
      <c r="C195" s="904"/>
      <c r="D195" s="904"/>
      <c r="E195" s="920"/>
      <c r="F195" s="907"/>
      <c r="G195" s="907"/>
      <c r="H195" s="907"/>
      <c r="I195" s="907"/>
      <c r="J195" s="907"/>
      <c r="K195" s="907"/>
      <c r="L195" s="907"/>
      <c r="M195" s="907"/>
      <c r="N195" s="907"/>
      <c r="O195" s="907"/>
      <c r="P195" s="907"/>
      <c r="Q195" s="907"/>
      <c r="R195" s="907"/>
      <c r="S195" s="907"/>
      <c r="T195" s="907"/>
      <c r="U195" s="907"/>
      <c r="V195" s="907"/>
      <c r="W195" s="907"/>
      <c r="X195" s="907"/>
      <c r="Y195" s="907"/>
      <c r="Z195" s="907"/>
      <c r="AA195" s="907"/>
      <c r="AB195" s="907"/>
      <c r="AC195" s="906"/>
      <c r="AD195" s="905"/>
      <c r="AE195" s="904"/>
      <c r="AF195" s="904"/>
      <c r="AG195" s="918"/>
    </row>
    <row r="196" spans="1:33">
      <c r="A196" s="901" t="s">
        <v>1059</v>
      </c>
      <c r="B196" s="902" t="s">
        <v>1068</v>
      </c>
      <c r="C196" s="904"/>
      <c r="D196" s="904"/>
      <c r="E196" s="920"/>
      <c r="F196" s="907"/>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6"/>
      <c r="AE196" s="904"/>
      <c r="AF196" s="904"/>
      <c r="AG196" s="918"/>
    </row>
    <row r="197" spans="1:33" ht="13">
      <c r="A197" s="909" t="s">
        <v>369</v>
      </c>
      <c r="B197" s="910" t="s">
        <v>272</v>
      </c>
      <c r="C197" s="911"/>
      <c r="D197" s="911"/>
      <c r="E197" s="911"/>
      <c r="F197" s="911"/>
      <c r="G197" s="911"/>
      <c r="H197" s="911"/>
      <c r="I197" s="911"/>
      <c r="J197" s="911"/>
      <c r="K197" s="911"/>
      <c r="L197" s="911"/>
      <c r="M197" s="911"/>
      <c r="N197" s="911"/>
      <c r="O197" s="911"/>
      <c r="P197" s="911"/>
      <c r="Q197" s="911"/>
      <c r="R197" s="911"/>
      <c r="S197" s="911"/>
      <c r="T197" s="911"/>
      <c r="U197" s="911"/>
      <c r="V197" s="911"/>
      <c r="W197" s="911"/>
      <c r="X197" s="911"/>
      <c r="Y197" s="911"/>
      <c r="Z197" s="911"/>
      <c r="AA197" s="911"/>
      <c r="AB197" s="911"/>
      <c r="AC197" s="911"/>
      <c r="AD197" s="911"/>
      <c r="AE197" s="911"/>
      <c r="AF197" s="911"/>
      <c r="AG197" s="911"/>
    </row>
    <row r="198" spans="1:33">
      <c r="C198" s="923"/>
    </row>
    <row r="199" spans="1:33">
      <c r="C199" s="912"/>
    </row>
    <row r="201" spans="1:33" ht="13">
      <c r="B201" s="896" t="s">
        <v>1075</v>
      </c>
      <c r="F201" s="897" t="s">
        <v>10</v>
      </c>
    </row>
    <row r="202" spans="1:33" ht="26.15" customHeight="1">
      <c r="A202" s="898"/>
      <c r="B202" s="916" t="s">
        <v>414</v>
      </c>
      <c r="C202" s="1899" t="s">
        <v>1070</v>
      </c>
      <c r="D202" s="1899" t="s">
        <v>1038</v>
      </c>
      <c r="E202" s="1899" t="s">
        <v>1039</v>
      </c>
      <c r="F202" s="1901" t="s">
        <v>1040</v>
      </c>
      <c r="G202" s="1902"/>
      <c r="H202" s="1902"/>
      <c r="I202" s="1902"/>
      <c r="J202" s="1902"/>
      <c r="K202" s="1902"/>
      <c r="L202" s="1902"/>
      <c r="M202" s="1902"/>
      <c r="N202" s="1902"/>
      <c r="O202" s="1902"/>
      <c r="P202" s="1902"/>
      <c r="Q202" s="1902"/>
      <c r="R202" s="1902"/>
      <c r="S202" s="1902"/>
      <c r="T202" s="1902"/>
      <c r="U202" s="1902"/>
      <c r="V202" s="1902"/>
      <c r="W202" s="1902"/>
      <c r="X202" s="1902"/>
      <c r="Y202" s="1902"/>
      <c r="Z202" s="1902"/>
      <c r="AA202" s="1902"/>
      <c r="AB202" s="1902"/>
      <c r="AC202" s="1902"/>
      <c r="AD202" s="1903"/>
      <c r="AE202" s="899" t="s">
        <v>1041</v>
      </c>
      <c r="AF202" s="899" t="s">
        <v>1042</v>
      </c>
      <c r="AG202" s="899" t="s">
        <v>1043</v>
      </c>
    </row>
    <row r="203" spans="1:33" ht="12.9" customHeight="1">
      <c r="A203" s="898"/>
      <c r="B203" s="916"/>
      <c r="C203" s="1900"/>
      <c r="D203" s="1900"/>
      <c r="E203" s="1900"/>
      <c r="F203" s="900" t="s">
        <v>1044</v>
      </c>
      <c r="G203" s="900" t="s">
        <v>1045</v>
      </c>
      <c r="H203" s="900" t="s">
        <v>1046</v>
      </c>
      <c r="I203" s="900" t="s">
        <v>1047</v>
      </c>
      <c r="J203" s="900" t="s">
        <v>1048</v>
      </c>
      <c r="K203" s="900" t="s">
        <v>1049</v>
      </c>
      <c r="L203" s="900" t="s">
        <v>1050</v>
      </c>
      <c r="M203" s="900" t="s">
        <v>1051</v>
      </c>
      <c r="N203" s="900" t="s">
        <v>1052</v>
      </c>
      <c r="O203" s="900" t="s">
        <v>1053</v>
      </c>
      <c r="P203" s="900" t="s">
        <v>1054</v>
      </c>
      <c r="Q203" s="900" t="s">
        <v>1055</v>
      </c>
      <c r="R203" s="900" t="s">
        <v>1056</v>
      </c>
      <c r="S203" s="900" t="s">
        <v>1057</v>
      </c>
      <c r="T203" s="900" t="s">
        <v>326</v>
      </c>
      <c r="U203" s="900" t="s">
        <v>507</v>
      </c>
      <c r="V203" s="900" t="s">
        <v>508</v>
      </c>
      <c r="W203" s="900" t="s">
        <v>509</v>
      </c>
      <c r="X203" s="900" t="s">
        <v>510</v>
      </c>
      <c r="Y203" s="900" t="s">
        <v>511</v>
      </c>
      <c r="Z203" s="900" t="s">
        <v>947</v>
      </c>
      <c r="AA203" s="900" t="s">
        <v>948</v>
      </c>
      <c r="AB203" s="900" t="s">
        <v>949</v>
      </c>
      <c r="AC203" s="900" t="s">
        <v>950</v>
      </c>
      <c r="AD203" s="900" t="s">
        <v>951</v>
      </c>
      <c r="AE203" s="899"/>
      <c r="AF203" s="899"/>
      <c r="AG203" s="899"/>
    </row>
    <row r="204" spans="1:33">
      <c r="A204" s="901" t="s">
        <v>1058</v>
      </c>
      <c r="B204" s="902">
        <v>2005</v>
      </c>
      <c r="C204" s="901"/>
      <c r="D204" s="901"/>
      <c r="E204" s="917"/>
      <c r="F204" s="905"/>
      <c r="G204" s="905"/>
      <c r="H204" s="905"/>
      <c r="I204" s="905"/>
      <c r="J204" s="905"/>
      <c r="K204" s="905"/>
      <c r="L204" s="905"/>
      <c r="M204" s="905"/>
      <c r="N204" s="905"/>
      <c r="O204" s="905"/>
      <c r="P204" s="905"/>
      <c r="Q204" s="905"/>
      <c r="R204" s="905"/>
      <c r="S204" s="905"/>
      <c r="T204" s="905"/>
      <c r="U204" s="905"/>
      <c r="V204" s="905"/>
      <c r="W204" s="905"/>
      <c r="X204" s="905"/>
      <c r="Y204" s="905"/>
      <c r="Z204" s="905"/>
      <c r="AA204" s="905"/>
      <c r="AB204" s="905"/>
      <c r="AC204" s="905"/>
      <c r="AD204" s="905"/>
      <c r="AE204" s="918"/>
      <c r="AF204" s="918"/>
      <c r="AG204" s="918"/>
    </row>
    <row r="205" spans="1:33">
      <c r="A205" s="901" t="s">
        <v>1059</v>
      </c>
      <c r="B205" s="902" t="s">
        <v>1044</v>
      </c>
      <c r="C205" s="901"/>
      <c r="D205" s="901"/>
      <c r="E205" s="917"/>
      <c r="F205" s="906"/>
      <c r="G205" s="905"/>
      <c r="H205" s="905"/>
      <c r="I205" s="905"/>
      <c r="J205" s="905"/>
      <c r="K205" s="905"/>
      <c r="L205" s="905"/>
      <c r="M205" s="905"/>
      <c r="N205" s="905"/>
      <c r="O205" s="905"/>
      <c r="P205" s="905"/>
      <c r="Q205" s="905"/>
      <c r="R205" s="905"/>
      <c r="S205" s="905"/>
      <c r="T205" s="905"/>
      <c r="U205" s="905"/>
      <c r="V205" s="905"/>
      <c r="W205" s="905"/>
      <c r="X205" s="905"/>
      <c r="Y205" s="905"/>
      <c r="Z205" s="905"/>
      <c r="AA205" s="905"/>
      <c r="AB205" s="905"/>
      <c r="AC205" s="905"/>
      <c r="AD205" s="905"/>
      <c r="AE205" s="918"/>
      <c r="AF205" s="918"/>
      <c r="AG205" s="918"/>
    </row>
    <row r="206" spans="1:33">
      <c r="A206" s="901" t="s">
        <v>1059</v>
      </c>
      <c r="B206" s="902" t="s">
        <v>1045</v>
      </c>
      <c r="C206" s="901"/>
      <c r="D206" s="901"/>
      <c r="E206" s="917"/>
      <c r="F206" s="907"/>
      <c r="G206" s="906"/>
      <c r="H206" s="905"/>
      <c r="I206" s="905"/>
      <c r="J206" s="905"/>
      <c r="K206" s="905"/>
      <c r="L206" s="905"/>
      <c r="M206" s="905"/>
      <c r="N206" s="905"/>
      <c r="O206" s="905"/>
      <c r="P206" s="905"/>
      <c r="Q206" s="905"/>
      <c r="R206" s="905"/>
      <c r="S206" s="905"/>
      <c r="T206" s="905"/>
      <c r="U206" s="905"/>
      <c r="V206" s="905"/>
      <c r="W206" s="905"/>
      <c r="X206" s="905"/>
      <c r="Y206" s="905"/>
      <c r="Z206" s="905"/>
      <c r="AA206" s="905"/>
      <c r="AB206" s="905"/>
      <c r="AC206" s="905"/>
      <c r="AD206" s="905"/>
      <c r="AE206" s="918"/>
      <c r="AF206" s="918"/>
      <c r="AG206" s="918"/>
    </row>
    <row r="207" spans="1:33">
      <c r="A207" s="901" t="s">
        <v>1059</v>
      </c>
      <c r="B207" s="902" t="s">
        <v>1046</v>
      </c>
      <c r="C207" s="901"/>
      <c r="D207" s="901"/>
      <c r="E207" s="917"/>
      <c r="F207" s="907"/>
      <c r="G207" s="907"/>
      <c r="H207" s="906"/>
      <c r="I207" s="905"/>
      <c r="J207" s="905"/>
      <c r="K207" s="905"/>
      <c r="L207" s="905"/>
      <c r="M207" s="905"/>
      <c r="N207" s="905"/>
      <c r="O207" s="905"/>
      <c r="P207" s="905"/>
      <c r="Q207" s="905"/>
      <c r="R207" s="905"/>
      <c r="S207" s="905"/>
      <c r="T207" s="905"/>
      <c r="U207" s="905"/>
      <c r="V207" s="905"/>
      <c r="W207" s="905"/>
      <c r="X207" s="905"/>
      <c r="Y207" s="905"/>
      <c r="Z207" s="905"/>
      <c r="AA207" s="905"/>
      <c r="AB207" s="905"/>
      <c r="AC207" s="905"/>
      <c r="AD207" s="905"/>
      <c r="AE207" s="918"/>
      <c r="AF207" s="918"/>
      <c r="AG207" s="918"/>
    </row>
    <row r="208" spans="1:33">
      <c r="A208" s="901" t="s">
        <v>1059</v>
      </c>
      <c r="B208" s="902" t="s">
        <v>1047</v>
      </c>
      <c r="C208" s="901"/>
      <c r="D208" s="901"/>
      <c r="E208" s="917"/>
      <c r="F208" s="907"/>
      <c r="G208" s="907"/>
      <c r="H208" s="907"/>
      <c r="I208" s="906"/>
      <c r="J208" s="905"/>
      <c r="K208" s="905"/>
      <c r="L208" s="905"/>
      <c r="M208" s="905"/>
      <c r="N208" s="905"/>
      <c r="O208" s="905"/>
      <c r="P208" s="905"/>
      <c r="Q208" s="905"/>
      <c r="R208" s="905"/>
      <c r="S208" s="905"/>
      <c r="T208" s="905"/>
      <c r="U208" s="905"/>
      <c r="V208" s="905"/>
      <c r="W208" s="905"/>
      <c r="X208" s="905"/>
      <c r="Y208" s="905"/>
      <c r="Z208" s="905"/>
      <c r="AA208" s="905"/>
      <c r="AB208" s="905"/>
      <c r="AC208" s="905"/>
      <c r="AD208" s="905"/>
      <c r="AE208" s="918"/>
      <c r="AF208" s="918"/>
      <c r="AG208" s="918"/>
    </row>
    <row r="209" spans="1:33">
      <c r="A209" s="901" t="s">
        <v>1059</v>
      </c>
      <c r="B209" s="902" t="s">
        <v>1048</v>
      </c>
      <c r="C209" s="901"/>
      <c r="D209" s="901"/>
      <c r="E209" s="917"/>
      <c r="F209" s="907"/>
      <c r="G209" s="907"/>
      <c r="H209" s="907"/>
      <c r="I209" s="907"/>
      <c r="J209" s="906"/>
      <c r="K209" s="905"/>
      <c r="L209" s="905"/>
      <c r="M209" s="905"/>
      <c r="N209" s="905"/>
      <c r="O209" s="905"/>
      <c r="P209" s="905"/>
      <c r="Q209" s="905"/>
      <c r="R209" s="905"/>
      <c r="S209" s="905"/>
      <c r="T209" s="905"/>
      <c r="U209" s="905"/>
      <c r="V209" s="905"/>
      <c r="W209" s="905"/>
      <c r="X209" s="905"/>
      <c r="Y209" s="905"/>
      <c r="Z209" s="905"/>
      <c r="AA209" s="905"/>
      <c r="AB209" s="905"/>
      <c r="AC209" s="905"/>
      <c r="AD209" s="905"/>
      <c r="AE209" s="918"/>
      <c r="AF209" s="918"/>
      <c r="AG209" s="918"/>
    </row>
    <row r="210" spans="1:33">
      <c r="A210" s="901" t="s">
        <v>1059</v>
      </c>
      <c r="B210" s="902" t="s">
        <v>1049</v>
      </c>
      <c r="C210" s="901"/>
      <c r="D210" s="901"/>
      <c r="E210" s="917"/>
      <c r="F210" s="907"/>
      <c r="G210" s="907"/>
      <c r="H210" s="907"/>
      <c r="I210" s="907"/>
      <c r="J210" s="907"/>
      <c r="K210" s="906"/>
      <c r="L210" s="905"/>
      <c r="M210" s="905"/>
      <c r="N210" s="905"/>
      <c r="O210" s="905"/>
      <c r="P210" s="905"/>
      <c r="Q210" s="905"/>
      <c r="R210" s="905"/>
      <c r="S210" s="905"/>
      <c r="T210" s="905"/>
      <c r="U210" s="905"/>
      <c r="V210" s="905"/>
      <c r="W210" s="905"/>
      <c r="X210" s="905"/>
      <c r="Y210" s="905"/>
      <c r="Z210" s="905"/>
      <c r="AA210" s="905"/>
      <c r="AB210" s="905"/>
      <c r="AC210" s="905"/>
      <c r="AD210" s="905"/>
      <c r="AE210" s="918"/>
      <c r="AF210" s="918"/>
      <c r="AG210" s="918"/>
    </row>
    <row r="211" spans="1:33">
      <c r="A211" s="901" t="s">
        <v>1059</v>
      </c>
      <c r="B211" s="902" t="s">
        <v>1050</v>
      </c>
      <c r="C211" s="901"/>
      <c r="D211" s="901"/>
      <c r="E211" s="917"/>
      <c r="F211" s="907"/>
      <c r="G211" s="907"/>
      <c r="H211" s="907"/>
      <c r="I211" s="907"/>
      <c r="J211" s="907"/>
      <c r="K211" s="907"/>
      <c r="L211" s="906"/>
      <c r="M211" s="905"/>
      <c r="N211" s="905"/>
      <c r="O211" s="905"/>
      <c r="P211" s="905"/>
      <c r="Q211" s="905"/>
      <c r="R211" s="905"/>
      <c r="S211" s="905"/>
      <c r="T211" s="905"/>
      <c r="U211" s="905"/>
      <c r="V211" s="905"/>
      <c r="W211" s="905"/>
      <c r="X211" s="905"/>
      <c r="Y211" s="905"/>
      <c r="Z211" s="905"/>
      <c r="AA211" s="905"/>
      <c r="AB211" s="905"/>
      <c r="AC211" s="905"/>
      <c r="AD211" s="905"/>
      <c r="AE211" s="918"/>
      <c r="AF211" s="918"/>
      <c r="AG211" s="918"/>
    </row>
    <row r="212" spans="1:33">
      <c r="A212" s="901" t="s">
        <v>1059</v>
      </c>
      <c r="B212" s="902" t="s">
        <v>1051</v>
      </c>
      <c r="C212" s="901"/>
      <c r="D212" s="901"/>
      <c r="E212" s="917"/>
      <c r="F212" s="907"/>
      <c r="G212" s="907"/>
      <c r="H212" s="907"/>
      <c r="I212" s="907"/>
      <c r="J212" s="907"/>
      <c r="K212" s="907"/>
      <c r="L212" s="907"/>
      <c r="M212" s="906"/>
      <c r="N212" s="905"/>
      <c r="O212" s="905"/>
      <c r="P212" s="905"/>
      <c r="Q212" s="905"/>
      <c r="R212" s="905"/>
      <c r="S212" s="905"/>
      <c r="T212" s="905"/>
      <c r="U212" s="905"/>
      <c r="V212" s="905"/>
      <c r="W212" s="905"/>
      <c r="X212" s="905"/>
      <c r="Y212" s="905"/>
      <c r="Z212" s="905"/>
      <c r="AA212" s="905"/>
      <c r="AB212" s="905"/>
      <c r="AC212" s="905"/>
      <c r="AD212" s="905"/>
      <c r="AE212" s="918"/>
      <c r="AF212" s="918"/>
      <c r="AG212" s="918"/>
    </row>
    <row r="213" spans="1:33">
      <c r="A213" s="901" t="s">
        <v>1059</v>
      </c>
      <c r="B213" s="902" t="s">
        <v>1052</v>
      </c>
      <c r="C213" s="901"/>
      <c r="D213" s="901"/>
      <c r="E213" s="917"/>
      <c r="F213" s="907"/>
      <c r="G213" s="907"/>
      <c r="H213" s="907"/>
      <c r="I213" s="907"/>
      <c r="J213" s="907"/>
      <c r="K213" s="907"/>
      <c r="L213" s="907"/>
      <c r="M213" s="907"/>
      <c r="N213" s="906"/>
      <c r="O213" s="905"/>
      <c r="P213" s="905"/>
      <c r="Q213" s="905"/>
      <c r="R213" s="905"/>
      <c r="S213" s="905"/>
      <c r="T213" s="905"/>
      <c r="U213" s="905"/>
      <c r="V213" s="905"/>
      <c r="W213" s="905"/>
      <c r="X213" s="905"/>
      <c r="Y213" s="905"/>
      <c r="Z213" s="905"/>
      <c r="AA213" s="905"/>
      <c r="AB213" s="905"/>
      <c r="AC213" s="905"/>
      <c r="AD213" s="905"/>
      <c r="AE213" s="918"/>
      <c r="AF213" s="918"/>
      <c r="AG213" s="918"/>
    </row>
    <row r="214" spans="1:33">
      <c r="A214" s="901" t="s">
        <v>1059</v>
      </c>
      <c r="B214" s="902" t="s">
        <v>1053</v>
      </c>
      <c r="C214" s="904"/>
      <c r="D214" s="901"/>
      <c r="E214" s="917"/>
      <c r="F214" s="907"/>
      <c r="G214" s="907"/>
      <c r="H214" s="907"/>
      <c r="I214" s="907"/>
      <c r="J214" s="907"/>
      <c r="K214" s="907"/>
      <c r="L214" s="907"/>
      <c r="M214" s="907"/>
      <c r="N214" s="907"/>
      <c r="O214" s="906"/>
      <c r="P214" s="905"/>
      <c r="Q214" s="905"/>
      <c r="R214" s="905"/>
      <c r="S214" s="905"/>
      <c r="T214" s="905"/>
      <c r="U214" s="905"/>
      <c r="V214" s="905"/>
      <c r="W214" s="905"/>
      <c r="X214" s="905"/>
      <c r="Y214" s="905"/>
      <c r="Z214" s="905"/>
      <c r="AA214" s="905"/>
      <c r="AB214" s="905"/>
      <c r="AC214" s="905"/>
      <c r="AD214" s="905"/>
      <c r="AE214" s="918"/>
      <c r="AF214" s="918"/>
      <c r="AG214" s="918"/>
    </row>
    <row r="215" spans="1:33">
      <c r="A215" s="901" t="s">
        <v>1059</v>
      </c>
      <c r="B215" s="902" t="s">
        <v>1054</v>
      </c>
      <c r="C215" s="904"/>
      <c r="D215" s="901"/>
      <c r="E215" s="917"/>
      <c r="F215" s="907"/>
      <c r="G215" s="907"/>
      <c r="H215" s="907"/>
      <c r="I215" s="907"/>
      <c r="J215" s="907"/>
      <c r="K215" s="907"/>
      <c r="L215" s="907"/>
      <c r="M215" s="907"/>
      <c r="N215" s="907"/>
      <c r="O215" s="907"/>
      <c r="P215" s="906"/>
      <c r="Q215" s="905"/>
      <c r="R215" s="905"/>
      <c r="S215" s="905"/>
      <c r="T215" s="905"/>
      <c r="U215" s="905"/>
      <c r="V215" s="905"/>
      <c r="W215" s="905"/>
      <c r="X215" s="905"/>
      <c r="Y215" s="905"/>
      <c r="Z215" s="905"/>
      <c r="AA215" s="905"/>
      <c r="AB215" s="905"/>
      <c r="AC215" s="905"/>
      <c r="AD215" s="905"/>
      <c r="AE215" s="918"/>
      <c r="AF215" s="918"/>
      <c r="AG215" s="918"/>
    </row>
    <row r="216" spans="1:33">
      <c r="A216" s="901" t="s">
        <v>1059</v>
      </c>
      <c r="B216" s="902" t="s">
        <v>1055</v>
      </c>
      <c r="C216" s="904"/>
      <c r="D216" s="904"/>
      <c r="E216" s="917"/>
      <c r="F216" s="907"/>
      <c r="G216" s="907"/>
      <c r="H216" s="907"/>
      <c r="I216" s="907"/>
      <c r="J216" s="907"/>
      <c r="K216" s="907"/>
      <c r="L216" s="907"/>
      <c r="M216" s="907"/>
      <c r="N216" s="907"/>
      <c r="O216" s="907"/>
      <c r="P216" s="907"/>
      <c r="Q216" s="906"/>
      <c r="R216" s="905"/>
      <c r="S216" s="905"/>
      <c r="T216" s="905"/>
      <c r="U216" s="905"/>
      <c r="V216" s="905"/>
      <c r="W216" s="905"/>
      <c r="X216" s="905"/>
      <c r="Y216" s="905"/>
      <c r="Z216" s="905"/>
      <c r="AA216" s="905"/>
      <c r="AB216" s="905"/>
      <c r="AC216" s="905"/>
      <c r="AD216" s="905"/>
      <c r="AE216" s="918"/>
      <c r="AF216" s="918"/>
      <c r="AG216" s="918"/>
    </row>
    <row r="217" spans="1:33">
      <c r="A217" s="901" t="s">
        <v>1059</v>
      </c>
      <c r="B217" s="902" t="s">
        <v>1056</v>
      </c>
      <c r="C217" s="904"/>
      <c r="D217" s="904"/>
      <c r="E217" s="917"/>
      <c r="F217" s="907"/>
      <c r="G217" s="907"/>
      <c r="H217" s="907"/>
      <c r="I217" s="907"/>
      <c r="J217" s="907"/>
      <c r="K217" s="907"/>
      <c r="L217" s="907"/>
      <c r="M217" s="907"/>
      <c r="N217" s="907"/>
      <c r="O217" s="907"/>
      <c r="P217" s="907"/>
      <c r="Q217" s="907"/>
      <c r="R217" s="906"/>
      <c r="S217" s="905"/>
      <c r="T217" s="905"/>
      <c r="U217" s="905"/>
      <c r="V217" s="905"/>
      <c r="W217" s="905"/>
      <c r="X217" s="905"/>
      <c r="Y217" s="905"/>
      <c r="Z217" s="905"/>
      <c r="AA217" s="905"/>
      <c r="AB217" s="905"/>
      <c r="AC217" s="905"/>
      <c r="AD217" s="905"/>
      <c r="AE217" s="918"/>
      <c r="AF217" s="918"/>
      <c r="AG217" s="918"/>
    </row>
    <row r="218" spans="1:33">
      <c r="A218" s="901" t="s">
        <v>1059</v>
      </c>
      <c r="B218" s="902" t="s">
        <v>1057</v>
      </c>
      <c r="C218" s="904"/>
      <c r="D218" s="904"/>
      <c r="E218" s="917"/>
      <c r="F218" s="907"/>
      <c r="G218" s="907"/>
      <c r="H218" s="907"/>
      <c r="I218" s="907"/>
      <c r="J218" s="907"/>
      <c r="K218" s="907"/>
      <c r="L218" s="907"/>
      <c r="M218" s="907"/>
      <c r="N218" s="907"/>
      <c r="O218" s="907"/>
      <c r="P218" s="907"/>
      <c r="Q218" s="907"/>
      <c r="R218" s="907"/>
      <c r="S218" s="906"/>
      <c r="T218" s="905"/>
      <c r="U218" s="905"/>
      <c r="V218" s="905"/>
      <c r="W218" s="905"/>
      <c r="X218" s="905"/>
      <c r="Y218" s="905"/>
      <c r="Z218" s="905"/>
      <c r="AA218" s="905"/>
      <c r="AB218" s="905"/>
      <c r="AC218" s="905"/>
      <c r="AD218" s="905"/>
      <c r="AE218" s="918"/>
      <c r="AF218" s="918"/>
      <c r="AG218" s="918"/>
    </row>
    <row r="219" spans="1:33">
      <c r="A219" s="901" t="s">
        <v>1059</v>
      </c>
      <c r="B219" s="902" t="s">
        <v>1060</v>
      </c>
      <c r="C219" s="904"/>
      <c r="D219" s="904"/>
      <c r="E219" s="920"/>
      <c r="F219" s="907"/>
      <c r="G219" s="907"/>
      <c r="H219" s="907"/>
      <c r="I219" s="907"/>
      <c r="J219" s="907"/>
      <c r="K219" s="907"/>
      <c r="L219" s="907"/>
      <c r="M219" s="907"/>
      <c r="N219" s="907"/>
      <c r="O219" s="907"/>
      <c r="P219" s="907"/>
      <c r="Q219" s="907"/>
      <c r="R219" s="907"/>
      <c r="S219" s="907"/>
      <c r="T219" s="906"/>
      <c r="U219" s="905"/>
      <c r="V219" s="905"/>
      <c r="W219" s="905"/>
      <c r="X219" s="905"/>
      <c r="Y219" s="905"/>
      <c r="Z219" s="905"/>
      <c r="AA219" s="905"/>
      <c r="AB219" s="905"/>
      <c r="AC219" s="905"/>
      <c r="AD219" s="905"/>
      <c r="AE219" s="918"/>
      <c r="AF219" s="918"/>
      <c r="AG219" s="918"/>
    </row>
    <row r="220" spans="1:33">
      <c r="A220" s="901" t="s">
        <v>1059</v>
      </c>
      <c r="B220" s="902" t="s">
        <v>1061</v>
      </c>
      <c r="C220" s="904"/>
      <c r="D220" s="904"/>
      <c r="E220" s="920"/>
      <c r="F220" s="907"/>
      <c r="G220" s="907"/>
      <c r="H220" s="907"/>
      <c r="I220" s="907"/>
      <c r="J220" s="907"/>
      <c r="K220" s="907"/>
      <c r="L220" s="907"/>
      <c r="M220" s="907"/>
      <c r="N220" s="907"/>
      <c r="O220" s="907"/>
      <c r="P220" s="907"/>
      <c r="Q220" s="907"/>
      <c r="R220" s="907"/>
      <c r="S220" s="907"/>
      <c r="T220" s="907"/>
      <c r="U220" s="906"/>
      <c r="V220" s="905"/>
      <c r="W220" s="905"/>
      <c r="X220" s="905"/>
      <c r="Y220" s="905"/>
      <c r="Z220" s="905"/>
      <c r="AA220" s="905"/>
      <c r="AB220" s="905"/>
      <c r="AC220" s="905"/>
      <c r="AD220" s="905"/>
      <c r="AE220" s="918"/>
      <c r="AF220" s="918"/>
      <c r="AG220" s="918"/>
    </row>
    <row r="221" spans="1:33">
      <c r="A221" s="901" t="s">
        <v>1059</v>
      </c>
      <c r="B221" s="902" t="s">
        <v>1062</v>
      </c>
      <c r="C221" s="904"/>
      <c r="D221" s="904"/>
      <c r="E221" s="920"/>
      <c r="F221" s="907"/>
      <c r="G221" s="907"/>
      <c r="H221" s="907"/>
      <c r="I221" s="907"/>
      <c r="J221" s="907"/>
      <c r="K221" s="907"/>
      <c r="L221" s="907"/>
      <c r="M221" s="907"/>
      <c r="N221" s="907"/>
      <c r="O221" s="907"/>
      <c r="P221" s="907"/>
      <c r="Q221" s="907"/>
      <c r="R221" s="907"/>
      <c r="S221" s="907"/>
      <c r="T221" s="907"/>
      <c r="U221" s="907"/>
      <c r="V221" s="906"/>
      <c r="W221" s="905"/>
      <c r="X221" s="905"/>
      <c r="Y221" s="905"/>
      <c r="Z221" s="905"/>
      <c r="AA221" s="905"/>
      <c r="AB221" s="905"/>
      <c r="AC221" s="905"/>
      <c r="AD221" s="905"/>
      <c r="AE221" s="918"/>
      <c r="AF221" s="918"/>
      <c r="AG221" s="918"/>
    </row>
    <row r="222" spans="1:33">
      <c r="A222" s="901" t="s">
        <v>1059</v>
      </c>
      <c r="B222" s="902" t="s">
        <v>515</v>
      </c>
      <c r="C222" s="904"/>
      <c r="D222" s="904"/>
      <c r="E222" s="920"/>
      <c r="F222" s="907"/>
      <c r="G222" s="907"/>
      <c r="H222" s="907"/>
      <c r="I222" s="907"/>
      <c r="J222" s="907"/>
      <c r="K222" s="907"/>
      <c r="L222" s="907"/>
      <c r="M222" s="907"/>
      <c r="N222" s="907"/>
      <c r="O222" s="907"/>
      <c r="P222" s="907"/>
      <c r="Q222" s="907"/>
      <c r="R222" s="907"/>
      <c r="S222" s="907"/>
      <c r="T222" s="907"/>
      <c r="U222" s="907"/>
      <c r="V222" s="907"/>
      <c r="W222" s="906"/>
      <c r="X222" s="905"/>
      <c r="Y222" s="905"/>
      <c r="Z222" s="905"/>
      <c r="AA222" s="905"/>
      <c r="AB222" s="905"/>
      <c r="AC222" s="905"/>
      <c r="AD222" s="905"/>
      <c r="AE222" s="918"/>
      <c r="AF222" s="918"/>
      <c r="AG222" s="918"/>
    </row>
    <row r="223" spans="1:33">
      <c r="A223" s="901" t="s">
        <v>1059</v>
      </c>
      <c r="B223" s="902" t="s">
        <v>516</v>
      </c>
      <c r="C223" s="904"/>
      <c r="D223" s="904"/>
      <c r="E223" s="920"/>
      <c r="F223" s="907"/>
      <c r="G223" s="907"/>
      <c r="H223" s="907"/>
      <c r="I223" s="907"/>
      <c r="J223" s="907"/>
      <c r="K223" s="907"/>
      <c r="L223" s="907"/>
      <c r="M223" s="907"/>
      <c r="N223" s="907"/>
      <c r="O223" s="907"/>
      <c r="P223" s="907"/>
      <c r="Q223" s="907"/>
      <c r="R223" s="907"/>
      <c r="S223" s="907"/>
      <c r="T223" s="907"/>
      <c r="U223" s="907"/>
      <c r="V223" s="907"/>
      <c r="W223" s="907"/>
      <c r="X223" s="906"/>
      <c r="Y223" s="905"/>
      <c r="Z223" s="905"/>
      <c r="AA223" s="905"/>
      <c r="AB223" s="905"/>
      <c r="AC223" s="905"/>
      <c r="AD223" s="905"/>
      <c r="AE223" s="918"/>
      <c r="AF223" s="918"/>
      <c r="AG223" s="918"/>
    </row>
    <row r="224" spans="1:33">
      <c r="A224" s="901" t="s">
        <v>1059</v>
      </c>
      <c r="B224" s="902" t="s">
        <v>1063</v>
      </c>
      <c r="C224" s="904"/>
      <c r="D224" s="904"/>
      <c r="E224" s="920"/>
      <c r="F224" s="907"/>
      <c r="G224" s="907"/>
      <c r="H224" s="907"/>
      <c r="I224" s="907"/>
      <c r="J224" s="907"/>
      <c r="K224" s="907"/>
      <c r="L224" s="907"/>
      <c r="M224" s="907"/>
      <c r="N224" s="907"/>
      <c r="O224" s="907"/>
      <c r="P224" s="907"/>
      <c r="Q224" s="907"/>
      <c r="R224" s="907"/>
      <c r="S224" s="907"/>
      <c r="T224" s="907"/>
      <c r="U224" s="907"/>
      <c r="V224" s="907"/>
      <c r="W224" s="907"/>
      <c r="X224" s="907"/>
      <c r="Y224" s="906"/>
      <c r="Z224" s="918"/>
      <c r="AA224" s="918"/>
      <c r="AB224" s="918"/>
      <c r="AC224" s="918"/>
      <c r="AD224" s="918"/>
      <c r="AE224" s="918"/>
      <c r="AF224" s="918"/>
      <c r="AG224" s="918"/>
    </row>
    <row r="225" spans="1:33">
      <c r="A225" s="901" t="s">
        <v>1059</v>
      </c>
      <c r="B225" s="902" t="s">
        <v>1064</v>
      </c>
      <c r="C225" s="904"/>
      <c r="D225" s="904"/>
      <c r="E225" s="920"/>
      <c r="F225" s="907"/>
      <c r="G225" s="907"/>
      <c r="H225" s="907"/>
      <c r="I225" s="907"/>
      <c r="J225" s="907"/>
      <c r="K225" s="907"/>
      <c r="L225" s="907"/>
      <c r="M225" s="907"/>
      <c r="N225" s="907"/>
      <c r="O225" s="907"/>
      <c r="P225" s="907"/>
      <c r="Q225" s="907"/>
      <c r="R225" s="907"/>
      <c r="S225" s="907"/>
      <c r="T225" s="907"/>
      <c r="U225" s="907"/>
      <c r="V225" s="907"/>
      <c r="W225" s="907"/>
      <c r="X225" s="907"/>
      <c r="Y225" s="907"/>
      <c r="Z225" s="906"/>
      <c r="AA225" s="905"/>
      <c r="AB225" s="905"/>
      <c r="AC225" s="905"/>
      <c r="AD225" s="905"/>
      <c r="AE225" s="904"/>
      <c r="AF225" s="904"/>
      <c r="AG225" s="918"/>
    </row>
    <row r="226" spans="1:33">
      <c r="A226" s="901" t="s">
        <v>1059</v>
      </c>
      <c r="B226" s="902" t="s">
        <v>1065</v>
      </c>
      <c r="C226" s="904"/>
      <c r="D226" s="904"/>
      <c r="E226" s="920"/>
      <c r="F226" s="907"/>
      <c r="G226" s="907"/>
      <c r="H226" s="907"/>
      <c r="I226" s="907"/>
      <c r="J226" s="907"/>
      <c r="K226" s="907"/>
      <c r="L226" s="907"/>
      <c r="M226" s="907"/>
      <c r="N226" s="907"/>
      <c r="O226" s="907"/>
      <c r="P226" s="907"/>
      <c r="Q226" s="907"/>
      <c r="R226" s="907"/>
      <c r="S226" s="907"/>
      <c r="T226" s="907"/>
      <c r="U226" s="907"/>
      <c r="V226" s="907"/>
      <c r="W226" s="907"/>
      <c r="X226" s="907"/>
      <c r="Y226" s="907"/>
      <c r="Z226" s="907"/>
      <c r="AA226" s="906"/>
      <c r="AB226" s="905"/>
      <c r="AC226" s="905"/>
      <c r="AD226" s="905"/>
      <c r="AE226" s="904"/>
      <c r="AF226" s="904"/>
      <c r="AG226" s="918"/>
    </row>
    <row r="227" spans="1:33">
      <c r="A227" s="901" t="s">
        <v>1059</v>
      </c>
      <c r="B227" s="902" t="s">
        <v>1066</v>
      </c>
      <c r="C227" s="904"/>
      <c r="D227" s="904"/>
      <c r="E227" s="920"/>
      <c r="F227" s="907"/>
      <c r="G227" s="907"/>
      <c r="H227" s="907"/>
      <c r="I227" s="907"/>
      <c r="J227" s="907"/>
      <c r="K227" s="907"/>
      <c r="L227" s="907"/>
      <c r="M227" s="907"/>
      <c r="N227" s="907"/>
      <c r="O227" s="907"/>
      <c r="P227" s="907"/>
      <c r="Q227" s="907"/>
      <c r="R227" s="907"/>
      <c r="S227" s="907"/>
      <c r="T227" s="907"/>
      <c r="U227" s="907"/>
      <c r="V227" s="907"/>
      <c r="W227" s="907"/>
      <c r="X227" s="907"/>
      <c r="Y227" s="907"/>
      <c r="Z227" s="907"/>
      <c r="AA227" s="907"/>
      <c r="AB227" s="906"/>
      <c r="AC227" s="905"/>
      <c r="AD227" s="905"/>
      <c r="AE227" s="904"/>
      <c r="AF227" s="904"/>
      <c r="AG227" s="918"/>
    </row>
    <row r="228" spans="1:33">
      <c r="A228" s="901" t="s">
        <v>1059</v>
      </c>
      <c r="B228" s="902" t="s">
        <v>1067</v>
      </c>
      <c r="C228" s="904"/>
      <c r="D228" s="904"/>
      <c r="E228" s="920"/>
      <c r="F228" s="907"/>
      <c r="G228" s="907"/>
      <c r="H228" s="907"/>
      <c r="I228" s="907"/>
      <c r="J228" s="907"/>
      <c r="K228" s="907"/>
      <c r="L228" s="907"/>
      <c r="M228" s="907"/>
      <c r="N228" s="907"/>
      <c r="O228" s="907"/>
      <c r="P228" s="907"/>
      <c r="Q228" s="907"/>
      <c r="R228" s="907"/>
      <c r="S228" s="907"/>
      <c r="T228" s="907"/>
      <c r="U228" s="907"/>
      <c r="V228" s="907"/>
      <c r="W228" s="907"/>
      <c r="X228" s="907"/>
      <c r="Y228" s="907"/>
      <c r="Z228" s="907"/>
      <c r="AA228" s="907"/>
      <c r="AB228" s="907"/>
      <c r="AC228" s="906"/>
      <c r="AD228" s="905"/>
      <c r="AE228" s="904"/>
      <c r="AF228" s="904"/>
      <c r="AG228" s="918"/>
    </row>
    <row r="229" spans="1:33">
      <c r="A229" s="901" t="s">
        <v>1059</v>
      </c>
      <c r="B229" s="902" t="s">
        <v>1068</v>
      </c>
      <c r="C229" s="904"/>
      <c r="D229" s="904"/>
      <c r="E229" s="920"/>
      <c r="F229" s="907"/>
      <c r="G229" s="907"/>
      <c r="H229" s="907"/>
      <c r="I229" s="907"/>
      <c r="J229" s="907"/>
      <c r="K229" s="907"/>
      <c r="L229" s="907"/>
      <c r="M229" s="907"/>
      <c r="N229" s="907"/>
      <c r="O229" s="907"/>
      <c r="P229" s="907"/>
      <c r="Q229" s="907"/>
      <c r="R229" s="907"/>
      <c r="S229" s="907"/>
      <c r="T229" s="907"/>
      <c r="U229" s="907"/>
      <c r="V229" s="907"/>
      <c r="W229" s="907"/>
      <c r="X229" s="907"/>
      <c r="Y229" s="907"/>
      <c r="Z229" s="907"/>
      <c r="AA229" s="907"/>
      <c r="AB229" s="907"/>
      <c r="AC229" s="907"/>
      <c r="AD229" s="906"/>
      <c r="AE229" s="904"/>
      <c r="AF229" s="904"/>
      <c r="AG229" s="918"/>
    </row>
    <row r="230" spans="1:33" ht="13">
      <c r="A230" s="909"/>
      <c r="B230" s="910" t="s">
        <v>272</v>
      </c>
      <c r="C230" s="911"/>
      <c r="D230" s="911"/>
      <c r="E230" s="911"/>
      <c r="F230" s="911"/>
      <c r="G230" s="911"/>
      <c r="H230" s="911"/>
      <c r="I230" s="911"/>
      <c r="J230" s="911"/>
      <c r="K230" s="911"/>
      <c r="L230" s="911"/>
      <c r="M230" s="911"/>
      <c r="N230" s="911"/>
      <c r="O230" s="911"/>
      <c r="P230" s="911"/>
      <c r="Q230" s="911"/>
      <c r="R230" s="911"/>
      <c r="S230" s="911"/>
      <c r="T230" s="911"/>
      <c r="U230" s="911"/>
      <c r="V230" s="911"/>
      <c r="W230" s="911"/>
      <c r="X230" s="911"/>
      <c r="Y230" s="911"/>
      <c r="Z230" s="911"/>
      <c r="AA230" s="911"/>
      <c r="AB230" s="911"/>
      <c r="AC230" s="911"/>
      <c r="AD230" s="911"/>
      <c r="AE230" s="911"/>
      <c r="AF230" s="911"/>
      <c r="AG230" s="911"/>
    </row>
    <row r="231" spans="1:33">
      <c r="C231" s="923"/>
    </row>
    <row r="234" spans="1:33" ht="13">
      <c r="B234" s="896" t="s">
        <v>1076</v>
      </c>
      <c r="F234" s="897" t="s">
        <v>10</v>
      </c>
    </row>
    <row r="235" spans="1:33" ht="26.15" customHeight="1">
      <c r="A235" s="898"/>
      <c r="B235" s="916" t="s">
        <v>414</v>
      </c>
      <c r="C235" s="1899" t="s">
        <v>1070</v>
      </c>
      <c r="D235" s="1899" t="s">
        <v>1038</v>
      </c>
      <c r="E235" s="1899" t="s">
        <v>1039</v>
      </c>
      <c r="F235" s="1901" t="s">
        <v>1040</v>
      </c>
      <c r="G235" s="1902"/>
      <c r="H235" s="1902"/>
      <c r="I235" s="1902"/>
      <c r="J235" s="1902"/>
      <c r="K235" s="1902"/>
      <c r="L235" s="1902"/>
      <c r="M235" s="1902"/>
      <c r="N235" s="1902"/>
      <c r="O235" s="1902"/>
      <c r="P235" s="1902"/>
      <c r="Q235" s="1902"/>
      <c r="R235" s="1902"/>
      <c r="S235" s="1902"/>
      <c r="T235" s="1902"/>
      <c r="U235" s="1902"/>
      <c r="V235" s="1902"/>
      <c r="W235" s="1902"/>
      <c r="X235" s="1902"/>
      <c r="Y235" s="1902"/>
      <c r="Z235" s="1902"/>
      <c r="AA235" s="1902"/>
      <c r="AB235" s="1902"/>
      <c r="AC235" s="1902"/>
      <c r="AD235" s="1903"/>
      <c r="AE235" s="899" t="s">
        <v>1041</v>
      </c>
      <c r="AF235" s="899" t="s">
        <v>1042</v>
      </c>
      <c r="AG235" s="899" t="s">
        <v>1043</v>
      </c>
    </row>
    <row r="236" spans="1:33" ht="12.9" customHeight="1">
      <c r="A236" s="898"/>
      <c r="B236" s="916"/>
      <c r="C236" s="1900"/>
      <c r="D236" s="1900"/>
      <c r="E236" s="1900"/>
      <c r="F236" s="900" t="s">
        <v>1044</v>
      </c>
      <c r="G236" s="900" t="s">
        <v>1045</v>
      </c>
      <c r="H236" s="900" t="s">
        <v>1046</v>
      </c>
      <c r="I236" s="900" t="s">
        <v>1047</v>
      </c>
      <c r="J236" s="900" t="s">
        <v>1048</v>
      </c>
      <c r="K236" s="900" t="s">
        <v>1049</v>
      </c>
      <c r="L236" s="900" t="s">
        <v>1050</v>
      </c>
      <c r="M236" s="900" t="s">
        <v>1051</v>
      </c>
      <c r="N236" s="900" t="s">
        <v>1052</v>
      </c>
      <c r="O236" s="900" t="s">
        <v>1053</v>
      </c>
      <c r="P236" s="900" t="s">
        <v>1054</v>
      </c>
      <c r="Q236" s="900" t="s">
        <v>1055</v>
      </c>
      <c r="R236" s="900" t="s">
        <v>1056</v>
      </c>
      <c r="S236" s="900" t="s">
        <v>1057</v>
      </c>
      <c r="T236" s="900" t="s">
        <v>326</v>
      </c>
      <c r="U236" s="900" t="s">
        <v>507</v>
      </c>
      <c r="V236" s="900" t="s">
        <v>508</v>
      </c>
      <c r="W236" s="900" t="s">
        <v>509</v>
      </c>
      <c r="X236" s="900" t="s">
        <v>510</v>
      </c>
      <c r="Y236" s="900" t="s">
        <v>511</v>
      </c>
      <c r="Z236" s="900" t="s">
        <v>947</v>
      </c>
      <c r="AA236" s="900" t="s">
        <v>948</v>
      </c>
      <c r="AB236" s="900" t="s">
        <v>949</v>
      </c>
      <c r="AC236" s="900" t="s">
        <v>950</v>
      </c>
      <c r="AD236" s="900" t="s">
        <v>951</v>
      </c>
      <c r="AE236" s="899"/>
      <c r="AF236" s="899"/>
      <c r="AG236" s="899"/>
    </row>
    <row r="237" spans="1:33">
      <c r="A237" s="901" t="s">
        <v>1058</v>
      </c>
      <c r="B237" s="902">
        <v>2005</v>
      </c>
      <c r="C237" s="901"/>
      <c r="D237" s="901"/>
      <c r="E237" s="917"/>
      <c r="F237" s="905"/>
      <c r="G237" s="905"/>
      <c r="H237" s="905"/>
      <c r="I237" s="905"/>
      <c r="J237" s="905"/>
      <c r="K237" s="905"/>
      <c r="L237" s="905"/>
      <c r="M237" s="905"/>
      <c r="N237" s="905"/>
      <c r="O237" s="905"/>
      <c r="P237" s="905"/>
      <c r="Q237" s="905"/>
      <c r="R237" s="905"/>
      <c r="S237" s="905"/>
      <c r="T237" s="905"/>
      <c r="U237" s="905"/>
      <c r="V237" s="905"/>
      <c r="W237" s="905"/>
      <c r="X237" s="905"/>
      <c r="Y237" s="905"/>
      <c r="Z237" s="905"/>
      <c r="AA237" s="905"/>
      <c r="AB237" s="905"/>
      <c r="AC237" s="905"/>
      <c r="AD237" s="905"/>
      <c r="AE237" s="918"/>
      <c r="AF237" s="918"/>
      <c r="AG237" s="918"/>
    </row>
    <row r="238" spans="1:33">
      <c r="A238" s="901" t="s">
        <v>1059</v>
      </c>
      <c r="B238" s="902" t="s">
        <v>1044</v>
      </c>
      <c r="C238" s="901"/>
      <c r="D238" s="901"/>
      <c r="E238" s="917"/>
      <c r="F238" s="906"/>
      <c r="G238" s="905"/>
      <c r="H238" s="905"/>
      <c r="I238" s="905"/>
      <c r="J238" s="905"/>
      <c r="K238" s="905"/>
      <c r="L238" s="905"/>
      <c r="M238" s="905"/>
      <c r="N238" s="905"/>
      <c r="O238" s="905"/>
      <c r="P238" s="905"/>
      <c r="Q238" s="905"/>
      <c r="R238" s="905"/>
      <c r="S238" s="905"/>
      <c r="T238" s="905"/>
      <c r="U238" s="905"/>
      <c r="V238" s="905"/>
      <c r="W238" s="905"/>
      <c r="X238" s="905"/>
      <c r="Y238" s="905"/>
      <c r="Z238" s="905"/>
      <c r="AA238" s="905"/>
      <c r="AB238" s="905"/>
      <c r="AC238" s="905"/>
      <c r="AD238" s="905"/>
      <c r="AE238" s="918"/>
      <c r="AF238" s="918"/>
      <c r="AG238" s="918"/>
    </row>
    <row r="239" spans="1:33">
      <c r="A239" s="901" t="s">
        <v>1059</v>
      </c>
      <c r="B239" s="902" t="s">
        <v>1045</v>
      </c>
      <c r="C239" s="901"/>
      <c r="D239" s="901"/>
      <c r="E239" s="917"/>
      <c r="F239" s="907"/>
      <c r="G239" s="906"/>
      <c r="H239" s="905"/>
      <c r="I239" s="905"/>
      <c r="J239" s="905"/>
      <c r="K239" s="905"/>
      <c r="L239" s="905"/>
      <c r="M239" s="905"/>
      <c r="N239" s="905"/>
      <c r="O239" s="905"/>
      <c r="P239" s="905"/>
      <c r="Q239" s="905"/>
      <c r="R239" s="905"/>
      <c r="S239" s="905"/>
      <c r="T239" s="905"/>
      <c r="U239" s="905"/>
      <c r="V239" s="905"/>
      <c r="W239" s="905"/>
      <c r="X239" s="905"/>
      <c r="Y239" s="905"/>
      <c r="Z239" s="905"/>
      <c r="AA239" s="905"/>
      <c r="AB239" s="905"/>
      <c r="AC239" s="905"/>
      <c r="AD239" s="905"/>
      <c r="AE239" s="918"/>
      <c r="AF239" s="918"/>
      <c r="AG239" s="918"/>
    </row>
    <row r="240" spans="1:33">
      <c r="A240" s="901" t="s">
        <v>1059</v>
      </c>
      <c r="B240" s="902" t="s">
        <v>1046</v>
      </c>
      <c r="C240" s="901"/>
      <c r="D240" s="901"/>
      <c r="E240" s="917"/>
      <c r="F240" s="907"/>
      <c r="G240" s="907"/>
      <c r="H240" s="906"/>
      <c r="I240" s="905"/>
      <c r="J240" s="905"/>
      <c r="K240" s="905"/>
      <c r="L240" s="905"/>
      <c r="M240" s="905"/>
      <c r="N240" s="905"/>
      <c r="O240" s="905"/>
      <c r="P240" s="905"/>
      <c r="Q240" s="905"/>
      <c r="R240" s="905"/>
      <c r="S240" s="905"/>
      <c r="T240" s="905"/>
      <c r="U240" s="905"/>
      <c r="V240" s="905"/>
      <c r="W240" s="905"/>
      <c r="X240" s="905"/>
      <c r="Y240" s="905"/>
      <c r="Z240" s="905"/>
      <c r="AA240" s="905"/>
      <c r="AB240" s="905"/>
      <c r="AC240" s="905"/>
      <c r="AD240" s="905"/>
      <c r="AE240" s="918"/>
      <c r="AF240" s="918"/>
      <c r="AG240" s="918"/>
    </row>
    <row r="241" spans="1:33">
      <c r="A241" s="901" t="s">
        <v>1059</v>
      </c>
      <c r="B241" s="902" t="s">
        <v>1047</v>
      </c>
      <c r="C241" s="901"/>
      <c r="D241" s="901"/>
      <c r="E241" s="917"/>
      <c r="F241" s="907"/>
      <c r="G241" s="907"/>
      <c r="H241" s="907"/>
      <c r="I241" s="906"/>
      <c r="J241" s="905"/>
      <c r="K241" s="905"/>
      <c r="L241" s="905"/>
      <c r="M241" s="905"/>
      <c r="N241" s="905"/>
      <c r="O241" s="905"/>
      <c r="P241" s="905"/>
      <c r="Q241" s="905"/>
      <c r="R241" s="905"/>
      <c r="S241" s="905"/>
      <c r="T241" s="905"/>
      <c r="U241" s="905"/>
      <c r="V241" s="905"/>
      <c r="W241" s="905"/>
      <c r="X241" s="905"/>
      <c r="Y241" s="905"/>
      <c r="Z241" s="905"/>
      <c r="AA241" s="905"/>
      <c r="AB241" s="905"/>
      <c r="AC241" s="905"/>
      <c r="AD241" s="905"/>
      <c r="AE241" s="918"/>
      <c r="AF241" s="918"/>
      <c r="AG241" s="918"/>
    </row>
    <row r="242" spans="1:33">
      <c r="A242" s="901" t="s">
        <v>1059</v>
      </c>
      <c r="B242" s="902" t="s">
        <v>1048</v>
      </c>
      <c r="C242" s="901"/>
      <c r="D242" s="901"/>
      <c r="E242" s="917"/>
      <c r="F242" s="907"/>
      <c r="G242" s="907"/>
      <c r="H242" s="907"/>
      <c r="I242" s="907"/>
      <c r="J242" s="906"/>
      <c r="K242" s="905"/>
      <c r="L242" s="905"/>
      <c r="M242" s="905"/>
      <c r="N242" s="905"/>
      <c r="O242" s="905"/>
      <c r="P242" s="905"/>
      <c r="Q242" s="905"/>
      <c r="R242" s="905"/>
      <c r="S242" s="905"/>
      <c r="T242" s="905"/>
      <c r="U242" s="905"/>
      <c r="V242" s="905"/>
      <c r="W242" s="905"/>
      <c r="X242" s="905"/>
      <c r="Y242" s="905"/>
      <c r="Z242" s="905"/>
      <c r="AA242" s="905"/>
      <c r="AB242" s="905"/>
      <c r="AC242" s="905"/>
      <c r="AD242" s="905"/>
      <c r="AE242" s="918"/>
      <c r="AF242" s="918"/>
      <c r="AG242" s="918"/>
    </row>
    <row r="243" spans="1:33">
      <c r="A243" s="901" t="s">
        <v>1059</v>
      </c>
      <c r="B243" s="902" t="s">
        <v>1049</v>
      </c>
      <c r="C243" s="901"/>
      <c r="D243" s="901"/>
      <c r="E243" s="917"/>
      <c r="F243" s="907"/>
      <c r="G243" s="907"/>
      <c r="H243" s="907"/>
      <c r="I243" s="907"/>
      <c r="J243" s="907"/>
      <c r="K243" s="906"/>
      <c r="L243" s="905"/>
      <c r="M243" s="905"/>
      <c r="N243" s="905"/>
      <c r="O243" s="905"/>
      <c r="P243" s="905"/>
      <c r="Q243" s="905"/>
      <c r="R243" s="905"/>
      <c r="S243" s="905"/>
      <c r="T243" s="905"/>
      <c r="U243" s="905"/>
      <c r="V243" s="905"/>
      <c r="W243" s="905"/>
      <c r="X243" s="905"/>
      <c r="Y243" s="905"/>
      <c r="Z243" s="905"/>
      <c r="AA243" s="905"/>
      <c r="AB243" s="905"/>
      <c r="AC243" s="905"/>
      <c r="AD243" s="905"/>
      <c r="AE243" s="918"/>
      <c r="AF243" s="918"/>
      <c r="AG243" s="918"/>
    </row>
    <row r="244" spans="1:33">
      <c r="A244" s="901" t="s">
        <v>1059</v>
      </c>
      <c r="B244" s="902" t="s">
        <v>1050</v>
      </c>
      <c r="C244" s="901"/>
      <c r="D244" s="901"/>
      <c r="E244" s="917"/>
      <c r="F244" s="907"/>
      <c r="G244" s="907"/>
      <c r="H244" s="907"/>
      <c r="I244" s="907"/>
      <c r="J244" s="907"/>
      <c r="K244" s="907"/>
      <c r="L244" s="906"/>
      <c r="M244" s="905"/>
      <c r="N244" s="905"/>
      <c r="O244" s="905"/>
      <c r="P244" s="905"/>
      <c r="Q244" s="905"/>
      <c r="R244" s="905"/>
      <c r="S244" s="905"/>
      <c r="T244" s="905"/>
      <c r="U244" s="905"/>
      <c r="V244" s="905"/>
      <c r="W244" s="905"/>
      <c r="X244" s="905"/>
      <c r="Y244" s="905"/>
      <c r="Z244" s="905"/>
      <c r="AA244" s="905"/>
      <c r="AB244" s="905"/>
      <c r="AC244" s="905"/>
      <c r="AD244" s="905"/>
      <c r="AE244" s="918"/>
      <c r="AF244" s="918"/>
      <c r="AG244" s="918"/>
    </row>
    <row r="245" spans="1:33">
      <c r="A245" s="901" t="s">
        <v>1059</v>
      </c>
      <c r="B245" s="902" t="s">
        <v>1051</v>
      </c>
      <c r="C245" s="901"/>
      <c r="D245" s="901"/>
      <c r="E245" s="917"/>
      <c r="F245" s="907"/>
      <c r="G245" s="907"/>
      <c r="H245" s="907"/>
      <c r="I245" s="907"/>
      <c r="J245" s="907"/>
      <c r="K245" s="907"/>
      <c r="L245" s="907"/>
      <c r="M245" s="906"/>
      <c r="N245" s="905"/>
      <c r="O245" s="905"/>
      <c r="P245" s="905"/>
      <c r="Q245" s="905"/>
      <c r="R245" s="905"/>
      <c r="S245" s="905"/>
      <c r="T245" s="905"/>
      <c r="U245" s="905"/>
      <c r="V245" s="905"/>
      <c r="W245" s="905"/>
      <c r="X245" s="905"/>
      <c r="Y245" s="905"/>
      <c r="Z245" s="905"/>
      <c r="AA245" s="905"/>
      <c r="AB245" s="905"/>
      <c r="AC245" s="905"/>
      <c r="AD245" s="905"/>
      <c r="AE245" s="918"/>
      <c r="AF245" s="918"/>
      <c r="AG245" s="918"/>
    </row>
    <row r="246" spans="1:33">
      <c r="A246" s="901" t="s">
        <v>1059</v>
      </c>
      <c r="B246" s="902" t="s">
        <v>1052</v>
      </c>
      <c r="C246" s="901"/>
      <c r="D246" s="901"/>
      <c r="E246" s="917"/>
      <c r="F246" s="907"/>
      <c r="G246" s="907"/>
      <c r="H246" s="907"/>
      <c r="I246" s="907"/>
      <c r="J246" s="907"/>
      <c r="K246" s="907"/>
      <c r="L246" s="907"/>
      <c r="M246" s="907"/>
      <c r="N246" s="906"/>
      <c r="O246" s="905"/>
      <c r="P246" s="905"/>
      <c r="Q246" s="905"/>
      <c r="R246" s="905"/>
      <c r="S246" s="905"/>
      <c r="T246" s="905"/>
      <c r="U246" s="905"/>
      <c r="V246" s="905"/>
      <c r="W246" s="905"/>
      <c r="X246" s="905"/>
      <c r="Y246" s="905"/>
      <c r="Z246" s="905"/>
      <c r="AA246" s="905"/>
      <c r="AB246" s="905"/>
      <c r="AC246" s="905"/>
      <c r="AD246" s="905"/>
      <c r="AE246" s="918"/>
      <c r="AF246" s="918"/>
      <c r="AG246" s="918"/>
    </row>
    <row r="247" spans="1:33">
      <c r="A247" s="901" t="s">
        <v>1059</v>
      </c>
      <c r="B247" s="902" t="s">
        <v>1053</v>
      </c>
      <c r="C247" s="904"/>
      <c r="D247" s="901"/>
      <c r="E247" s="917"/>
      <c r="F247" s="907"/>
      <c r="G247" s="907"/>
      <c r="H247" s="907"/>
      <c r="I247" s="907"/>
      <c r="J247" s="907"/>
      <c r="K247" s="907"/>
      <c r="L247" s="907"/>
      <c r="M247" s="907"/>
      <c r="N247" s="907"/>
      <c r="O247" s="906"/>
      <c r="P247" s="905"/>
      <c r="Q247" s="905"/>
      <c r="R247" s="905"/>
      <c r="S247" s="905"/>
      <c r="T247" s="905"/>
      <c r="U247" s="905"/>
      <c r="V247" s="905"/>
      <c r="W247" s="905"/>
      <c r="X247" s="905"/>
      <c r="Y247" s="905"/>
      <c r="Z247" s="905"/>
      <c r="AA247" s="905"/>
      <c r="AB247" s="905"/>
      <c r="AC247" s="905"/>
      <c r="AD247" s="905"/>
      <c r="AE247" s="918"/>
      <c r="AF247" s="918"/>
      <c r="AG247" s="918"/>
    </row>
    <row r="248" spans="1:33">
      <c r="A248" s="901" t="s">
        <v>1059</v>
      </c>
      <c r="B248" s="902" t="s">
        <v>1054</v>
      </c>
      <c r="C248" s="904"/>
      <c r="D248" s="901"/>
      <c r="E248" s="917"/>
      <c r="F248" s="907"/>
      <c r="G248" s="907"/>
      <c r="H248" s="907"/>
      <c r="I248" s="907"/>
      <c r="J248" s="907"/>
      <c r="K248" s="907"/>
      <c r="L248" s="907"/>
      <c r="M248" s="907"/>
      <c r="N248" s="907"/>
      <c r="O248" s="907"/>
      <c r="P248" s="906"/>
      <c r="Q248" s="905"/>
      <c r="R248" s="905"/>
      <c r="S248" s="905"/>
      <c r="T248" s="905"/>
      <c r="U248" s="905"/>
      <c r="V248" s="905"/>
      <c r="W248" s="905"/>
      <c r="X248" s="905"/>
      <c r="Y248" s="905"/>
      <c r="Z248" s="905"/>
      <c r="AA248" s="905"/>
      <c r="AB248" s="905"/>
      <c r="AC248" s="905"/>
      <c r="AD248" s="905"/>
      <c r="AE248" s="918"/>
      <c r="AF248" s="918"/>
      <c r="AG248" s="918"/>
    </row>
    <row r="249" spans="1:33">
      <c r="A249" s="901" t="s">
        <v>1059</v>
      </c>
      <c r="B249" s="902" t="s">
        <v>1055</v>
      </c>
      <c r="C249" s="904"/>
      <c r="D249" s="904"/>
      <c r="E249" s="917"/>
      <c r="F249" s="907"/>
      <c r="G249" s="907"/>
      <c r="H249" s="907"/>
      <c r="I249" s="907"/>
      <c r="J249" s="907"/>
      <c r="K249" s="907"/>
      <c r="L249" s="907"/>
      <c r="M249" s="907"/>
      <c r="N249" s="907"/>
      <c r="O249" s="907"/>
      <c r="P249" s="907"/>
      <c r="Q249" s="906"/>
      <c r="R249" s="905"/>
      <c r="S249" s="905"/>
      <c r="T249" s="905"/>
      <c r="U249" s="905"/>
      <c r="V249" s="905"/>
      <c r="W249" s="905"/>
      <c r="X249" s="905"/>
      <c r="Y249" s="905"/>
      <c r="Z249" s="905"/>
      <c r="AA249" s="905"/>
      <c r="AB249" s="905"/>
      <c r="AC249" s="905"/>
      <c r="AD249" s="905"/>
      <c r="AE249" s="918"/>
      <c r="AF249" s="918"/>
      <c r="AG249" s="918"/>
    </row>
    <row r="250" spans="1:33">
      <c r="A250" s="901" t="s">
        <v>1059</v>
      </c>
      <c r="B250" s="902" t="s">
        <v>1056</v>
      </c>
      <c r="C250" s="904"/>
      <c r="D250" s="904"/>
      <c r="E250" s="917"/>
      <c r="F250" s="907"/>
      <c r="G250" s="907"/>
      <c r="H250" s="907"/>
      <c r="I250" s="907"/>
      <c r="J250" s="907"/>
      <c r="K250" s="907"/>
      <c r="L250" s="907"/>
      <c r="M250" s="907"/>
      <c r="N250" s="907"/>
      <c r="O250" s="907"/>
      <c r="P250" s="907"/>
      <c r="Q250" s="907"/>
      <c r="R250" s="906"/>
      <c r="S250" s="905"/>
      <c r="T250" s="905"/>
      <c r="U250" s="905"/>
      <c r="V250" s="905"/>
      <c r="W250" s="905"/>
      <c r="X250" s="905"/>
      <c r="Y250" s="905"/>
      <c r="Z250" s="905"/>
      <c r="AA250" s="905"/>
      <c r="AB250" s="905"/>
      <c r="AC250" s="905"/>
      <c r="AD250" s="905"/>
      <c r="AE250" s="918"/>
      <c r="AF250" s="918"/>
      <c r="AG250" s="918"/>
    </row>
    <row r="251" spans="1:33">
      <c r="A251" s="901" t="s">
        <v>1059</v>
      </c>
      <c r="B251" s="902" t="s">
        <v>1057</v>
      </c>
      <c r="C251" s="904"/>
      <c r="D251" s="904"/>
      <c r="E251" s="917"/>
      <c r="F251" s="907"/>
      <c r="G251" s="907"/>
      <c r="H251" s="907"/>
      <c r="I251" s="907"/>
      <c r="J251" s="907"/>
      <c r="K251" s="907"/>
      <c r="L251" s="907"/>
      <c r="M251" s="907"/>
      <c r="N251" s="907"/>
      <c r="O251" s="907"/>
      <c r="P251" s="907"/>
      <c r="Q251" s="907"/>
      <c r="R251" s="907"/>
      <c r="S251" s="906"/>
      <c r="T251" s="905"/>
      <c r="U251" s="905"/>
      <c r="V251" s="905"/>
      <c r="W251" s="905"/>
      <c r="X251" s="905"/>
      <c r="Y251" s="905"/>
      <c r="Z251" s="905"/>
      <c r="AA251" s="905"/>
      <c r="AB251" s="905"/>
      <c r="AC251" s="905"/>
      <c r="AD251" s="905"/>
      <c r="AE251" s="918"/>
      <c r="AF251" s="918"/>
      <c r="AG251" s="918"/>
    </row>
    <row r="252" spans="1:33">
      <c r="A252" s="901" t="s">
        <v>1059</v>
      </c>
      <c r="B252" s="902" t="s">
        <v>1060</v>
      </c>
      <c r="C252" s="904"/>
      <c r="D252" s="904"/>
      <c r="E252" s="920"/>
      <c r="F252" s="907"/>
      <c r="G252" s="907"/>
      <c r="H252" s="907"/>
      <c r="I252" s="907"/>
      <c r="J252" s="907"/>
      <c r="K252" s="907"/>
      <c r="L252" s="907"/>
      <c r="M252" s="907"/>
      <c r="N252" s="907"/>
      <c r="O252" s="907"/>
      <c r="P252" s="907"/>
      <c r="Q252" s="907"/>
      <c r="R252" s="907"/>
      <c r="S252" s="907"/>
      <c r="T252" s="906"/>
      <c r="U252" s="905"/>
      <c r="V252" s="905"/>
      <c r="W252" s="905"/>
      <c r="X252" s="905"/>
      <c r="Y252" s="905"/>
      <c r="Z252" s="905"/>
      <c r="AA252" s="905"/>
      <c r="AB252" s="905"/>
      <c r="AC252" s="905"/>
      <c r="AD252" s="905"/>
      <c r="AE252" s="918"/>
      <c r="AF252" s="918"/>
      <c r="AG252" s="918"/>
    </row>
    <row r="253" spans="1:33">
      <c r="A253" s="901" t="s">
        <v>1059</v>
      </c>
      <c r="B253" s="902" t="s">
        <v>1061</v>
      </c>
      <c r="C253" s="904"/>
      <c r="D253" s="904"/>
      <c r="E253" s="920"/>
      <c r="F253" s="907"/>
      <c r="G253" s="907"/>
      <c r="H253" s="907"/>
      <c r="I253" s="907"/>
      <c r="J253" s="907"/>
      <c r="K253" s="907"/>
      <c r="L253" s="907"/>
      <c r="M253" s="907"/>
      <c r="N253" s="907"/>
      <c r="O253" s="907"/>
      <c r="P253" s="907"/>
      <c r="Q253" s="907"/>
      <c r="R253" s="907"/>
      <c r="S253" s="907"/>
      <c r="T253" s="907"/>
      <c r="U253" s="906"/>
      <c r="V253" s="905"/>
      <c r="W253" s="905"/>
      <c r="X253" s="905"/>
      <c r="Y253" s="905"/>
      <c r="Z253" s="905"/>
      <c r="AA253" s="905"/>
      <c r="AB253" s="905"/>
      <c r="AC253" s="905"/>
      <c r="AD253" s="905"/>
      <c r="AE253" s="918"/>
      <c r="AF253" s="918"/>
      <c r="AG253" s="918"/>
    </row>
    <row r="254" spans="1:33">
      <c r="A254" s="901" t="s">
        <v>1059</v>
      </c>
      <c r="B254" s="902" t="s">
        <v>1062</v>
      </c>
      <c r="C254" s="904"/>
      <c r="D254" s="904"/>
      <c r="E254" s="920"/>
      <c r="F254" s="907"/>
      <c r="G254" s="907"/>
      <c r="H254" s="907"/>
      <c r="I254" s="907"/>
      <c r="J254" s="907"/>
      <c r="K254" s="907"/>
      <c r="L254" s="907"/>
      <c r="M254" s="907"/>
      <c r="N254" s="907"/>
      <c r="O254" s="907"/>
      <c r="P254" s="907"/>
      <c r="Q254" s="907"/>
      <c r="R254" s="907"/>
      <c r="S254" s="907"/>
      <c r="T254" s="907"/>
      <c r="U254" s="907"/>
      <c r="V254" s="906"/>
      <c r="W254" s="905"/>
      <c r="X254" s="905"/>
      <c r="Y254" s="905"/>
      <c r="Z254" s="905"/>
      <c r="AA254" s="905"/>
      <c r="AB254" s="905"/>
      <c r="AC254" s="905"/>
      <c r="AD254" s="905"/>
      <c r="AE254" s="918"/>
      <c r="AF254" s="918"/>
      <c r="AG254" s="918"/>
    </row>
    <row r="255" spans="1:33">
      <c r="A255" s="901" t="s">
        <v>1059</v>
      </c>
      <c r="B255" s="902" t="s">
        <v>515</v>
      </c>
      <c r="C255" s="904"/>
      <c r="D255" s="904"/>
      <c r="E255" s="920"/>
      <c r="F255" s="907"/>
      <c r="G255" s="907"/>
      <c r="H255" s="907"/>
      <c r="I255" s="907"/>
      <c r="J255" s="907"/>
      <c r="K255" s="907"/>
      <c r="L255" s="907"/>
      <c r="M255" s="907"/>
      <c r="N255" s="907"/>
      <c r="O255" s="907"/>
      <c r="P255" s="907"/>
      <c r="Q255" s="907"/>
      <c r="R255" s="907"/>
      <c r="S255" s="907"/>
      <c r="T255" s="907"/>
      <c r="U255" s="907"/>
      <c r="V255" s="907"/>
      <c r="W255" s="906"/>
      <c r="X255" s="905"/>
      <c r="Y255" s="905"/>
      <c r="Z255" s="905"/>
      <c r="AA255" s="905"/>
      <c r="AB255" s="905"/>
      <c r="AC255" s="905"/>
      <c r="AD255" s="905"/>
      <c r="AE255" s="918"/>
      <c r="AF255" s="918"/>
      <c r="AG255" s="918"/>
    </row>
    <row r="256" spans="1:33">
      <c r="A256" s="901" t="s">
        <v>1059</v>
      </c>
      <c r="B256" s="902" t="s">
        <v>516</v>
      </c>
      <c r="C256" s="904"/>
      <c r="D256" s="904"/>
      <c r="E256" s="920"/>
      <c r="F256" s="907"/>
      <c r="G256" s="907"/>
      <c r="H256" s="907"/>
      <c r="I256" s="907"/>
      <c r="J256" s="907"/>
      <c r="K256" s="907"/>
      <c r="L256" s="907"/>
      <c r="M256" s="907"/>
      <c r="N256" s="907"/>
      <c r="O256" s="907"/>
      <c r="P256" s="907"/>
      <c r="Q256" s="907"/>
      <c r="R256" s="907"/>
      <c r="S256" s="907"/>
      <c r="T256" s="907"/>
      <c r="U256" s="907"/>
      <c r="V256" s="907"/>
      <c r="W256" s="907"/>
      <c r="X256" s="906"/>
      <c r="Y256" s="905"/>
      <c r="Z256" s="905"/>
      <c r="AA256" s="905"/>
      <c r="AB256" s="905"/>
      <c r="AC256" s="905"/>
      <c r="AD256" s="905"/>
      <c r="AE256" s="918"/>
      <c r="AF256" s="918"/>
      <c r="AG256" s="918"/>
    </row>
    <row r="257" spans="1:33">
      <c r="A257" s="901" t="s">
        <v>1059</v>
      </c>
      <c r="B257" s="902" t="s">
        <v>1063</v>
      </c>
      <c r="C257" s="904"/>
      <c r="D257" s="904"/>
      <c r="E257" s="920"/>
      <c r="F257" s="907"/>
      <c r="G257" s="907"/>
      <c r="H257" s="907"/>
      <c r="I257" s="907"/>
      <c r="J257" s="907"/>
      <c r="K257" s="907"/>
      <c r="L257" s="907"/>
      <c r="M257" s="907"/>
      <c r="N257" s="907"/>
      <c r="O257" s="907"/>
      <c r="P257" s="907"/>
      <c r="Q257" s="907"/>
      <c r="R257" s="907"/>
      <c r="S257" s="907"/>
      <c r="T257" s="907"/>
      <c r="U257" s="907"/>
      <c r="V257" s="907"/>
      <c r="W257" s="907"/>
      <c r="X257" s="907"/>
      <c r="Y257" s="906"/>
      <c r="Z257" s="918"/>
      <c r="AA257" s="918"/>
      <c r="AB257" s="918"/>
      <c r="AC257" s="918"/>
      <c r="AD257" s="918"/>
      <c r="AE257" s="918"/>
      <c r="AF257" s="918"/>
      <c r="AG257" s="918"/>
    </row>
    <row r="258" spans="1:33">
      <c r="A258" s="901" t="s">
        <v>1059</v>
      </c>
      <c r="B258" s="902" t="s">
        <v>1064</v>
      </c>
      <c r="C258" s="904"/>
      <c r="D258" s="904"/>
      <c r="E258" s="920"/>
      <c r="F258" s="907"/>
      <c r="G258" s="907"/>
      <c r="H258" s="907"/>
      <c r="I258" s="907"/>
      <c r="J258" s="907"/>
      <c r="K258" s="907"/>
      <c r="L258" s="907"/>
      <c r="M258" s="907"/>
      <c r="N258" s="907"/>
      <c r="O258" s="907"/>
      <c r="P258" s="907"/>
      <c r="Q258" s="907"/>
      <c r="R258" s="907"/>
      <c r="S258" s="907"/>
      <c r="T258" s="907"/>
      <c r="U258" s="907"/>
      <c r="V258" s="907"/>
      <c r="W258" s="907"/>
      <c r="X258" s="907"/>
      <c r="Y258" s="907"/>
      <c r="Z258" s="906"/>
      <c r="AA258" s="905"/>
      <c r="AB258" s="905"/>
      <c r="AC258" s="905"/>
      <c r="AD258" s="905"/>
      <c r="AE258" s="904"/>
      <c r="AF258" s="904"/>
      <c r="AG258" s="918"/>
    </row>
    <row r="259" spans="1:33">
      <c r="A259" s="901" t="s">
        <v>1059</v>
      </c>
      <c r="B259" s="902" t="s">
        <v>1065</v>
      </c>
      <c r="C259" s="904"/>
      <c r="D259" s="904"/>
      <c r="E259" s="920"/>
      <c r="F259" s="907"/>
      <c r="G259" s="907"/>
      <c r="H259" s="907"/>
      <c r="I259" s="907"/>
      <c r="J259" s="907"/>
      <c r="K259" s="907"/>
      <c r="L259" s="907"/>
      <c r="M259" s="907"/>
      <c r="N259" s="907"/>
      <c r="O259" s="907"/>
      <c r="P259" s="907"/>
      <c r="Q259" s="907"/>
      <c r="R259" s="907"/>
      <c r="S259" s="907"/>
      <c r="T259" s="907"/>
      <c r="U259" s="907"/>
      <c r="V259" s="907"/>
      <c r="W259" s="907"/>
      <c r="X259" s="907"/>
      <c r="Y259" s="907"/>
      <c r="Z259" s="907"/>
      <c r="AA259" s="906"/>
      <c r="AB259" s="905"/>
      <c r="AC259" s="905"/>
      <c r="AD259" s="905"/>
      <c r="AE259" s="904"/>
      <c r="AF259" s="904"/>
      <c r="AG259" s="918"/>
    </row>
    <row r="260" spans="1:33">
      <c r="A260" s="901" t="s">
        <v>1059</v>
      </c>
      <c r="B260" s="902" t="s">
        <v>1066</v>
      </c>
      <c r="C260" s="904"/>
      <c r="D260" s="904"/>
      <c r="E260" s="920"/>
      <c r="F260" s="907"/>
      <c r="G260" s="907"/>
      <c r="H260" s="907"/>
      <c r="I260" s="907"/>
      <c r="J260" s="907"/>
      <c r="K260" s="907"/>
      <c r="L260" s="907"/>
      <c r="M260" s="907"/>
      <c r="N260" s="907"/>
      <c r="O260" s="907"/>
      <c r="P260" s="907"/>
      <c r="Q260" s="907"/>
      <c r="R260" s="907"/>
      <c r="S260" s="907"/>
      <c r="T260" s="907"/>
      <c r="U260" s="907"/>
      <c r="V260" s="907"/>
      <c r="W260" s="907"/>
      <c r="X260" s="907"/>
      <c r="Y260" s="907"/>
      <c r="Z260" s="907"/>
      <c r="AA260" s="907"/>
      <c r="AB260" s="906"/>
      <c r="AC260" s="905"/>
      <c r="AD260" s="905"/>
      <c r="AE260" s="904"/>
      <c r="AF260" s="904"/>
      <c r="AG260" s="918"/>
    </row>
    <row r="261" spans="1:33">
      <c r="A261" s="901" t="s">
        <v>1059</v>
      </c>
      <c r="B261" s="902" t="s">
        <v>1067</v>
      </c>
      <c r="C261" s="904"/>
      <c r="D261" s="904"/>
      <c r="E261" s="920"/>
      <c r="F261" s="907"/>
      <c r="G261" s="907"/>
      <c r="H261" s="907"/>
      <c r="I261" s="907"/>
      <c r="J261" s="907"/>
      <c r="K261" s="907"/>
      <c r="L261" s="907"/>
      <c r="M261" s="907"/>
      <c r="N261" s="907"/>
      <c r="O261" s="907"/>
      <c r="P261" s="907"/>
      <c r="Q261" s="907"/>
      <c r="R261" s="907"/>
      <c r="S261" s="907"/>
      <c r="T261" s="907"/>
      <c r="U261" s="907"/>
      <c r="V261" s="907"/>
      <c r="W261" s="907"/>
      <c r="X261" s="907"/>
      <c r="Y261" s="907"/>
      <c r="Z261" s="907"/>
      <c r="AA261" s="907"/>
      <c r="AB261" s="907"/>
      <c r="AC261" s="906"/>
      <c r="AD261" s="905"/>
      <c r="AE261" s="904"/>
      <c r="AF261" s="904"/>
      <c r="AG261" s="918"/>
    </row>
    <row r="262" spans="1:33">
      <c r="A262" s="901" t="s">
        <v>1059</v>
      </c>
      <c r="B262" s="902" t="s">
        <v>1068</v>
      </c>
      <c r="C262" s="904"/>
      <c r="D262" s="904"/>
      <c r="E262" s="920"/>
      <c r="F262" s="907"/>
      <c r="G262" s="907"/>
      <c r="H262" s="907"/>
      <c r="I262" s="907"/>
      <c r="J262" s="907"/>
      <c r="K262" s="907"/>
      <c r="L262" s="907"/>
      <c r="M262" s="907"/>
      <c r="N262" s="907"/>
      <c r="O262" s="907"/>
      <c r="P262" s="907"/>
      <c r="Q262" s="907"/>
      <c r="R262" s="907"/>
      <c r="S262" s="907"/>
      <c r="T262" s="907"/>
      <c r="U262" s="907"/>
      <c r="V262" s="907"/>
      <c r="W262" s="907"/>
      <c r="X262" s="907"/>
      <c r="Y262" s="907"/>
      <c r="Z262" s="907"/>
      <c r="AA262" s="907"/>
      <c r="AB262" s="907"/>
      <c r="AC262" s="907"/>
      <c r="AD262" s="906"/>
      <c r="AE262" s="904"/>
      <c r="AF262" s="904"/>
      <c r="AG262" s="918"/>
    </row>
    <row r="263" spans="1:33" ht="13">
      <c r="A263" s="909"/>
      <c r="B263" s="910" t="s">
        <v>272</v>
      </c>
      <c r="C263" s="911"/>
      <c r="D263" s="911"/>
      <c r="E263" s="911"/>
      <c r="F263" s="911"/>
      <c r="G263" s="911"/>
      <c r="H263" s="911"/>
      <c r="I263" s="911"/>
      <c r="J263" s="911"/>
      <c r="K263" s="911"/>
      <c r="L263" s="911"/>
      <c r="M263" s="911"/>
      <c r="N263" s="911"/>
      <c r="O263" s="911"/>
      <c r="P263" s="911"/>
      <c r="Q263" s="911"/>
      <c r="R263" s="911"/>
      <c r="S263" s="911"/>
      <c r="T263" s="911"/>
      <c r="U263" s="911"/>
      <c r="V263" s="911"/>
      <c r="W263" s="911"/>
      <c r="X263" s="911"/>
      <c r="Y263" s="911"/>
      <c r="Z263" s="911"/>
      <c r="AA263" s="911"/>
      <c r="AB263" s="911"/>
      <c r="AC263" s="911"/>
      <c r="AD263" s="911"/>
      <c r="AE263" s="911"/>
      <c r="AF263" s="911"/>
      <c r="AG263" s="911"/>
    </row>
    <row r="264" spans="1:33">
      <c r="C264" s="923"/>
    </row>
    <row r="267" spans="1:33" ht="13">
      <c r="B267" s="896" t="s">
        <v>261</v>
      </c>
      <c r="F267" s="897" t="s">
        <v>10</v>
      </c>
    </row>
    <row r="268" spans="1:33" ht="26.15" customHeight="1">
      <c r="A268" s="898"/>
      <c r="B268" s="916" t="s">
        <v>414</v>
      </c>
      <c r="C268" s="1899" t="s">
        <v>1070</v>
      </c>
      <c r="D268" s="1899" t="s">
        <v>1038</v>
      </c>
      <c r="E268" s="1899" t="s">
        <v>1039</v>
      </c>
      <c r="F268" s="1901" t="s">
        <v>1040</v>
      </c>
      <c r="G268" s="1902"/>
      <c r="H268" s="1902"/>
      <c r="I268" s="1902"/>
      <c r="J268" s="1902"/>
      <c r="K268" s="1902"/>
      <c r="L268" s="1902"/>
      <c r="M268" s="1902"/>
      <c r="N268" s="1902"/>
      <c r="O268" s="1902"/>
      <c r="P268" s="1902"/>
      <c r="Q268" s="1902"/>
      <c r="R268" s="1902"/>
      <c r="S268" s="1902"/>
      <c r="T268" s="1902"/>
      <c r="U268" s="1902"/>
      <c r="V268" s="1902"/>
      <c r="W268" s="1902"/>
      <c r="X268" s="1902"/>
      <c r="Y268" s="1902"/>
      <c r="Z268" s="1902"/>
      <c r="AA268" s="1902"/>
      <c r="AB268" s="1902"/>
      <c r="AC268" s="1902"/>
      <c r="AD268" s="1903"/>
      <c r="AE268" s="899" t="s">
        <v>1041</v>
      </c>
      <c r="AF268" s="899" t="s">
        <v>1042</v>
      </c>
      <c r="AG268" s="899" t="s">
        <v>1043</v>
      </c>
    </row>
    <row r="269" spans="1:33" ht="12.9" customHeight="1">
      <c r="A269" s="898"/>
      <c r="B269" s="916"/>
      <c r="C269" s="1900"/>
      <c r="D269" s="1900"/>
      <c r="E269" s="1900"/>
      <c r="F269" s="900" t="s">
        <v>1044</v>
      </c>
      <c r="G269" s="900" t="s">
        <v>1045</v>
      </c>
      <c r="H269" s="900" t="s">
        <v>1046</v>
      </c>
      <c r="I269" s="900" t="s">
        <v>1047</v>
      </c>
      <c r="J269" s="900" t="s">
        <v>1048</v>
      </c>
      <c r="K269" s="900" t="s">
        <v>1049</v>
      </c>
      <c r="L269" s="900" t="s">
        <v>1050</v>
      </c>
      <c r="M269" s="900" t="s">
        <v>1051</v>
      </c>
      <c r="N269" s="900" t="s">
        <v>1052</v>
      </c>
      <c r="O269" s="900" t="s">
        <v>1053</v>
      </c>
      <c r="P269" s="900" t="s">
        <v>1054</v>
      </c>
      <c r="Q269" s="900" t="s">
        <v>1055</v>
      </c>
      <c r="R269" s="900" t="s">
        <v>1056</v>
      </c>
      <c r="S269" s="900" t="s">
        <v>1057</v>
      </c>
      <c r="T269" s="900" t="s">
        <v>326</v>
      </c>
      <c r="U269" s="900" t="s">
        <v>507</v>
      </c>
      <c r="V269" s="900" t="s">
        <v>508</v>
      </c>
      <c r="W269" s="900" t="s">
        <v>509</v>
      </c>
      <c r="X269" s="900" t="s">
        <v>510</v>
      </c>
      <c r="Y269" s="900" t="s">
        <v>511</v>
      </c>
      <c r="Z269" s="900" t="s">
        <v>947</v>
      </c>
      <c r="AA269" s="900" t="s">
        <v>948</v>
      </c>
      <c r="AB269" s="900" t="s">
        <v>949</v>
      </c>
      <c r="AC269" s="900" t="s">
        <v>950</v>
      </c>
      <c r="AD269" s="900" t="s">
        <v>951</v>
      </c>
      <c r="AE269" s="899"/>
      <c r="AF269" s="899"/>
      <c r="AG269" s="899"/>
    </row>
    <row r="270" spans="1:33">
      <c r="A270" s="901" t="s">
        <v>1058</v>
      </c>
      <c r="B270" s="902">
        <v>2005</v>
      </c>
      <c r="C270" s="901"/>
      <c r="D270" s="901"/>
      <c r="E270" s="917"/>
      <c r="F270" s="905"/>
      <c r="G270" s="905"/>
      <c r="H270" s="905"/>
      <c r="I270" s="905"/>
      <c r="J270" s="905"/>
      <c r="K270" s="905"/>
      <c r="L270" s="905"/>
      <c r="M270" s="905"/>
      <c r="N270" s="905"/>
      <c r="O270" s="905"/>
      <c r="P270" s="905"/>
      <c r="Q270" s="905"/>
      <c r="R270" s="905"/>
      <c r="S270" s="905"/>
      <c r="T270" s="905"/>
      <c r="U270" s="905"/>
      <c r="V270" s="905"/>
      <c r="W270" s="905"/>
      <c r="X270" s="905"/>
      <c r="Y270" s="905"/>
      <c r="Z270" s="905"/>
      <c r="AA270" s="905"/>
      <c r="AB270" s="905"/>
      <c r="AC270" s="905"/>
      <c r="AD270" s="905"/>
      <c r="AE270" s="918"/>
      <c r="AF270" s="918"/>
      <c r="AG270" s="918"/>
    </row>
    <row r="271" spans="1:33">
      <c r="A271" s="901" t="s">
        <v>1059</v>
      </c>
      <c r="B271" s="902" t="s">
        <v>1044</v>
      </c>
      <c r="C271" s="901"/>
      <c r="D271" s="901"/>
      <c r="E271" s="917"/>
      <c r="F271" s="906"/>
      <c r="G271" s="905"/>
      <c r="H271" s="905"/>
      <c r="I271" s="905"/>
      <c r="J271" s="905"/>
      <c r="K271" s="905"/>
      <c r="L271" s="905"/>
      <c r="M271" s="905"/>
      <c r="N271" s="905"/>
      <c r="O271" s="905"/>
      <c r="P271" s="905"/>
      <c r="Q271" s="905"/>
      <c r="R271" s="905"/>
      <c r="S271" s="905"/>
      <c r="T271" s="905"/>
      <c r="U271" s="905"/>
      <c r="V271" s="905"/>
      <c r="W271" s="905"/>
      <c r="X271" s="905"/>
      <c r="Y271" s="905"/>
      <c r="Z271" s="905"/>
      <c r="AA271" s="905"/>
      <c r="AB271" s="905"/>
      <c r="AC271" s="905"/>
      <c r="AD271" s="905"/>
      <c r="AE271" s="918"/>
      <c r="AF271" s="918"/>
      <c r="AG271" s="918"/>
    </row>
    <row r="272" spans="1:33">
      <c r="A272" s="901" t="s">
        <v>1059</v>
      </c>
      <c r="B272" s="902" t="s">
        <v>1045</v>
      </c>
      <c r="C272" s="901"/>
      <c r="D272" s="901"/>
      <c r="E272" s="917"/>
      <c r="F272" s="907"/>
      <c r="G272" s="906"/>
      <c r="H272" s="905"/>
      <c r="I272" s="905"/>
      <c r="J272" s="905"/>
      <c r="K272" s="905"/>
      <c r="L272" s="905"/>
      <c r="M272" s="905"/>
      <c r="N272" s="905"/>
      <c r="O272" s="905"/>
      <c r="P272" s="905"/>
      <c r="Q272" s="905"/>
      <c r="R272" s="905"/>
      <c r="S272" s="905"/>
      <c r="T272" s="905"/>
      <c r="U272" s="905"/>
      <c r="V272" s="905"/>
      <c r="W272" s="905"/>
      <c r="X272" s="905"/>
      <c r="Y272" s="905"/>
      <c r="Z272" s="905"/>
      <c r="AA272" s="905"/>
      <c r="AB272" s="905"/>
      <c r="AC272" s="905"/>
      <c r="AD272" s="905"/>
      <c r="AE272" s="918"/>
      <c r="AF272" s="918"/>
      <c r="AG272" s="918"/>
    </row>
    <row r="273" spans="1:33">
      <c r="A273" s="901" t="s">
        <v>1059</v>
      </c>
      <c r="B273" s="902" t="s">
        <v>1046</v>
      </c>
      <c r="C273" s="901"/>
      <c r="D273" s="901"/>
      <c r="E273" s="917"/>
      <c r="F273" s="907"/>
      <c r="G273" s="907"/>
      <c r="H273" s="906"/>
      <c r="I273" s="905"/>
      <c r="J273" s="905"/>
      <c r="K273" s="905"/>
      <c r="L273" s="905"/>
      <c r="M273" s="905"/>
      <c r="N273" s="905"/>
      <c r="O273" s="905"/>
      <c r="P273" s="905"/>
      <c r="Q273" s="905"/>
      <c r="R273" s="905"/>
      <c r="S273" s="905"/>
      <c r="T273" s="905"/>
      <c r="U273" s="905"/>
      <c r="V273" s="905"/>
      <c r="W273" s="905"/>
      <c r="X273" s="905"/>
      <c r="Y273" s="905"/>
      <c r="Z273" s="905"/>
      <c r="AA273" s="905"/>
      <c r="AB273" s="905"/>
      <c r="AC273" s="905"/>
      <c r="AD273" s="905"/>
      <c r="AE273" s="918"/>
      <c r="AF273" s="918"/>
      <c r="AG273" s="918"/>
    </row>
    <row r="274" spans="1:33">
      <c r="A274" s="901" t="s">
        <v>1059</v>
      </c>
      <c r="B274" s="902" t="s">
        <v>1047</v>
      </c>
      <c r="C274" s="901"/>
      <c r="D274" s="901"/>
      <c r="E274" s="917"/>
      <c r="F274" s="907"/>
      <c r="G274" s="907"/>
      <c r="H274" s="907"/>
      <c r="I274" s="906"/>
      <c r="J274" s="905"/>
      <c r="K274" s="905"/>
      <c r="L274" s="905"/>
      <c r="M274" s="905"/>
      <c r="N274" s="905"/>
      <c r="O274" s="905"/>
      <c r="P274" s="905"/>
      <c r="Q274" s="905"/>
      <c r="R274" s="905"/>
      <c r="S274" s="905"/>
      <c r="T274" s="905"/>
      <c r="U274" s="905"/>
      <c r="V274" s="905"/>
      <c r="W274" s="905"/>
      <c r="X274" s="905"/>
      <c r="Y274" s="905"/>
      <c r="Z274" s="905"/>
      <c r="AA274" s="905"/>
      <c r="AB274" s="905"/>
      <c r="AC274" s="905"/>
      <c r="AD274" s="905"/>
      <c r="AE274" s="918"/>
      <c r="AF274" s="918"/>
      <c r="AG274" s="918"/>
    </row>
    <row r="275" spans="1:33">
      <c r="A275" s="901" t="s">
        <v>1059</v>
      </c>
      <c r="B275" s="902" t="s">
        <v>1048</v>
      </c>
      <c r="C275" s="901"/>
      <c r="D275" s="901"/>
      <c r="E275" s="917"/>
      <c r="F275" s="907"/>
      <c r="G275" s="907"/>
      <c r="H275" s="907"/>
      <c r="I275" s="907"/>
      <c r="J275" s="906"/>
      <c r="K275" s="905"/>
      <c r="L275" s="905"/>
      <c r="M275" s="905"/>
      <c r="N275" s="905"/>
      <c r="O275" s="905"/>
      <c r="P275" s="905"/>
      <c r="Q275" s="905"/>
      <c r="R275" s="905"/>
      <c r="S275" s="905"/>
      <c r="T275" s="905"/>
      <c r="U275" s="905"/>
      <c r="V275" s="905"/>
      <c r="W275" s="905"/>
      <c r="X275" s="905"/>
      <c r="Y275" s="905"/>
      <c r="Z275" s="905"/>
      <c r="AA275" s="905"/>
      <c r="AB275" s="905"/>
      <c r="AC275" s="905"/>
      <c r="AD275" s="905"/>
      <c r="AE275" s="918"/>
      <c r="AF275" s="918"/>
      <c r="AG275" s="918"/>
    </row>
    <row r="276" spans="1:33">
      <c r="A276" s="901" t="s">
        <v>1059</v>
      </c>
      <c r="B276" s="902" t="s">
        <v>1049</v>
      </c>
      <c r="C276" s="901"/>
      <c r="D276" s="901"/>
      <c r="E276" s="917"/>
      <c r="F276" s="907"/>
      <c r="G276" s="907"/>
      <c r="H276" s="907"/>
      <c r="I276" s="907"/>
      <c r="J276" s="907"/>
      <c r="K276" s="906"/>
      <c r="L276" s="905"/>
      <c r="M276" s="905"/>
      <c r="N276" s="905"/>
      <c r="O276" s="905"/>
      <c r="P276" s="905"/>
      <c r="Q276" s="905"/>
      <c r="R276" s="905"/>
      <c r="S276" s="905"/>
      <c r="T276" s="905"/>
      <c r="U276" s="905"/>
      <c r="V276" s="905"/>
      <c r="W276" s="905"/>
      <c r="X276" s="905"/>
      <c r="Y276" s="905"/>
      <c r="Z276" s="905"/>
      <c r="AA276" s="905"/>
      <c r="AB276" s="905"/>
      <c r="AC276" s="905"/>
      <c r="AD276" s="905"/>
      <c r="AE276" s="918"/>
      <c r="AF276" s="918"/>
      <c r="AG276" s="918"/>
    </row>
    <row r="277" spans="1:33">
      <c r="A277" s="901" t="s">
        <v>1059</v>
      </c>
      <c r="B277" s="902" t="s">
        <v>1050</v>
      </c>
      <c r="C277" s="901"/>
      <c r="D277" s="901"/>
      <c r="E277" s="917"/>
      <c r="F277" s="907"/>
      <c r="G277" s="907"/>
      <c r="H277" s="907"/>
      <c r="I277" s="907"/>
      <c r="J277" s="907"/>
      <c r="K277" s="907"/>
      <c r="L277" s="906"/>
      <c r="M277" s="905"/>
      <c r="N277" s="905"/>
      <c r="O277" s="905"/>
      <c r="P277" s="905"/>
      <c r="Q277" s="905"/>
      <c r="R277" s="905"/>
      <c r="S277" s="905"/>
      <c r="T277" s="905"/>
      <c r="U277" s="905"/>
      <c r="V277" s="905"/>
      <c r="W277" s="905"/>
      <c r="X277" s="905"/>
      <c r="Y277" s="905"/>
      <c r="Z277" s="905"/>
      <c r="AA277" s="905"/>
      <c r="AB277" s="905"/>
      <c r="AC277" s="905"/>
      <c r="AD277" s="905"/>
      <c r="AE277" s="918"/>
      <c r="AF277" s="918"/>
      <c r="AG277" s="918"/>
    </row>
    <row r="278" spans="1:33">
      <c r="A278" s="901" t="s">
        <v>1059</v>
      </c>
      <c r="B278" s="902" t="s">
        <v>1051</v>
      </c>
      <c r="C278" s="901"/>
      <c r="D278" s="901"/>
      <c r="E278" s="917"/>
      <c r="F278" s="907"/>
      <c r="G278" s="907"/>
      <c r="H278" s="907"/>
      <c r="I278" s="907"/>
      <c r="J278" s="907"/>
      <c r="K278" s="907"/>
      <c r="L278" s="907"/>
      <c r="M278" s="906"/>
      <c r="N278" s="905"/>
      <c r="O278" s="905"/>
      <c r="P278" s="905"/>
      <c r="Q278" s="905"/>
      <c r="R278" s="905"/>
      <c r="S278" s="905"/>
      <c r="T278" s="905"/>
      <c r="U278" s="905"/>
      <c r="V278" s="905"/>
      <c r="W278" s="905"/>
      <c r="X278" s="905"/>
      <c r="Y278" s="905"/>
      <c r="Z278" s="905"/>
      <c r="AA278" s="905"/>
      <c r="AB278" s="905"/>
      <c r="AC278" s="905"/>
      <c r="AD278" s="905"/>
      <c r="AE278" s="918"/>
      <c r="AF278" s="918"/>
      <c r="AG278" s="918"/>
    </row>
    <row r="279" spans="1:33">
      <c r="A279" s="901" t="s">
        <v>1059</v>
      </c>
      <c r="B279" s="902" t="s">
        <v>1052</v>
      </c>
      <c r="C279" s="901"/>
      <c r="D279" s="901"/>
      <c r="E279" s="917"/>
      <c r="F279" s="907"/>
      <c r="G279" s="907"/>
      <c r="H279" s="907"/>
      <c r="I279" s="907"/>
      <c r="J279" s="907"/>
      <c r="K279" s="907"/>
      <c r="L279" s="907"/>
      <c r="M279" s="907"/>
      <c r="N279" s="906"/>
      <c r="O279" s="905"/>
      <c r="P279" s="905"/>
      <c r="Q279" s="905"/>
      <c r="R279" s="905"/>
      <c r="S279" s="905"/>
      <c r="T279" s="905"/>
      <c r="U279" s="905"/>
      <c r="V279" s="905"/>
      <c r="W279" s="905"/>
      <c r="X279" s="905"/>
      <c r="Y279" s="905"/>
      <c r="Z279" s="905"/>
      <c r="AA279" s="905"/>
      <c r="AB279" s="905"/>
      <c r="AC279" s="905"/>
      <c r="AD279" s="905"/>
      <c r="AE279" s="918"/>
      <c r="AF279" s="918"/>
      <c r="AG279" s="918"/>
    </row>
    <row r="280" spans="1:33">
      <c r="A280" s="901" t="s">
        <v>1059</v>
      </c>
      <c r="B280" s="902" t="s">
        <v>1053</v>
      </c>
      <c r="C280" s="904"/>
      <c r="D280" s="901"/>
      <c r="E280" s="917"/>
      <c r="F280" s="907"/>
      <c r="G280" s="907"/>
      <c r="H280" s="907"/>
      <c r="I280" s="907"/>
      <c r="J280" s="907"/>
      <c r="K280" s="907"/>
      <c r="L280" s="907"/>
      <c r="M280" s="907"/>
      <c r="N280" s="907"/>
      <c r="O280" s="906"/>
      <c r="P280" s="905"/>
      <c r="Q280" s="905"/>
      <c r="R280" s="905"/>
      <c r="S280" s="905"/>
      <c r="T280" s="905"/>
      <c r="U280" s="905"/>
      <c r="V280" s="905"/>
      <c r="W280" s="905"/>
      <c r="X280" s="905"/>
      <c r="Y280" s="905"/>
      <c r="Z280" s="905"/>
      <c r="AA280" s="905"/>
      <c r="AB280" s="905"/>
      <c r="AC280" s="905"/>
      <c r="AD280" s="905"/>
      <c r="AE280" s="918"/>
      <c r="AF280" s="918"/>
      <c r="AG280" s="918"/>
    </row>
    <row r="281" spans="1:33">
      <c r="A281" s="901" t="s">
        <v>1059</v>
      </c>
      <c r="B281" s="902" t="s">
        <v>1054</v>
      </c>
      <c r="C281" s="904"/>
      <c r="D281" s="901"/>
      <c r="E281" s="917"/>
      <c r="F281" s="907"/>
      <c r="G281" s="907"/>
      <c r="H281" s="907"/>
      <c r="I281" s="907"/>
      <c r="J281" s="907"/>
      <c r="K281" s="907"/>
      <c r="L281" s="907"/>
      <c r="M281" s="907"/>
      <c r="N281" s="907"/>
      <c r="O281" s="907"/>
      <c r="P281" s="906"/>
      <c r="Q281" s="905"/>
      <c r="R281" s="905"/>
      <c r="S281" s="905"/>
      <c r="T281" s="905"/>
      <c r="U281" s="905"/>
      <c r="V281" s="905"/>
      <c r="W281" s="905"/>
      <c r="X281" s="905"/>
      <c r="Y281" s="905"/>
      <c r="Z281" s="905"/>
      <c r="AA281" s="905"/>
      <c r="AB281" s="905"/>
      <c r="AC281" s="905"/>
      <c r="AD281" s="905"/>
      <c r="AE281" s="918"/>
      <c r="AF281" s="918"/>
      <c r="AG281" s="918"/>
    </row>
    <row r="282" spans="1:33">
      <c r="A282" s="901" t="s">
        <v>1059</v>
      </c>
      <c r="B282" s="902" t="s">
        <v>1055</v>
      </c>
      <c r="C282" s="904"/>
      <c r="D282" s="904"/>
      <c r="E282" s="917"/>
      <c r="F282" s="907"/>
      <c r="G282" s="907"/>
      <c r="H282" s="907"/>
      <c r="I282" s="907"/>
      <c r="J282" s="907"/>
      <c r="K282" s="907"/>
      <c r="L282" s="907"/>
      <c r="M282" s="907"/>
      <c r="N282" s="907"/>
      <c r="O282" s="907"/>
      <c r="P282" s="907"/>
      <c r="Q282" s="906"/>
      <c r="R282" s="905"/>
      <c r="S282" s="905"/>
      <c r="T282" s="905"/>
      <c r="U282" s="905"/>
      <c r="V282" s="905"/>
      <c r="W282" s="905"/>
      <c r="X282" s="905"/>
      <c r="Y282" s="905"/>
      <c r="Z282" s="905"/>
      <c r="AA282" s="905"/>
      <c r="AB282" s="905"/>
      <c r="AC282" s="905"/>
      <c r="AD282" s="905"/>
      <c r="AE282" s="918"/>
      <c r="AF282" s="918"/>
      <c r="AG282" s="918"/>
    </row>
    <row r="283" spans="1:33">
      <c r="A283" s="901" t="s">
        <v>1059</v>
      </c>
      <c r="B283" s="902" t="s">
        <v>1056</v>
      </c>
      <c r="C283" s="904"/>
      <c r="D283" s="904"/>
      <c r="E283" s="917"/>
      <c r="F283" s="907"/>
      <c r="G283" s="907"/>
      <c r="H283" s="907"/>
      <c r="I283" s="907"/>
      <c r="J283" s="907"/>
      <c r="K283" s="907"/>
      <c r="L283" s="907"/>
      <c r="M283" s="907"/>
      <c r="N283" s="907"/>
      <c r="O283" s="907"/>
      <c r="P283" s="907"/>
      <c r="Q283" s="907"/>
      <c r="R283" s="906"/>
      <c r="S283" s="905"/>
      <c r="T283" s="905"/>
      <c r="U283" s="905"/>
      <c r="V283" s="905"/>
      <c r="W283" s="905"/>
      <c r="X283" s="905"/>
      <c r="Y283" s="905"/>
      <c r="Z283" s="905"/>
      <c r="AA283" s="905"/>
      <c r="AB283" s="905"/>
      <c r="AC283" s="905"/>
      <c r="AD283" s="905"/>
      <c r="AE283" s="918"/>
      <c r="AF283" s="918"/>
      <c r="AG283" s="918"/>
    </row>
    <row r="284" spans="1:33">
      <c r="A284" s="901" t="s">
        <v>1059</v>
      </c>
      <c r="B284" s="902" t="s">
        <v>1057</v>
      </c>
      <c r="C284" s="904"/>
      <c r="D284" s="904"/>
      <c r="E284" s="917"/>
      <c r="F284" s="907"/>
      <c r="G284" s="907"/>
      <c r="H284" s="907"/>
      <c r="I284" s="907"/>
      <c r="J284" s="907"/>
      <c r="K284" s="907"/>
      <c r="L284" s="907"/>
      <c r="M284" s="907"/>
      <c r="N284" s="907"/>
      <c r="O284" s="907"/>
      <c r="P284" s="907"/>
      <c r="Q284" s="907"/>
      <c r="R284" s="907"/>
      <c r="S284" s="906"/>
      <c r="T284" s="905"/>
      <c r="U284" s="905"/>
      <c r="V284" s="905"/>
      <c r="W284" s="905"/>
      <c r="X284" s="905"/>
      <c r="Y284" s="905"/>
      <c r="Z284" s="905"/>
      <c r="AA284" s="905"/>
      <c r="AB284" s="905"/>
      <c r="AC284" s="905"/>
      <c r="AD284" s="905"/>
      <c r="AE284" s="918"/>
      <c r="AF284" s="918"/>
      <c r="AG284" s="918"/>
    </row>
    <row r="285" spans="1:33">
      <c r="A285" s="901" t="s">
        <v>1059</v>
      </c>
      <c r="B285" s="902" t="s">
        <v>1060</v>
      </c>
      <c r="C285" s="904"/>
      <c r="D285" s="904"/>
      <c r="E285" s="920"/>
      <c r="F285" s="907"/>
      <c r="G285" s="907"/>
      <c r="H285" s="907"/>
      <c r="I285" s="907"/>
      <c r="J285" s="907"/>
      <c r="K285" s="907"/>
      <c r="L285" s="907"/>
      <c r="M285" s="907"/>
      <c r="N285" s="907"/>
      <c r="O285" s="907"/>
      <c r="P285" s="907"/>
      <c r="Q285" s="907"/>
      <c r="R285" s="907"/>
      <c r="S285" s="907"/>
      <c r="T285" s="906"/>
      <c r="U285" s="905"/>
      <c r="V285" s="905"/>
      <c r="W285" s="905"/>
      <c r="X285" s="905"/>
      <c r="Y285" s="905"/>
      <c r="Z285" s="905"/>
      <c r="AA285" s="905"/>
      <c r="AB285" s="905"/>
      <c r="AC285" s="905"/>
      <c r="AD285" s="905"/>
      <c r="AE285" s="918"/>
      <c r="AF285" s="918"/>
      <c r="AG285" s="918"/>
    </row>
    <row r="286" spans="1:33">
      <c r="A286" s="901" t="s">
        <v>1059</v>
      </c>
      <c r="B286" s="902" t="s">
        <v>1061</v>
      </c>
      <c r="C286" s="904"/>
      <c r="D286" s="904"/>
      <c r="E286" s="920"/>
      <c r="F286" s="907"/>
      <c r="G286" s="907"/>
      <c r="H286" s="907"/>
      <c r="I286" s="907"/>
      <c r="J286" s="907"/>
      <c r="K286" s="907"/>
      <c r="L286" s="907"/>
      <c r="M286" s="907"/>
      <c r="N286" s="907"/>
      <c r="O286" s="907"/>
      <c r="P286" s="907"/>
      <c r="Q286" s="907"/>
      <c r="R286" s="907"/>
      <c r="S286" s="907"/>
      <c r="T286" s="907"/>
      <c r="U286" s="906"/>
      <c r="V286" s="905"/>
      <c r="W286" s="905"/>
      <c r="X286" s="905"/>
      <c r="Y286" s="905"/>
      <c r="Z286" s="905"/>
      <c r="AA286" s="905"/>
      <c r="AB286" s="905"/>
      <c r="AC286" s="905"/>
      <c r="AD286" s="905"/>
      <c r="AE286" s="918"/>
      <c r="AF286" s="918"/>
      <c r="AG286" s="918"/>
    </row>
    <row r="287" spans="1:33">
      <c r="A287" s="901" t="s">
        <v>1059</v>
      </c>
      <c r="B287" s="902" t="s">
        <v>1062</v>
      </c>
      <c r="C287" s="904"/>
      <c r="D287" s="904"/>
      <c r="E287" s="920"/>
      <c r="F287" s="907"/>
      <c r="G287" s="907"/>
      <c r="H287" s="907"/>
      <c r="I287" s="907"/>
      <c r="J287" s="907"/>
      <c r="K287" s="907"/>
      <c r="L287" s="907"/>
      <c r="M287" s="907"/>
      <c r="N287" s="907"/>
      <c r="O287" s="907"/>
      <c r="P287" s="907"/>
      <c r="Q287" s="907"/>
      <c r="R287" s="907"/>
      <c r="S287" s="907"/>
      <c r="T287" s="907"/>
      <c r="U287" s="907"/>
      <c r="V287" s="906"/>
      <c r="W287" s="905"/>
      <c r="X287" s="905"/>
      <c r="Y287" s="905"/>
      <c r="Z287" s="905"/>
      <c r="AA287" s="905"/>
      <c r="AB287" s="905"/>
      <c r="AC287" s="905"/>
      <c r="AD287" s="905"/>
      <c r="AE287" s="918"/>
      <c r="AF287" s="918"/>
      <c r="AG287" s="918"/>
    </row>
    <row r="288" spans="1:33">
      <c r="A288" s="901" t="s">
        <v>1059</v>
      </c>
      <c r="B288" s="902" t="s">
        <v>515</v>
      </c>
      <c r="C288" s="904"/>
      <c r="D288" s="904"/>
      <c r="E288" s="920"/>
      <c r="F288" s="907"/>
      <c r="G288" s="907"/>
      <c r="H288" s="907"/>
      <c r="I288" s="907"/>
      <c r="J288" s="907"/>
      <c r="K288" s="907"/>
      <c r="L288" s="907"/>
      <c r="M288" s="907"/>
      <c r="N288" s="907"/>
      <c r="O288" s="907"/>
      <c r="P288" s="907"/>
      <c r="Q288" s="907"/>
      <c r="R288" s="907"/>
      <c r="S288" s="907"/>
      <c r="T288" s="907"/>
      <c r="U288" s="907"/>
      <c r="V288" s="907"/>
      <c r="W288" s="906"/>
      <c r="X288" s="905"/>
      <c r="Y288" s="905"/>
      <c r="Z288" s="905"/>
      <c r="AA288" s="905"/>
      <c r="AB288" s="905"/>
      <c r="AC288" s="905"/>
      <c r="AD288" s="905"/>
      <c r="AE288" s="918"/>
      <c r="AF288" s="918"/>
      <c r="AG288" s="918"/>
    </row>
    <row r="289" spans="1:33">
      <c r="A289" s="901" t="s">
        <v>1059</v>
      </c>
      <c r="B289" s="902" t="s">
        <v>516</v>
      </c>
      <c r="C289" s="904"/>
      <c r="D289" s="904"/>
      <c r="E289" s="920"/>
      <c r="F289" s="907"/>
      <c r="G289" s="907"/>
      <c r="H289" s="907"/>
      <c r="I289" s="907"/>
      <c r="J289" s="907"/>
      <c r="K289" s="907"/>
      <c r="L289" s="907"/>
      <c r="M289" s="907"/>
      <c r="N289" s="907"/>
      <c r="O289" s="907"/>
      <c r="P289" s="907"/>
      <c r="Q289" s="907"/>
      <c r="R289" s="907"/>
      <c r="S289" s="907"/>
      <c r="T289" s="907"/>
      <c r="U289" s="907"/>
      <c r="V289" s="907"/>
      <c r="W289" s="907"/>
      <c r="X289" s="906"/>
      <c r="Y289" s="905"/>
      <c r="Z289" s="905"/>
      <c r="AA289" s="905"/>
      <c r="AB289" s="905"/>
      <c r="AC289" s="905"/>
      <c r="AD289" s="905"/>
      <c r="AE289" s="918"/>
      <c r="AF289" s="918"/>
      <c r="AG289" s="918"/>
    </row>
    <row r="290" spans="1:33">
      <c r="A290" s="901" t="s">
        <v>1059</v>
      </c>
      <c r="B290" s="902" t="s">
        <v>1063</v>
      </c>
      <c r="C290" s="904"/>
      <c r="D290" s="904"/>
      <c r="E290" s="920"/>
      <c r="F290" s="907"/>
      <c r="G290" s="907"/>
      <c r="H290" s="907"/>
      <c r="I290" s="907"/>
      <c r="J290" s="907"/>
      <c r="K290" s="907"/>
      <c r="L290" s="907"/>
      <c r="M290" s="907"/>
      <c r="N290" s="907"/>
      <c r="O290" s="907"/>
      <c r="P290" s="907"/>
      <c r="Q290" s="907"/>
      <c r="R290" s="907"/>
      <c r="S290" s="907"/>
      <c r="T290" s="907"/>
      <c r="U290" s="907"/>
      <c r="V290" s="907"/>
      <c r="W290" s="907"/>
      <c r="X290" s="907"/>
      <c r="Y290" s="906"/>
      <c r="Z290" s="918"/>
      <c r="AA290" s="918"/>
      <c r="AB290" s="918"/>
      <c r="AC290" s="918"/>
      <c r="AD290" s="918"/>
      <c r="AE290" s="918"/>
      <c r="AF290" s="918"/>
      <c r="AG290" s="918"/>
    </row>
    <row r="291" spans="1:33">
      <c r="A291" s="901" t="s">
        <v>1059</v>
      </c>
      <c r="B291" s="902" t="s">
        <v>1064</v>
      </c>
      <c r="C291" s="904"/>
      <c r="D291" s="904"/>
      <c r="E291" s="920"/>
      <c r="F291" s="907"/>
      <c r="G291" s="907"/>
      <c r="H291" s="907"/>
      <c r="I291" s="907"/>
      <c r="J291" s="907"/>
      <c r="K291" s="907"/>
      <c r="L291" s="907"/>
      <c r="M291" s="907"/>
      <c r="N291" s="907"/>
      <c r="O291" s="907"/>
      <c r="P291" s="907"/>
      <c r="Q291" s="907"/>
      <c r="R291" s="907"/>
      <c r="S291" s="907"/>
      <c r="T291" s="907"/>
      <c r="U291" s="907"/>
      <c r="V291" s="907"/>
      <c r="W291" s="907"/>
      <c r="X291" s="907"/>
      <c r="Y291" s="907"/>
      <c r="Z291" s="906"/>
      <c r="AA291" s="905"/>
      <c r="AB291" s="905"/>
      <c r="AC291" s="905"/>
      <c r="AD291" s="905"/>
      <c r="AE291" s="904"/>
      <c r="AF291" s="904"/>
      <c r="AG291" s="918"/>
    </row>
    <row r="292" spans="1:33">
      <c r="A292" s="901" t="s">
        <v>1059</v>
      </c>
      <c r="B292" s="902" t="s">
        <v>1065</v>
      </c>
      <c r="C292" s="904"/>
      <c r="D292" s="904"/>
      <c r="E292" s="920"/>
      <c r="F292" s="907"/>
      <c r="G292" s="907"/>
      <c r="H292" s="907"/>
      <c r="I292" s="907"/>
      <c r="J292" s="907"/>
      <c r="K292" s="907"/>
      <c r="L292" s="907"/>
      <c r="M292" s="907"/>
      <c r="N292" s="907"/>
      <c r="O292" s="907"/>
      <c r="P292" s="907"/>
      <c r="Q292" s="907"/>
      <c r="R292" s="907"/>
      <c r="S292" s="907"/>
      <c r="T292" s="907"/>
      <c r="U292" s="907"/>
      <c r="V292" s="907"/>
      <c r="W292" s="907"/>
      <c r="X292" s="907"/>
      <c r="Y292" s="907"/>
      <c r="Z292" s="907"/>
      <c r="AA292" s="906"/>
      <c r="AB292" s="905"/>
      <c r="AC292" s="905"/>
      <c r="AD292" s="905"/>
      <c r="AE292" s="904"/>
      <c r="AF292" s="904"/>
      <c r="AG292" s="918"/>
    </row>
    <row r="293" spans="1:33">
      <c r="A293" s="901" t="s">
        <v>1059</v>
      </c>
      <c r="B293" s="902" t="s">
        <v>1066</v>
      </c>
      <c r="C293" s="904"/>
      <c r="D293" s="904"/>
      <c r="E293" s="920"/>
      <c r="F293" s="907"/>
      <c r="G293" s="907"/>
      <c r="H293" s="907"/>
      <c r="I293" s="907"/>
      <c r="J293" s="907"/>
      <c r="K293" s="907"/>
      <c r="L293" s="907"/>
      <c r="M293" s="907"/>
      <c r="N293" s="907"/>
      <c r="O293" s="907"/>
      <c r="P293" s="907"/>
      <c r="Q293" s="907"/>
      <c r="R293" s="907"/>
      <c r="S293" s="907"/>
      <c r="T293" s="907"/>
      <c r="U293" s="907"/>
      <c r="V293" s="907"/>
      <c r="W293" s="907"/>
      <c r="X293" s="907"/>
      <c r="Y293" s="907"/>
      <c r="Z293" s="907"/>
      <c r="AA293" s="907"/>
      <c r="AB293" s="906"/>
      <c r="AC293" s="905"/>
      <c r="AD293" s="905"/>
      <c r="AE293" s="904"/>
      <c r="AF293" s="904"/>
      <c r="AG293" s="918"/>
    </row>
    <row r="294" spans="1:33">
      <c r="A294" s="901" t="s">
        <v>1059</v>
      </c>
      <c r="B294" s="902" t="s">
        <v>1067</v>
      </c>
      <c r="C294" s="904"/>
      <c r="D294" s="904"/>
      <c r="E294" s="920"/>
      <c r="F294" s="907"/>
      <c r="G294" s="907"/>
      <c r="H294" s="907"/>
      <c r="I294" s="907"/>
      <c r="J294" s="907"/>
      <c r="K294" s="907"/>
      <c r="L294" s="907"/>
      <c r="M294" s="907"/>
      <c r="N294" s="907"/>
      <c r="O294" s="907"/>
      <c r="P294" s="907"/>
      <c r="Q294" s="907"/>
      <c r="R294" s="907"/>
      <c r="S294" s="907"/>
      <c r="T294" s="907"/>
      <c r="U294" s="907"/>
      <c r="V294" s="907"/>
      <c r="W294" s="907"/>
      <c r="X294" s="907"/>
      <c r="Y294" s="907"/>
      <c r="Z294" s="907"/>
      <c r="AA294" s="907"/>
      <c r="AB294" s="907"/>
      <c r="AC294" s="906"/>
      <c r="AD294" s="905"/>
      <c r="AE294" s="904"/>
      <c r="AF294" s="904"/>
      <c r="AG294" s="918"/>
    </row>
    <row r="295" spans="1:33">
      <c r="A295" s="901" t="s">
        <v>1059</v>
      </c>
      <c r="B295" s="902" t="s">
        <v>1068</v>
      </c>
      <c r="C295" s="904"/>
      <c r="D295" s="904"/>
      <c r="E295" s="920"/>
      <c r="F295" s="907"/>
      <c r="G295" s="907"/>
      <c r="H295" s="907"/>
      <c r="I295" s="907"/>
      <c r="J295" s="907"/>
      <c r="K295" s="907"/>
      <c r="L295" s="907"/>
      <c r="M295" s="907"/>
      <c r="N295" s="907"/>
      <c r="O295" s="907"/>
      <c r="P295" s="907"/>
      <c r="Q295" s="907"/>
      <c r="R295" s="907"/>
      <c r="S295" s="907"/>
      <c r="T295" s="907"/>
      <c r="U295" s="907"/>
      <c r="V295" s="907"/>
      <c r="W295" s="907"/>
      <c r="X295" s="907"/>
      <c r="Y295" s="907"/>
      <c r="Z295" s="907"/>
      <c r="AA295" s="907"/>
      <c r="AB295" s="907"/>
      <c r="AC295" s="907"/>
      <c r="AD295" s="906"/>
      <c r="AE295" s="904"/>
      <c r="AF295" s="904"/>
      <c r="AG295" s="918"/>
    </row>
    <row r="296" spans="1:33" ht="13">
      <c r="A296" s="909"/>
      <c r="B296" s="910" t="s">
        <v>272</v>
      </c>
      <c r="C296" s="911"/>
      <c r="D296" s="911"/>
      <c r="E296" s="911"/>
      <c r="F296" s="911"/>
      <c r="G296" s="911"/>
      <c r="H296" s="911"/>
      <c r="I296" s="911"/>
      <c r="J296" s="911"/>
      <c r="K296" s="911"/>
      <c r="L296" s="911"/>
      <c r="M296" s="911"/>
      <c r="N296" s="911"/>
      <c r="O296" s="911"/>
      <c r="P296" s="911"/>
      <c r="Q296" s="911"/>
      <c r="R296" s="911"/>
      <c r="S296" s="911"/>
      <c r="T296" s="911"/>
      <c r="U296" s="911"/>
      <c r="V296" s="911"/>
      <c r="W296" s="911"/>
      <c r="X296" s="911"/>
      <c r="Y296" s="911"/>
      <c r="Z296" s="911"/>
      <c r="AA296" s="911"/>
      <c r="AB296" s="911"/>
      <c r="AC296" s="911"/>
      <c r="AD296" s="911"/>
      <c r="AE296" s="911"/>
      <c r="AF296" s="911"/>
      <c r="AG296" s="911"/>
    </row>
    <row r="297" spans="1:33">
      <c r="C297" s="923"/>
    </row>
    <row r="300" spans="1:33" ht="13">
      <c r="B300" s="896" t="s">
        <v>272</v>
      </c>
      <c r="F300" s="897" t="s">
        <v>10</v>
      </c>
    </row>
    <row r="301" spans="1:33" ht="26.15" customHeight="1">
      <c r="A301" s="898"/>
      <c r="B301" s="916" t="s">
        <v>414</v>
      </c>
      <c r="C301" s="1899" t="s">
        <v>1070</v>
      </c>
      <c r="D301" s="1899" t="s">
        <v>1038</v>
      </c>
      <c r="E301" s="1899" t="s">
        <v>1039</v>
      </c>
      <c r="F301" s="1901" t="s">
        <v>1040</v>
      </c>
      <c r="G301" s="1902"/>
      <c r="H301" s="1902"/>
      <c r="I301" s="1902"/>
      <c r="J301" s="1902"/>
      <c r="K301" s="1902"/>
      <c r="L301" s="1902"/>
      <c r="M301" s="1902"/>
      <c r="N301" s="1902"/>
      <c r="O301" s="1902"/>
      <c r="P301" s="1902"/>
      <c r="Q301" s="1902"/>
      <c r="R301" s="1902"/>
      <c r="S301" s="1902"/>
      <c r="T301" s="1902"/>
      <c r="U301" s="1902"/>
      <c r="V301" s="1902"/>
      <c r="W301" s="1902"/>
      <c r="X301" s="1902"/>
      <c r="Y301" s="1902"/>
      <c r="Z301" s="1902"/>
      <c r="AA301" s="1902"/>
      <c r="AB301" s="1902"/>
      <c r="AC301" s="1902"/>
      <c r="AD301" s="1903"/>
      <c r="AE301" s="899" t="s">
        <v>1041</v>
      </c>
      <c r="AF301" s="899" t="s">
        <v>1042</v>
      </c>
      <c r="AG301" s="899" t="s">
        <v>1043</v>
      </c>
    </row>
    <row r="302" spans="1:33" ht="12.9" customHeight="1">
      <c r="A302" s="898"/>
      <c r="B302" s="916"/>
      <c r="C302" s="1900"/>
      <c r="D302" s="1900"/>
      <c r="E302" s="1900"/>
      <c r="F302" s="900" t="s">
        <v>1044</v>
      </c>
      <c r="G302" s="900" t="s">
        <v>1045</v>
      </c>
      <c r="H302" s="900" t="s">
        <v>1046</v>
      </c>
      <c r="I302" s="900" t="s">
        <v>1047</v>
      </c>
      <c r="J302" s="900" t="s">
        <v>1048</v>
      </c>
      <c r="K302" s="900" t="s">
        <v>1049</v>
      </c>
      <c r="L302" s="900" t="s">
        <v>1050</v>
      </c>
      <c r="M302" s="900" t="s">
        <v>1051</v>
      </c>
      <c r="N302" s="900" t="s">
        <v>1052</v>
      </c>
      <c r="O302" s="900" t="s">
        <v>1053</v>
      </c>
      <c r="P302" s="900" t="s">
        <v>1054</v>
      </c>
      <c r="Q302" s="900" t="s">
        <v>1055</v>
      </c>
      <c r="R302" s="900" t="s">
        <v>1056</v>
      </c>
      <c r="S302" s="900" t="s">
        <v>1057</v>
      </c>
      <c r="T302" s="900" t="s">
        <v>326</v>
      </c>
      <c r="U302" s="900" t="s">
        <v>507</v>
      </c>
      <c r="V302" s="900" t="s">
        <v>508</v>
      </c>
      <c r="W302" s="900" t="s">
        <v>509</v>
      </c>
      <c r="X302" s="900" t="s">
        <v>510</v>
      </c>
      <c r="Y302" s="900" t="s">
        <v>511</v>
      </c>
      <c r="Z302" s="900" t="s">
        <v>947</v>
      </c>
      <c r="AA302" s="900" t="s">
        <v>948</v>
      </c>
      <c r="AB302" s="900" t="s">
        <v>949</v>
      </c>
      <c r="AC302" s="900" t="s">
        <v>950</v>
      </c>
      <c r="AD302" s="900" t="s">
        <v>951</v>
      </c>
      <c r="AE302" s="899"/>
      <c r="AF302" s="899"/>
      <c r="AG302" s="899"/>
    </row>
    <row r="303" spans="1:33">
      <c r="A303" s="901" t="s">
        <v>1058</v>
      </c>
      <c r="B303" s="902">
        <v>2005</v>
      </c>
      <c r="C303" s="926"/>
      <c r="D303" s="926"/>
      <c r="E303" s="917"/>
      <c r="F303" s="905"/>
      <c r="G303" s="905"/>
      <c r="H303" s="905"/>
      <c r="I303" s="905"/>
      <c r="J303" s="905"/>
      <c r="K303" s="905"/>
      <c r="L303" s="905"/>
      <c r="M303" s="905"/>
      <c r="N303" s="905"/>
      <c r="O303" s="905"/>
      <c r="P303" s="905"/>
      <c r="Q303" s="905"/>
      <c r="R303" s="905"/>
      <c r="S303" s="905"/>
      <c r="T303" s="905"/>
      <c r="U303" s="905"/>
      <c r="V303" s="905"/>
      <c r="W303" s="905"/>
      <c r="X303" s="905"/>
      <c r="Y303" s="905"/>
      <c r="Z303" s="905"/>
      <c r="AA303" s="905"/>
      <c r="AB303" s="905"/>
      <c r="AC303" s="905"/>
      <c r="AD303" s="905"/>
      <c r="AE303" s="918"/>
      <c r="AF303" s="918"/>
      <c r="AG303" s="918"/>
    </row>
    <row r="304" spans="1:33">
      <c r="A304" s="901" t="s">
        <v>1059</v>
      </c>
      <c r="B304" s="902" t="s">
        <v>1044</v>
      </c>
      <c r="C304" s="926"/>
      <c r="D304" s="926"/>
      <c r="E304" s="917"/>
      <c r="F304" s="906"/>
      <c r="G304" s="905"/>
      <c r="H304" s="905"/>
      <c r="I304" s="905"/>
      <c r="J304" s="905"/>
      <c r="K304" s="905"/>
      <c r="L304" s="905"/>
      <c r="M304" s="905"/>
      <c r="N304" s="905"/>
      <c r="O304" s="905"/>
      <c r="P304" s="905"/>
      <c r="Q304" s="905"/>
      <c r="R304" s="905"/>
      <c r="S304" s="905"/>
      <c r="T304" s="905"/>
      <c r="U304" s="905"/>
      <c r="V304" s="905"/>
      <c r="W304" s="905"/>
      <c r="X304" s="905"/>
      <c r="Y304" s="905"/>
      <c r="Z304" s="905"/>
      <c r="AA304" s="905"/>
      <c r="AB304" s="905"/>
      <c r="AC304" s="905"/>
      <c r="AD304" s="905"/>
      <c r="AE304" s="918"/>
      <c r="AF304" s="918"/>
      <c r="AG304" s="918"/>
    </row>
    <row r="305" spans="1:33">
      <c r="A305" s="901" t="s">
        <v>1059</v>
      </c>
      <c r="B305" s="902" t="s">
        <v>1045</v>
      </c>
      <c r="C305" s="926"/>
      <c r="D305" s="926"/>
      <c r="E305" s="917"/>
      <c r="F305" s="907"/>
      <c r="G305" s="906"/>
      <c r="H305" s="905"/>
      <c r="I305" s="905"/>
      <c r="J305" s="905"/>
      <c r="K305" s="905"/>
      <c r="L305" s="905"/>
      <c r="M305" s="905"/>
      <c r="N305" s="905"/>
      <c r="O305" s="905"/>
      <c r="P305" s="905"/>
      <c r="Q305" s="905"/>
      <c r="R305" s="905"/>
      <c r="S305" s="905"/>
      <c r="T305" s="905"/>
      <c r="U305" s="905"/>
      <c r="V305" s="905"/>
      <c r="W305" s="905"/>
      <c r="X305" s="905"/>
      <c r="Y305" s="905"/>
      <c r="Z305" s="905"/>
      <c r="AA305" s="905"/>
      <c r="AB305" s="905"/>
      <c r="AC305" s="905"/>
      <c r="AD305" s="905"/>
      <c r="AE305" s="918"/>
      <c r="AF305" s="918"/>
      <c r="AG305" s="918"/>
    </row>
    <row r="306" spans="1:33">
      <c r="A306" s="901" t="s">
        <v>1059</v>
      </c>
      <c r="B306" s="902" t="s">
        <v>1046</v>
      </c>
      <c r="C306" s="926"/>
      <c r="D306" s="926"/>
      <c r="E306" s="917"/>
      <c r="F306" s="907"/>
      <c r="G306" s="907"/>
      <c r="H306" s="906"/>
      <c r="I306" s="905"/>
      <c r="J306" s="905"/>
      <c r="K306" s="905"/>
      <c r="L306" s="905"/>
      <c r="M306" s="905"/>
      <c r="N306" s="905"/>
      <c r="O306" s="905"/>
      <c r="P306" s="905"/>
      <c r="Q306" s="905"/>
      <c r="R306" s="905"/>
      <c r="S306" s="905"/>
      <c r="T306" s="905"/>
      <c r="U306" s="905"/>
      <c r="V306" s="905"/>
      <c r="W306" s="905"/>
      <c r="X306" s="905"/>
      <c r="Y306" s="905"/>
      <c r="Z306" s="905"/>
      <c r="AA306" s="905"/>
      <c r="AB306" s="905"/>
      <c r="AC306" s="905"/>
      <c r="AD306" s="905"/>
      <c r="AE306" s="918"/>
      <c r="AF306" s="918"/>
      <c r="AG306" s="918"/>
    </row>
    <row r="307" spans="1:33">
      <c r="A307" s="901" t="s">
        <v>1059</v>
      </c>
      <c r="B307" s="902" t="s">
        <v>1047</v>
      </c>
      <c r="C307" s="926"/>
      <c r="D307" s="926"/>
      <c r="E307" s="917"/>
      <c r="F307" s="907"/>
      <c r="G307" s="907"/>
      <c r="H307" s="907"/>
      <c r="I307" s="906"/>
      <c r="J307" s="905"/>
      <c r="K307" s="905"/>
      <c r="L307" s="905"/>
      <c r="M307" s="905"/>
      <c r="N307" s="905"/>
      <c r="O307" s="905"/>
      <c r="P307" s="905"/>
      <c r="Q307" s="905"/>
      <c r="R307" s="905"/>
      <c r="S307" s="905"/>
      <c r="T307" s="905"/>
      <c r="U307" s="905"/>
      <c r="V307" s="905"/>
      <c r="W307" s="905"/>
      <c r="X307" s="905"/>
      <c r="Y307" s="905"/>
      <c r="Z307" s="905"/>
      <c r="AA307" s="905"/>
      <c r="AB307" s="905"/>
      <c r="AC307" s="905"/>
      <c r="AD307" s="905"/>
      <c r="AE307" s="918"/>
      <c r="AF307" s="918"/>
      <c r="AG307" s="918"/>
    </row>
    <row r="308" spans="1:33">
      <c r="A308" s="901" t="s">
        <v>1059</v>
      </c>
      <c r="B308" s="902" t="s">
        <v>1048</v>
      </c>
      <c r="C308" s="926"/>
      <c r="D308" s="926"/>
      <c r="E308" s="917"/>
      <c r="F308" s="907"/>
      <c r="G308" s="907"/>
      <c r="H308" s="907"/>
      <c r="I308" s="907"/>
      <c r="J308" s="906"/>
      <c r="K308" s="905"/>
      <c r="L308" s="905"/>
      <c r="M308" s="905"/>
      <c r="N308" s="905"/>
      <c r="O308" s="905"/>
      <c r="P308" s="905"/>
      <c r="Q308" s="905"/>
      <c r="R308" s="905"/>
      <c r="S308" s="905"/>
      <c r="T308" s="905"/>
      <c r="U308" s="905"/>
      <c r="V308" s="905"/>
      <c r="W308" s="905"/>
      <c r="X308" s="905"/>
      <c r="Y308" s="905"/>
      <c r="Z308" s="905"/>
      <c r="AA308" s="905"/>
      <c r="AB308" s="905"/>
      <c r="AC308" s="905"/>
      <c r="AD308" s="905"/>
      <c r="AE308" s="918"/>
      <c r="AF308" s="918"/>
      <c r="AG308" s="918"/>
    </row>
    <row r="309" spans="1:33">
      <c r="A309" s="901" t="s">
        <v>1059</v>
      </c>
      <c r="B309" s="902" t="s">
        <v>1049</v>
      </c>
      <c r="C309" s="926"/>
      <c r="D309" s="926"/>
      <c r="E309" s="917"/>
      <c r="F309" s="907"/>
      <c r="G309" s="907"/>
      <c r="H309" s="907"/>
      <c r="I309" s="907"/>
      <c r="J309" s="907"/>
      <c r="K309" s="906"/>
      <c r="L309" s="905"/>
      <c r="M309" s="905"/>
      <c r="N309" s="905"/>
      <c r="O309" s="905"/>
      <c r="P309" s="905"/>
      <c r="Q309" s="905"/>
      <c r="R309" s="905"/>
      <c r="S309" s="905"/>
      <c r="T309" s="905"/>
      <c r="U309" s="905"/>
      <c r="V309" s="905"/>
      <c r="W309" s="905"/>
      <c r="X309" s="905"/>
      <c r="Y309" s="905"/>
      <c r="Z309" s="905"/>
      <c r="AA309" s="905"/>
      <c r="AB309" s="905"/>
      <c r="AC309" s="905"/>
      <c r="AD309" s="905"/>
      <c r="AE309" s="918"/>
      <c r="AF309" s="918"/>
      <c r="AG309" s="918"/>
    </row>
    <row r="310" spans="1:33">
      <c r="A310" s="901" t="s">
        <v>1059</v>
      </c>
      <c r="B310" s="902" t="s">
        <v>1050</v>
      </c>
      <c r="C310" s="926"/>
      <c r="D310" s="926"/>
      <c r="E310" s="917"/>
      <c r="F310" s="907"/>
      <c r="G310" s="907"/>
      <c r="H310" s="907"/>
      <c r="I310" s="907"/>
      <c r="J310" s="907"/>
      <c r="K310" s="907"/>
      <c r="L310" s="906"/>
      <c r="M310" s="905"/>
      <c r="N310" s="905"/>
      <c r="O310" s="905"/>
      <c r="P310" s="905"/>
      <c r="Q310" s="905"/>
      <c r="R310" s="905"/>
      <c r="S310" s="905"/>
      <c r="T310" s="905"/>
      <c r="U310" s="905"/>
      <c r="V310" s="905"/>
      <c r="W310" s="905"/>
      <c r="X310" s="905"/>
      <c r="Y310" s="905"/>
      <c r="Z310" s="905"/>
      <c r="AA310" s="905"/>
      <c r="AB310" s="905"/>
      <c r="AC310" s="905"/>
      <c r="AD310" s="905"/>
      <c r="AE310" s="918"/>
      <c r="AF310" s="918"/>
      <c r="AG310" s="918"/>
    </row>
    <row r="311" spans="1:33">
      <c r="A311" s="901" t="s">
        <v>1059</v>
      </c>
      <c r="B311" s="902" t="s">
        <v>1051</v>
      </c>
      <c r="C311" s="926"/>
      <c r="D311" s="926"/>
      <c r="E311" s="917"/>
      <c r="F311" s="907"/>
      <c r="G311" s="907"/>
      <c r="H311" s="907"/>
      <c r="I311" s="907"/>
      <c r="J311" s="907"/>
      <c r="K311" s="907"/>
      <c r="L311" s="907"/>
      <c r="M311" s="906"/>
      <c r="N311" s="905"/>
      <c r="O311" s="905"/>
      <c r="P311" s="905"/>
      <c r="Q311" s="905"/>
      <c r="R311" s="905"/>
      <c r="S311" s="905"/>
      <c r="T311" s="905"/>
      <c r="U311" s="905"/>
      <c r="V311" s="905"/>
      <c r="W311" s="905"/>
      <c r="X311" s="905"/>
      <c r="Y311" s="905"/>
      <c r="Z311" s="905"/>
      <c r="AA311" s="905"/>
      <c r="AB311" s="905"/>
      <c r="AC311" s="905"/>
      <c r="AD311" s="905"/>
      <c r="AE311" s="918"/>
      <c r="AF311" s="918"/>
      <c r="AG311" s="918"/>
    </row>
    <row r="312" spans="1:33">
      <c r="A312" s="901" t="s">
        <v>1059</v>
      </c>
      <c r="B312" s="902" t="s">
        <v>1052</v>
      </c>
      <c r="C312" s="926"/>
      <c r="D312" s="926"/>
      <c r="E312" s="917"/>
      <c r="F312" s="907"/>
      <c r="G312" s="907"/>
      <c r="H312" s="907"/>
      <c r="I312" s="907"/>
      <c r="J312" s="907"/>
      <c r="K312" s="907"/>
      <c r="L312" s="907"/>
      <c r="M312" s="907"/>
      <c r="N312" s="906"/>
      <c r="O312" s="905"/>
      <c r="P312" s="905"/>
      <c r="Q312" s="905"/>
      <c r="R312" s="905"/>
      <c r="S312" s="905"/>
      <c r="T312" s="905"/>
      <c r="U312" s="905"/>
      <c r="V312" s="905"/>
      <c r="W312" s="905"/>
      <c r="X312" s="905"/>
      <c r="Y312" s="905"/>
      <c r="Z312" s="905"/>
      <c r="AA312" s="905"/>
      <c r="AB312" s="905"/>
      <c r="AC312" s="905"/>
      <c r="AD312" s="905"/>
      <c r="AE312" s="918"/>
      <c r="AF312" s="918"/>
      <c r="AG312" s="918"/>
    </row>
    <row r="313" spans="1:33">
      <c r="A313" s="901" t="s">
        <v>1059</v>
      </c>
      <c r="B313" s="902" t="s">
        <v>1053</v>
      </c>
      <c r="C313" s="926"/>
      <c r="D313" s="926"/>
      <c r="E313" s="917"/>
      <c r="F313" s="907"/>
      <c r="G313" s="907"/>
      <c r="H313" s="907"/>
      <c r="I313" s="907"/>
      <c r="J313" s="907"/>
      <c r="K313" s="907"/>
      <c r="L313" s="907"/>
      <c r="M313" s="907"/>
      <c r="N313" s="907"/>
      <c r="O313" s="906"/>
      <c r="P313" s="905"/>
      <c r="Q313" s="905"/>
      <c r="R313" s="905"/>
      <c r="S313" s="905"/>
      <c r="T313" s="905"/>
      <c r="U313" s="905"/>
      <c r="V313" s="905"/>
      <c r="W313" s="905"/>
      <c r="X313" s="905"/>
      <c r="Y313" s="905"/>
      <c r="Z313" s="905"/>
      <c r="AA313" s="905"/>
      <c r="AB313" s="905"/>
      <c r="AC313" s="905"/>
      <c r="AD313" s="905"/>
      <c r="AE313" s="918"/>
      <c r="AF313" s="918"/>
      <c r="AG313" s="918"/>
    </row>
    <row r="314" spans="1:33">
      <c r="A314" s="901" t="s">
        <v>1059</v>
      </c>
      <c r="B314" s="902" t="s">
        <v>1054</v>
      </c>
      <c r="C314" s="926"/>
      <c r="D314" s="926"/>
      <c r="E314" s="917"/>
      <c r="F314" s="907"/>
      <c r="G314" s="907"/>
      <c r="H314" s="907"/>
      <c r="I314" s="907"/>
      <c r="J314" s="907"/>
      <c r="K314" s="907"/>
      <c r="L314" s="907"/>
      <c r="M314" s="907"/>
      <c r="N314" s="907"/>
      <c r="O314" s="907"/>
      <c r="P314" s="906"/>
      <c r="Q314" s="905"/>
      <c r="R314" s="905"/>
      <c r="S314" s="905"/>
      <c r="T314" s="905"/>
      <c r="U314" s="905"/>
      <c r="V314" s="905"/>
      <c r="W314" s="905"/>
      <c r="X314" s="905"/>
      <c r="Y314" s="905"/>
      <c r="Z314" s="905"/>
      <c r="AA314" s="905"/>
      <c r="AB314" s="905"/>
      <c r="AC314" s="905"/>
      <c r="AD314" s="905"/>
      <c r="AE314" s="918"/>
      <c r="AF314" s="918"/>
      <c r="AG314" s="918"/>
    </row>
    <row r="315" spans="1:33">
      <c r="A315" s="901" t="s">
        <v>1059</v>
      </c>
      <c r="B315" s="902" t="s">
        <v>1055</v>
      </c>
      <c r="C315" s="926"/>
      <c r="D315" s="926"/>
      <c r="E315" s="917"/>
      <c r="F315" s="907"/>
      <c r="G315" s="907"/>
      <c r="H315" s="907"/>
      <c r="I315" s="907"/>
      <c r="J315" s="907"/>
      <c r="K315" s="907"/>
      <c r="L315" s="907"/>
      <c r="M315" s="907"/>
      <c r="N315" s="907"/>
      <c r="O315" s="907"/>
      <c r="P315" s="907"/>
      <c r="Q315" s="906"/>
      <c r="R315" s="905"/>
      <c r="S315" s="905"/>
      <c r="T315" s="905"/>
      <c r="U315" s="905"/>
      <c r="V315" s="905"/>
      <c r="W315" s="905"/>
      <c r="X315" s="905"/>
      <c r="Y315" s="905"/>
      <c r="Z315" s="905"/>
      <c r="AA315" s="905"/>
      <c r="AB315" s="905"/>
      <c r="AC315" s="905"/>
      <c r="AD315" s="905"/>
      <c r="AE315" s="918"/>
      <c r="AF315" s="918"/>
      <c r="AG315" s="918"/>
    </row>
    <row r="316" spans="1:33">
      <c r="A316" s="901" t="s">
        <v>1059</v>
      </c>
      <c r="B316" s="902" t="s">
        <v>1056</v>
      </c>
      <c r="C316" s="926"/>
      <c r="D316" s="926"/>
      <c r="E316" s="917"/>
      <c r="F316" s="907"/>
      <c r="G316" s="907"/>
      <c r="H316" s="907"/>
      <c r="I316" s="907"/>
      <c r="J316" s="907"/>
      <c r="K316" s="907"/>
      <c r="L316" s="907"/>
      <c r="M316" s="907"/>
      <c r="N316" s="907"/>
      <c r="O316" s="907"/>
      <c r="P316" s="907"/>
      <c r="Q316" s="907"/>
      <c r="R316" s="906"/>
      <c r="S316" s="905"/>
      <c r="T316" s="905"/>
      <c r="U316" s="905"/>
      <c r="V316" s="905"/>
      <c r="W316" s="905"/>
      <c r="X316" s="905"/>
      <c r="Y316" s="905"/>
      <c r="Z316" s="905"/>
      <c r="AA316" s="905"/>
      <c r="AB316" s="905"/>
      <c r="AC316" s="905"/>
      <c r="AD316" s="905"/>
      <c r="AE316" s="918"/>
      <c r="AF316" s="918"/>
      <c r="AG316" s="918"/>
    </row>
    <row r="317" spans="1:33">
      <c r="A317" s="901" t="s">
        <v>1059</v>
      </c>
      <c r="B317" s="902" t="s">
        <v>1057</v>
      </c>
      <c r="C317" s="926"/>
      <c r="D317" s="926"/>
      <c r="E317" s="917"/>
      <c r="F317" s="907"/>
      <c r="G317" s="907"/>
      <c r="H317" s="907"/>
      <c r="I317" s="907"/>
      <c r="J317" s="907"/>
      <c r="K317" s="907"/>
      <c r="L317" s="907"/>
      <c r="M317" s="907"/>
      <c r="N317" s="907"/>
      <c r="O317" s="907"/>
      <c r="P317" s="907"/>
      <c r="Q317" s="907"/>
      <c r="R317" s="907"/>
      <c r="S317" s="906"/>
      <c r="T317" s="905"/>
      <c r="U317" s="905"/>
      <c r="V317" s="905"/>
      <c r="W317" s="905"/>
      <c r="X317" s="905"/>
      <c r="Y317" s="905"/>
      <c r="Z317" s="905"/>
      <c r="AA317" s="905"/>
      <c r="AB317" s="905"/>
      <c r="AC317" s="905"/>
      <c r="AD317" s="905"/>
      <c r="AE317" s="918"/>
      <c r="AF317" s="918"/>
      <c r="AG317" s="918"/>
    </row>
    <row r="318" spans="1:33">
      <c r="A318" s="901" t="s">
        <v>1059</v>
      </c>
      <c r="B318" s="902" t="s">
        <v>1060</v>
      </c>
      <c r="C318" s="926"/>
      <c r="D318" s="926"/>
      <c r="E318" s="917"/>
      <c r="F318" s="907"/>
      <c r="G318" s="907"/>
      <c r="H318" s="907"/>
      <c r="I318" s="907"/>
      <c r="J318" s="907"/>
      <c r="K318" s="907"/>
      <c r="L318" s="907"/>
      <c r="M318" s="907"/>
      <c r="N318" s="907"/>
      <c r="O318" s="907"/>
      <c r="P318" s="907"/>
      <c r="Q318" s="907"/>
      <c r="R318" s="907"/>
      <c r="S318" s="907"/>
      <c r="T318" s="906"/>
      <c r="U318" s="905"/>
      <c r="V318" s="905"/>
      <c r="W318" s="905"/>
      <c r="X318" s="905"/>
      <c r="Y318" s="905"/>
      <c r="Z318" s="905"/>
      <c r="AA318" s="905"/>
      <c r="AB318" s="905"/>
      <c r="AC318" s="905"/>
      <c r="AD318" s="905"/>
      <c r="AE318" s="918"/>
      <c r="AF318" s="918"/>
      <c r="AG318" s="918"/>
    </row>
    <row r="319" spans="1:33">
      <c r="A319" s="901" t="s">
        <v>1059</v>
      </c>
      <c r="B319" s="902" t="s">
        <v>1061</v>
      </c>
      <c r="C319" s="926"/>
      <c r="D319" s="926"/>
      <c r="E319" s="917"/>
      <c r="F319" s="907"/>
      <c r="G319" s="907"/>
      <c r="H319" s="907"/>
      <c r="I319" s="907"/>
      <c r="J319" s="907"/>
      <c r="K319" s="907"/>
      <c r="L319" s="907"/>
      <c r="M319" s="907"/>
      <c r="N319" s="907"/>
      <c r="O319" s="907"/>
      <c r="P319" s="907"/>
      <c r="Q319" s="907"/>
      <c r="R319" s="907"/>
      <c r="S319" s="907"/>
      <c r="T319" s="907"/>
      <c r="U319" s="906"/>
      <c r="V319" s="905"/>
      <c r="W319" s="905"/>
      <c r="X319" s="905"/>
      <c r="Y319" s="905"/>
      <c r="Z319" s="905"/>
      <c r="AA319" s="905"/>
      <c r="AB319" s="905"/>
      <c r="AC319" s="905"/>
      <c r="AD319" s="905"/>
      <c r="AE319" s="918"/>
      <c r="AF319" s="918"/>
      <c r="AG319" s="918"/>
    </row>
    <row r="320" spans="1:33">
      <c r="A320" s="901" t="s">
        <v>1059</v>
      </c>
      <c r="B320" s="902" t="s">
        <v>1062</v>
      </c>
      <c r="C320" s="926"/>
      <c r="D320" s="926"/>
      <c r="E320" s="917"/>
      <c r="F320" s="907"/>
      <c r="G320" s="907"/>
      <c r="H320" s="907"/>
      <c r="I320" s="907"/>
      <c r="J320" s="907"/>
      <c r="K320" s="907"/>
      <c r="L320" s="907"/>
      <c r="M320" s="907"/>
      <c r="N320" s="907"/>
      <c r="O320" s="907"/>
      <c r="P320" s="907"/>
      <c r="Q320" s="907"/>
      <c r="R320" s="907"/>
      <c r="S320" s="907"/>
      <c r="T320" s="907"/>
      <c r="U320" s="907"/>
      <c r="V320" s="906"/>
      <c r="W320" s="905"/>
      <c r="X320" s="905"/>
      <c r="Y320" s="905"/>
      <c r="Z320" s="905"/>
      <c r="AA320" s="905"/>
      <c r="AB320" s="905"/>
      <c r="AC320" s="905"/>
      <c r="AD320" s="905"/>
      <c r="AE320" s="918"/>
      <c r="AF320" s="918"/>
      <c r="AG320" s="918"/>
    </row>
    <row r="321" spans="1:33">
      <c r="A321" s="901" t="s">
        <v>1059</v>
      </c>
      <c r="B321" s="902" t="s">
        <v>515</v>
      </c>
      <c r="C321" s="926"/>
      <c r="D321" s="926"/>
      <c r="E321" s="917"/>
      <c r="F321" s="907"/>
      <c r="G321" s="907"/>
      <c r="H321" s="907"/>
      <c r="I321" s="907"/>
      <c r="J321" s="907"/>
      <c r="K321" s="907"/>
      <c r="L321" s="907"/>
      <c r="M321" s="907"/>
      <c r="N321" s="907"/>
      <c r="O321" s="907"/>
      <c r="P321" s="907"/>
      <c r="Q321" s="907"/>
      <c r="R321" s="907"/>
      <c r="S321" s="907"/>
      <c r="T321" s="907"/>
      <c r="U321" s="907"/>
      <c r="V321" s="907"/>
      <c r="W321" s="906"/>
      <c r="X321" s="905"/>
      <c r="Y321" s="905"/>
      <c r="Z321" s="905"/>
      <c r="AA321" s="905"/>
      <c r="AB321" s="905"/>
      <c r="AC321" s="905"/>
      <c r="AD321" s="905"/>
      <c r="AE321" s="918"/>
      <c r="AF321" s="918"/>
      <c r="AG321" s="918"/>
    </row>
    <row r="322" spans="1:33">
      <c r="A322" s="901" t="s">
        <v>1059</v>
      </c>
      <c r="B322" s="902" t="s">
        <v>516</v>
      </c>
      <c r="C322" s="926"/>
      <c r="D322" s="926"/>
      <c r="E322" s="917"/>
      <c r="F322" s="907"/>
      <c r="G322" s="907"/>
      <c r="H322" s="907"/>
      <c r="I322" s="907"/>
      <c r="J322" s="907"/>
      <c r="K322" s="907"/>
      <c r="L322" s="907"/>
      <c r="M322" s="907"/>
      <c r="N322" s="907"/>
      <c r="O322" s="907"/>
      <c r="P322" s="907"/>
      <c r="Q322" s="907"/>
      <c r="R322" s="907"/>
      <c r="S322" s="907"/>
      <c r="T322" s="907"/>
      <c r="U322" s="907"/>
      <c r="V322" s="907"/>
      <c r="W322" s="907"/>
      <c r="X322" s="906"/>
      <c r="Y322" s="905"/>
      <c r="Z322" s="905"/>
      <c r="AA322" s="905"/>
      <c r="AB322" s="905"/>
      <c r="AC322" s="905"/>
      <c r="AD322" s="905"/>
      <c r="AE322" s="918"/>
      <c r="AF322" s="918"/>
      <c r="AG322" s="918"/>
    </row>
    <row r="323" spans="1:33">
      <c r="A323" s="901" t="s">
        <v>1059</v>
      </c>
      <c r="B323" s="902" t="s">
        <v>1063</v>
      </c>
      <c r="C323" s="926"/>
      <c r="D323" s="926"/>
      <c r="E323" s="917"/>
      <c r="F323" s="907"/>
      <c r="G323" s="907"/>
      <c r="H323" s="907"/>
      <c r="I323" s="907"/>
      <c r="J323" s="907"/>
      <c r="K323" s="907"/>
      <c r="L323" s="907"/>
      <c r="M323" s="907"/>
      <c r="N323" s="907"/>
      <c r="O323" s="907"/>
      <c r="P323" s="907"/>
      <c r="Q323" s="907"/>
      <c r="R323" s="907"/>
      <c r="S323" s="907"/>
      <c r="T323" s="907"/>
      <c r="U323" s="907"/>
      <c r="V323" s="907"/>
      <c r="W323" s="907"/>
      <c r="X323" s="907"/>
      <c r="Y323" s="906"/>
      <c r="Z323" s="918"/>
      <c r="AA323" s="918"/>
      <c r="AB323" s="918"/>
      <c r="AC323" s="918"/>
      <c r="AD323" s="918"/>
      <c r="AE323" s="918"/>
      <c r="AF323" s="918"/>
      <c r="AG323" s="918"/>
    </row>
    <row r="324" spans="1:33">
      <c r="A324" s="901" t="s">
        <v>1059</v>
      </c>
      <c r="B324" s="902" t="s">
        <v>1064</v>
      </c>
      <c r="C324" s="904"/>
      <c r="D324" s="904"/>
      <c r="E324" s="920"/>
      <c r="F324" s="907"/>
      <c r="G324" s="907"/>
      <c r="H324" s="907"/>
      <c r="I324" s="907"/>
      <c r="J324" s="907"/>
      <c r="K324" s="907"/>
      <c r="L324" s="907"/>
      <c r="M324" s="907"/>
      <c r="N324" s="907"/>
      <c r="O324" s="907"/>
      <c r="P324" s="907"/>
      <c r="Q324" s="907"/>
      <c r="R324" s="907"/>
      <c r="S324" s="907"/>
      <c r="T324" s="907"/>
      <c r="U324" s="907"/>
      <c r="V324" s="907"/>
      <c r="W324" s="907"/>
      <c r="X324" s="907"/>
      <c r="Y324" s="907"/>
      <c r="Z324" s="906"/>
      <c r="AA324" s="905"/>
      <c r="AB324" s="905"/>
      <c r="AC324" s="905"/>
      <c r="AD324" s="905"/>
      <c r="AE324" s="904"/>
      <c r="AF324" s="904"/>
      <c r="AG324" s="918"/>
    </row>
    <row r="325" spans="1:33">
      <c r="A325" s="901" t="s">
        <v>1059</v>
      </c>
      <c r="B325" s="902" t="s">
        <v>1065</v>
      </c>
      <c r="C325" s="904"/>
      <c r="D325" s="904"/>
      <c r="E325" s="920"/>
      <c r="F325" s="907"/>
      <c r="G325" s="907"/>
      <c r="H325" s="907"/>
      <c r="I325" s="907"/>
      <c r="J325" s="907"/>
      <c r="K325" s="907"/>
      <c r="L325" s="907"/>
      <c r="M325" s="907"/>
      <c r="N325" s="907"/>
      <c r="O325" s="907"/>
      <c r="P325" s="907"/>
      <c r="Q325" s="907"/>
      <c r="R325" s="907"/>
      <c r="S325" s="907"/>
      <c r="T325" s="907"/>
      <c r="U325" s="907"/>
      <c r="V325" s="907"/>
      <c r="W325" s="907"/>
      <c r="X325" s="907"/>
      <c r="Y325" s="907"/>
      <c r="Z325" s="907"/>
      <c r="AA325" s="906"/>
      <c r="AB325" s="905"/>
      <c r="AC325" s="905"/>
      <c r="AD325" s="905"/>
      <c r="AE325" s="904"/>
      <c r="AF325" s="904"/>
      <c r="AG325" s="918"/>
    </row>
    <row r="326" spans="1:33">
      <c r="A326" s="901" t="s">
        <v>1059</v>
      </c>
      <c r="B326" s="902" t="s">
        <v>1066</v>
      </c>
      <c r="C326" s="904"/>
      <c r="D326" s="904"/>
      <c r="E326" s="920"/>
      <c r="F326" s="907"/>
      <c r="G326" s="907"/>
      <c r="H326" s="907"/>
      <c r="I326" s="907"/>
      <c r="J326" s="907"/>
      <c r="K326" s="907"/>
      <c r="L326" s="907"/>
      <c r="M326" s="907"/>
      <c r="N326" s="907"/>
      <c r="O326" s="907"/>
      <c r="P326" s="907"/>
      <c r="Q326" s="907"/>
      <c r="R326" s="907"/>
      <c r="S326" s="907"/>
      <c r="T326" s="907"/>
      <c r="U326" s="907"/>
      <c r="V326" s="907"/>
      <c r="W326" s="907"/>
      <c r="X326" s="907"/>
      <c r="Y326" s="907"/>
      <c r="Z326" s="907"/>
      <c r="AA326" s="907"/>
      <c r="AB326" s="906"/>
      <c r="AC326" s="905"/>
      <c r="AD326" s="905"/>
      <c r="AE326" s="904"/>
      <c r="AF326" s="904"/>
      <c r="AG326" s="918"/>
    </row>
    <row r="327" spans="1:33">
      <c r="A327" s="901" t="s">
        <v>1059</v>
      </c>
      <c r="B327" s="902" t="s">
        <v>1067</v>
      </c>
      <c r="C327" s="904"/>
      <c r="D327" s="904"/>
      <c r="E327" s="920"/>
      <c r="F327" s="907"/>
      <c r="G327" s="907"/>
      <c r="H327" s="907"/>
      <c r="I327" s="907"/>
      <c r="J327" s="907"/>
      <c r="K327" s="907"/>
      <c r="L327" s="907"/>
      <c r="M327" s="907"/>
      <c r="N327" s="907"/>
      <c r="O327" s="907"/>
      <c r="P327" s="907"/>
      <c r="Q327" s="907"/>
      <c r="R327" s="907"/>
      <c r="S327" s="907"/>
      <c r="T327" s="907"/>
      <c r="U327" s="907"/>
      <c r="V327" s="907"/>
      <c r="W327" s="907"/>
      <c r="X327" s="907"/>
      <c r="Y327" s="907"/>
      <c r="Z327" s="907"/>
      <c r="AA327" s="907"/>
      <c r="AB327" s="907"/>
      <c r="AC327" s="906"/>
      <c r="AD327" s="905"/>
      <c r="AE327" s="904"/>
      <c r="AF327" s="904"/>
      <c r="AG327" s="918"/>
    </row>
    <row r="328" spans="1:33">
      <c r="A328" s="901" t="s">
        <v>1059</v>
      </c>
      <c r="B328" s="902" t="s">
        <v>1068</v>
      </c>
      <c r="C328" s="904"/>
      <c r="D328" s="904"/>
      <c r="E328" s="920"/>
      <c r="F328" s="907"/>
      <c r="G328" s="907"/>
      <c r="H328" s="907"/>
      <c r="I328" s="907"/>
      <c r="J328" s="907"/>
      <c r="K328" s="907"/>
      <c r="L328" s="907"/>
      <c r="M328" s="907"/>
      <c r="N328" s="907"/>
      <c r="O328" s="907"/>
      <c r="P328" s="907"/>
      <c r="Q328" s="907"/>
      <c r="R328" s="907"/>
      <c r="S328" s="907"/>
      <c r="T328" s="907"/>
      <c r="U328" s="907"/>
      <c r="V328" s="907"/>
      <c r="W328" s="907"/>
      <c r="X328" s="907"/>
      <c r="Y328" s="907"/>
      <c r="Z328" s="907"/>
      <c r="AA328" s="907"/>
      <c r="AB328" s="907"/>
      <c r="AC328" s="907"/>
      <c r="AD328" s="906"/>
      <c r="AE328" s="904"/>
      <c r="AF328" s="904"/>
      <c r="AG328" s="918"/>
    </row>
    <row r="329" spans="1:33" ht="13">
      <c r="A329" s="909"/>
      <c r="B329" s="910" t="s">
        <v>272</v>
      </c>
      <c r="C329" s="911"/>
      <c r="D329" s="911"/>
      <c r="E329" s="911"/>
      <c r="F329" s="911"/>
      <c r="G329" s="911"/>
      <c r="H329" s="911"/>
      <c r="I329" s="911"/>
      <c r="J329" s="911"/>
      <c r="K329" s="911"/>
      <c r="L329" s="911"/>
      <c r="M329" s="911"/>
      <c r="N329" s="911"/>
      <c r="O329" s="911"/>
      <c r="P329" s="911"/>
      <c r="Q329" s="911"/>
      <c r="R329" s="911"/>
      <c r="S329" s="911"/>
      <c r="T329" s="911"/>
      <c r="U329" s="911"/>
      <c r="V329" s="911"/>
      <c r="W329" s="911"/>
      <c r="X329" s="911"/>
      <c r="Y329" s="911"/>
      <c r="Z329" s="911"/>
      <c r="AA329" s="911"/>
      <c r="AB329" s="911"/>
      <c r="AC329" s="911"/>
      <c r="AD329" s="911"/>
      <c r="AE329" s="911"/>
      <c r="AF329" s="911"/>
      <c r="AG329" s="911"/>
    </row>
  </sheetData>
  <mergeCells count="44">
    <mergeCell ref="A2:T2"/>
    <mergeCell ref="A3:T3"/>
    <mergeCell ref="A4:T4"/>
    <mergeCell ref="B6:B7"/>
    <mergeCell ref="C6:C7"/>
    <mergeCell ref="D6:D7"/>
    <mergeCell ref="E6:E7"/>
    <mergeCell ref="F6:AD6"/>
    <mergeCell ref="C37:C38"/>
    <mergeCell ref="D37:D38"/>
    <mergeCell ref="E37:E38"/>
    <mergeCell ref="F37:AD37"/>
    <mergeCell ref="C70:C71"/>
    <mergeCell ref="D70:D71"/>
    <mergeCell ref="E70:E71"/>
    <mergeCell ref="F70:AD70"/>
    <mergeCell ref="C103:C104"/>
    <mergeCell ref="D103:D104"/>
    <mergeCell ref="E103:E104"/>
    <mergeCell ref="F103:AD103"/>
    <mergeCell ref="C136:C137"/>
    <mergeCell ref="D136:D137"/>
    <mergeCell ref="E136:E137"/>
    <mergeCell ref="F136:AD136"/>
    <mergeCell ref="C169:C170"/>
    <mergeCell ref="D169:D170"/>
    <mergeCell ref="E169:E170"/>
    <mergeCell ref="F169:AD169"/>
    <mergeCell ref="C202:C203"/>
    <mergeCell ref="D202:D203"/>
    <mergeCell ref="E202:E203"/>
    <mergeCell ref="F202:AD202"/>
    <mergeCell ref="C301:C302"/>
    <mergeCell ref="D301:D302"/>
    <mergeCell ref="E301:E302"/>
    <mergeCell ref="F301:AD301"/>
    <mergeCell ref="C235:C236"/>
    <mergeCell ref="D235:D236"/>
    <mergeCell ref="E235:E236"/>
    <mergeCell ref="F235:AD235"/>
    <mergeCell ref="C268:C269"/>
    <mergeCell ref="D268:D269"/>
    <mergeCell ref="E268:E269"/>
    <mergeCell ref="F268:AD26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O405"/>
  <sheetViews>
    <sheetView showGridLines="0" zoomScale="50" zoomScaleNormal="50" workbookViewId="0">
      <selection activeCell="Q42" sqref="Q42"/>
    </sheetView>
  </sheetViews>
  <sheetFormatPr defaultColWidth="9.36328125" defaultRowHeight="14"/>
  <cols>
    <col min="1" max="1" width="9.36328125" style="250"/>
    <col min="2" max="2" width="7.453125" style="250" bestFit="1" customWidth="1"/>
    <col min="3" max="3" width="32" style="250" bestFit="1" customWidth="1"/>
    <col min="4" max="4" width="8.6328125" style="250" customWidth="1"/>
    <col min="5" max="5" width="18.36328125" style="250" customWidth="1"/>
    <col min="6" max="6" width="13.6328125" style="250" bestFit="1" customWidth="1"/>
    <col min="7" max="8" width="19.36328125" style="250" customWidth="1"/>
    <col min="9" max="9" width="21.54296875" style="250" customWidth="1"/>
    <col min="10" max="10" width="13.54296875" style="250" customWidth="1"/>
    <col min="11" max="11" width="18.36328125" style="250" customWidth="1"/>
    <col min="12" max="12" width="20" style="250" customWidth="1"/>
    <col min="13" max="13" width="18.453125" style="250" customWidth="1"/>
    <col min="14" max="14" width="17.6328125" style="250" customWidth="1"/>
    <col min="15" max="15" width="17.36328125" style="250" customWidth="1"/>
    <col min="16" max="16384" width="9.36328125" style="250"/>
  </cols>
  <sheetData>
    <row r="2" spans="2:15">
      <c r="B2" s="1682" t="str">
        <f>Index!B2</f>
        <v xml:space="preserve">      Maharashtra State Power Generation Company Ltd.</v>
      </c>
      <c r="C2" s="1682"/>
      <c r="D2" s="1682"/>
      <c r="E2" s="1682"/>
      <c r="F2" s="1682"/>
      <c r="G2" s="1682"/>
      <c r="H2" s="1682"/>
      <c r="I2" s="1682"/>
      <c r="J2" s="1682"/>
      <c r="K2" s="1682"/>
      <c r="L2" s="1682"/>
      <c r="M2" s="1682"/>
      <c r="N2" s="1682"/>
      <c r="O2" s="1682"/>
    </row>
    <row r="3" spans="2:15">
      <c r="B3" s="1682" t="str">
        <f>Index!B3</f>
        <v>MYT Petition Formats for Bhusawal Units 4&amp;5</v>
      </c>
      <c r="C3" s="1682"/>
      <c r="D3" s="1682"/>
      <c r="E3" s="1682"/>
      <c r="F3" s="1682"/>
      <c r="G3" s="1682"/>
      <c r="H3" s="1682"/>
      <c r="I3" s="1682"/>
      <c r="J3" s="1682"/>
      <c r="K3" s="1682"/>
      <c r="L3" s="1682"/>
      <c r="M3" s="1682"/>
      <c r="N3" s="1682"/>
      <c r="O3" s="1682"/>
    </row>
    <row r="4" spans="2:15">
      <c r="B4" s="1874" t="s">
        <v>702</v>
      </c>
      <c r="C4" s="1874"/>
      <c r="D4" s="1874"/>
      <c r="E4" s="1874"/>
      <c r="F4" s="1874"/>
      <c r="G4" s="1874"/>
      <c r="H4" s="1874"/>
      <c r="I4" s="1874"/>
      <c r="J4" s="1874"/>
      <c r="K4" s="1874"/>
      <c r="L4" s="1874"/>
      <c r="M4" s="1874"/>
      <c r="N4" s="1874"/>
      <c r="O4" s="1874"/>
    </row>
    <row r="5" spans="2:15">
      <c r="B5" s="14"/>
      <c r="C5" s="14"/>
      <c r="D5" s="14"/>
      <c r="E5" s="14"/>
      <c r="F5" s="14"/>
      <c r="G5" s="14"/>
      <c r="H5" s="14"/>
      <c r="I5" s="14"/>
      <c r="J5" s="14"/>
      <c r="K5" s="14"/>
      <c r="L5" s="14"/>
    </row>
    <row r="6" spans="2:15">
      <c r="B6" s="1908" t="s">
        <v>704</v>
      </c>
      <c r="C6" s="1908"/>
      <c r="D6" s="251"/>
      <c r="E6" s="14"/>
      <c r="F6" s="14"/>
      <c r="G6" s="14"/>
      <c r="H6" s="14"/>
      <c r="I6" s="14"/>
      <c r="J6" s="14"/>
      <c r="K6" s="14"/>
      <c r="L6" s="14"/>
    </row>
    <row r="8" spans="2:15" ht="79.25" customHeight="1">
      <c r="B8" s="1684" t="s">
        <v>341</v>
      </c>
      <c r="C8" s="1684" t="s">
        <v>527</v>
      </c>
      <c r="D8" s="1684" t="s">
        <v>538</v>
      </c>
      <c r="E8" s="254" t="s">
        <v>607</v>
      </c>
      <c r="F8" s="1676" t="s">
        <v>528</v>
      </c>
      <c r="G8" s="1676"/>
      <c r="H8" s="1676"/>
      <c r="I8" s="1676"/>
      <c r="J8" s="1676"/>
      <c r="K8" s="1676" t="s">
        <v>532</v>
      </c>
      <c r="L8" s="1676"/>
      <c r="M8" s="1676"/>
      <c r="N8" s="1676" t="s">
        <v>536</v>
      </c>
      <c r="O8" s="1676" t="s">
        <v>537</v>
      </c>
    </row>
    <row r="9" spans="2:15" ht="42.75" customHeight="1">
      <c r="B9" s="1722"/>
      <c r="C9" s="1722"/>
      <c r="D9" s="1722"/>
      <c r="E9" s="233" t="s">
        <v>609</v>
      </c>
      <c r="F9" s="232" t="s">
        <v>534</v>
      </c>
      <c r="G9" s="232" t="s">
        <v>529</v>
      </c>
      <c r="H9" s="252" t="s">
        <v>611</v>
      </c>
      <c r="I9" s="233" t="s">
        <v>530</v>
      </c>
      <c r="J9" s="233" t="s">
        <v>531</v>
      </c>
      <c r="K9" s="233" t="s">
        <v>533</v>
      </c>
      <c r="L9" s="233" t="s">
        <v>535</v>
      </c>
      <c r="M9" s="233" t="s">
        <v>610</v>
      </c>
      <c r="N9" s="1676"/>
      <c r="O9" s="1676"/>
    </row>
    <row r="10" spans="2:15">
      <c r="B10" s="1909">
        <f>B9+1</f>
        <v>1</v>
      </c>
      <c r="C10" s="1912"/>
      <c r="D10" s="125" t="s">
        <v>280</v>
      </c>
      <c r="E10" s="1915" t="s">
        <v>739</v>
      </c>
      <c r="F10" s="1916"/>
      <c r="G10" s="1916"/>
      <c r="H10" s="1916"/>
      <c r="I10" s="1916"/>
      <c r="J10" s="1916"/>
      <c r="K10" s="1916"/>
      <c r="L10" s="1916"/>
      <c r="M10" s="1916"/>
      <c r="N10" s="1916"/>
      <c r="O10" s="1917"/>
    </row>
    <row r="11" spans="2:15">
      <c r="B11" s="1910"/>
      <c r="C11" s="1913"/>
      <c r="D11" s="125" t="s">
        <v>281</v>
      </c>
      <c r="E11" s="1918"/>
      <c r="F11" s="1919"/>
      <c r="G11" s="1919"/>
      <c r="H11" s="1919"/>
      <c r="I11" s="1919"/>
      <c r="J11" s="1919"/>
      <c r="K11" s="1919"/>
      <c r="L11" s="1919"/>
      <c r="M11" s="1919"/>
      <c r="N11" s="1919"/>
      <c r="O11" s="1920"/>
    </row>
    <row r="12" spans="2:15">
      <c r="B12" s="1910"/>
      <c r="C12" s="1913"/>
      <c r="D12" s="125" t="s">
        <v>282</v>
      </c>
      <c r="E12" s="1918"/>
      <c r="F12" s="1919"/>
      <c r="G12" s="1919"/>
      <c r="H12" s="1919"/>
      <c r="I12" s="1919"/>
      <c r="J12" s="1919"/>
      <c r="K12" s="1919"/>
      <c r="L12" s="1919"/>
      <c r="M12" s="1919"/>
      <c r="N12" s="1919"/>
      <c r="O12" s="1920"/>
    </row>
    <row r="13" spans="2:15">
      <c r="B13" s="1910"/>
      <c r="C13" s="1913"/>
      <c r="D13" s="125" t="s">
        <v>539</v>
      </c>
      <c r="E13" s="1918"/>
      <c r="F13" s="1919"/>
      <c r="G13" s="1919"/>
      <c r="H13" s="1919"/>
      <c r="I13" s="1919"/>
      <c r="J13" s="1919"/>
      <c r="K13" s="1919"/>
      <c r="L13" s="1919"/>
      <c r="M13" s="1919"/>
      <c r="N13" s="1919"/>
      <c r="O13" s="1920"/>
    </row>
    <row r="14" spans="2:15">
      <c r="B14" s="1910"/>
      <c r="C14" s="1913"/>
      <c r="D14" s="125" t="s">
        <v>284</v>
      </c>
      <c r="E14" s="1918"/>
      <c r="F14" s="1919"/>
      <c r="G14" s="1919"/>
      <c r="H14" s="1919"/>
      <c r="I14" s="1919"/>
      <c r="J14" s="1919"/>
      <c r="K14" s="1919"/>
      <c r="L14" s="1919"/>
      <c r="M14" s="1919"/>
      <c r="N14" s="1919"/>
      <c r="O14" s="1920"/>
    </row>
    <row r="15" spans="2:15">
      <c r="B15" s="1910"/>
      <c r="C15" s="1913"/>
      <c r="D15" s="125" t="s">
        <v>285</v>
      </c>
      <c r="E15" s="1918"/>
      <c r="F15" s="1919"/>
      <c r="G15" s="1919"/>
      <c r="H15" s="1919"/>
      <c r="I15" s="1919"/>
      <c r="J15" s="1919"/>
      <c r="K15" s="1919"/>
      <c r="L15" s="1919"/>
      <c r="M15" s="1919"/>
      <c r="N15" s="1919"/>
      <c r="O15" s="1920"/>
    </row>
    <row r="16" spans="2:15">
      <c r="B16" s="1910"/>
      <c r="C16" s="1913"/>
      <c r="D16" s="125" t="s">
        <v>286</v>
      </c>
      <c r="E16" s="1918"/>
      <c r="F16" s="1919"/>
      <c r="G16" s="1919"/>
      <c r="H16" s="1919"/>
      <c r="I16" s="1919"/>
      <c r="J16" s="1919"/>
      <c r="K16" s="1919"/>
      <c r="L16" s="1919"/>
      <c r="M16" s="1919"/>
      <c r="N16" s="1919"/>
      <c r="O16" s="1920"/>
    </row>
    <row r="17" spans="2:15">
      <c r="B17" s="1910"/>
      <c r="C17" s="1913"/>
      <c r="D17" s="125" t="s">
        <v>540</v>
      </c>
      <c r="E17" s="1918"/>
      <c r="F17" s="1919"/>
      <c r="G17" s="1919"/>
      <c r="H17" s="1919"/>
      <c r="I17" s="1919"/>
      <c r="J17" s="1919"/>
      <c r="K17" s="1919"/>
      <c r="L17" s="1919"/>
      <c r="M17" s="1919"/>
      <c r="N17" s="1919"/>
      <c r="O17" s="1920"/>
    </row>
    <row r="18" spans="2:15">
      <c r="B18" s="1910"/>
      <c r="C18" s="1913"/>
      <c r="D18" s="125" t="s">
        <v>288</v>
      </c>
      <c r="E18" s="1918"/>
      <c r="F18" s="1919"/>
      <c r="G18" s="1919"/>
      <c r="H18" s="1919"/>
      <c r="I18" s="1919"/>
      <c r="J18" s="1919"/>
      <c r="K18" s="1919"/>
      <c r="L18" s="1919"/>
      <c r="M18" s="1919"/>
      <c r="N18" s="1919"/>
      <c r="O18" s="1920"/>
    </row>
    <row r="19" spans="2:15">
      <c r="B19" s="1910"/>
      <c r="C19" s="1913"/>
      <c r="D19" s="125" t="s">
        <v>289</v>
      </c>
      <c r="E19" s="1918"/>
      <c r="F19" s="1919"/>
      <c r="G19" s="1919"/>
      <c r="H19" s="1919"/>
      <c r="I19" s="1919"/>
      <c r="J19" s="1919"/>
      <c r="K19" s="1919"/>
      <c r="L19" s="1919"/>
      <c r="M19" s="1919"/>
      <c r="N19" s="1919"/>
      <c r="O19" s="1920"/>
    </row>
    <row r="20" spans="2:15">
      <c r="B20" s="1910"/>
      <c r="C20" s="1913"/>
      <c r="D20" s="125" t="s">
        <v>290</v>
      </c>
      <c r="E20" s="1918"/>
      <c r="F20" s="1919"/>
      <c r="G20" s="1919"/>
      <c r="H20" s="1919"/>
      <c r="I20" s="1919"/>
      <c r="J20" s="1919"/>
      <c r="K20" s="1919"/>
      <c r="L20" s="1919"/>
      <c r="M20" s="1919"/>
      <c r="N20" s="1919"/>
      <c r="O20" s="1920"/>
    </row>
    <row r="21" spans="2:15">
      <c r="B21" s="1911"/>
      <c r="C21" s="1914"/>
      <c r="D21" s="125" t="s">
        <v>291</v>
      </c>
      <c r="E21" s="1918"/>
      <c r="F21" s="1919"/>
      <c r="G21" s="1919"/>
      <c r="H21" s="1919"/>
      <c r="I21" s="1919"/>
      <c r="J21" s="1919"/>
      <c r="K21" s="1919"/>
      <c r="L21" s="1919"/>
      <c r="M21" s="1919"/>
      <c r="N21" s="1919"/>
      <c r="O21" s="1920"/>
    </row>
    <row r="22" spans="2:15">
      <c r="B22" s="1909">
        <f>B10+1</f>
        <v>2</v>
      </c>
      <c r="C22" s="1912"/>
      <c r="D22" s="125" t="s">
        <v>280</v>
      </c>
      <c r="E22" s="1918"/>
      <c r="F22" s="1919"/>
      <c r="G22" s="1919"/>
      <c r="H22" s="1919"/>
      <c r="I22" s="1919"/>
      <c r="J22" s="1919"/>
      <c r="K22" s="1919"/>
      <c r="L22" s="1919"/>
      <c r="M22" s="1919"/>
      <c r="N22" s="1919"/>
      <c r="O22" s="1920"/>
    </row>
    <row r="23" spans="2:15">
      <c r="B23" s="1910"/>
      <c r="C23" s="1913"/>
      <c r="D23" s="125" t="s">
        <v>281</v>
      </c>
      <c r="E23" s="1918"/>
      <c r="F23" s="1919"/>
      <c r="G23" s="1919"/>
      <c r="H23" s="1919"/>
      <c r="I23" s="1919"/>
      <c r="J23" s="1919"/>
      <c r="K23" s="1919"/>
      <c r="L23" s="1919"/>
      <c r="M23" s="1919"/>
      <c r="N23" s="1919"/>
      <c r="O23" s="1920"/>
    </row>
    <row r="24" spans="2:15">
      <c r="B24" s="1910"/>
      <c r="C24" s="1913"/>
      <c r="D24" s="125" t="s">
        <v>282</v>
      </c>
      <c r="E24" s="1918"/>
      <c r="F24" s="1919"/>
      <c r="G24" s="1919"/>
      <c r="H24" s="1919"/>
      <c r="I24" s="1919"/>
      <c r="J24" s="1919"/>
      <c r="K24" s="1919"/>
      <c r="L24" s="1919"/>
      <c r="M24" s="1919"/>
      <c r="N24" s="1919"/>
      <c r="O24" s="1920"/>
    </row>
    <row r="25" spans="2:15">
      <c r="B25" s="1910"/>
      <c r="C25" s="1913"/>
      <c r="D25" s="125" t="s">
        <v>539</v>
      </c>
      <c r="E25" s="1918"/>
      <c r="F25" s="1919"/>
      <c r="G25" s="1919"/>
      <c r="H25" s="1919"/>
      <c r="I25" s="1919"/>
      <c r="J25" s="1919"/>
      <c r="K25" s="1919"/>
      <c r="L25" s="1919"/>
      <c r="M25" s="1919"/>
      <c r="N25" s="1919"/>
      <c r="O25" s="1920"/>
    </row>
    <row r="26" spans="2:15">
      <c r="B26" s="1910"/>
      <c r="C26" s="1913"/>
      <c r="D26" s="125" t="s">
        <v>284</v>
      </c>
      <c r="E26" s="1918"/>
      <c r="F26" s="1919"/>
      <c r="G26" s="1919"/>
      <c r="H26" s="1919"/>
      <c r="I26" s="1919"/>
      <c r="J26" s="1919"/>
      <c r="K26" s="1919"/>
      <c r="L26" s="1919"/>
      <c r="M26" s="1919"/>
      <c r="N26" s="1919"/>
      <c r="O26" s="1920"/>
    </row>
    <row r="27" spans="2:15">
      <c r="B27" s="1910"/>
      <c r="C27" s="1913"/>
      <c r="D27" s="125" t="s">
        <v>285</v>
      </c>
      <c r="E27" s="1918"/>
      <c r="F27" s="1919"/>
      <c r="G27" s="1919"/>
      <c r="H27" s="1919"/>
      <c r="I27" s="1919"/>
      <c r="J27" s="1919"/>
      <c r="K27" s="1919"/>
      <c r="L27" s="1919"/>
      <c r="M27" s="1919"/>
      <c r="N27" s="1919"/>
      <c r="O27" s="1920"/>
    </row>
    <row r="28" spans="2:15">
      <c r="B28" s="1910"/>
      <c r="C28" s="1913"/>
      <c r="D28" s="125" t="s">
        <v>286</v>
      </c>
      <c r="E28" s="1918"/>
      <c r="F28" s="1919"/>
      <c r="G28" s="1919"/>
      <c r="H28" s="1919"/>
      <c r="I28" s="1919"/>
      <c r="J28" s="1919"/>
      <c r="K28" s="1919"/>
      <c r="L28" s="1919"/>
      <c r="M28" s="1919"/>
      <c r="N28" s="1919"/>
      <c r="O28" s="1920"/>
    </row>
    <row r="29" spans="2:15">
      <c r="B29" s="1910"/>
      <c r="C29" s="1913"/>
      <c r="D29" s="125" t="s">
        <v>540</v>
      </c>
      <c r="E29" s="1918"/>
      <c r="F29" s="1919"/>
      <c r="G29" s="1919"/>
      <c r="H29" s="1919"/>
      <c r="I29" s="1919"/>
      <c r="J29" s="1919"/>
      <c r="K29" s="1919"/>
      <c r="L29" s="1919"/>
      <c r="M29" s="1919"/>
      <c r="N29" s="1919"/>
      <c r="O29" s="1920"/>
    </row>
    <row r="30" spans="2:15">
      <c r="B30" s="1910"/>
      <c r="C30" s="1913"/>
      <c r="D30" s="125" t="s">
        <v>288</v>
      </c>
      <c r="E30" s="1918"/>
      <c r="F30" s="1919"/>
      <c r="G30" s="1919"/>
      <c r="H30" s="1919"/>
      <c r="I30" s="1919"/>
      <c r="J30" s="1919"/>
      <c r="K30" s="1919"/>
      <c r="L30" s="1919"/>
      <c r="M30" s="1919"/>
      <c r="N30" s="1919"/>
      <c r="O30" s="1920"/>
    </row>
    <row r="31" spans="2:15">
      <c r="B31" s="1910"/>
      <c r="C31" s="1913"/>
      <c r="D31" s="125" t="s">
        <v>289</v>
      </c>
      <c r="E31" s="1918"/>
      <c r="F31" s="1919"/>
      <c r="G31" s="1919"/>
      <c r="H31" s="1919"/>
      <c r="I31" s="1919"/>
      <c r="J31" s="1919"/>
      <c r="K31" s="1919"/>
      <c r="L31" s="1919"/>
      <c r="M31" s="1919"/>
      <c r="N31" s="1919"/>
      <c r="O31" s="1920"/>
    </row>
    <row r="32" spans="2:15">
      <c r="B32" s="1910"/>
      <c r="C32" s="1913"/>
      <c r="D32" s="125" t="s">
        <v>290</v>
      </c>
      <c r="E32" s="1918"/>
      <c r="F32" s="1919"/>
      <c r="G32" s="1919"/>
      <c r="H32" s="1919"/>
      <c r="I32" s="1919"/>
      <c r="J32" s="1919"/>
      <c r="K32" s="1919"/>
      <c r="L32" s="1919"/>
      <c r="M32" s="1919"/>
      <c r="N32" s="1919"/>
      <c r="O32" s="1920"/>
    </row>
    <row r="33" spans="2:15">
      <c r="B33" s="1911"/>
      <c r="C33" s="1914"/>
      <c r="D33" s="125" t="s">
        <v>291</v>
      </c>
      <c r="E33" s="1918"/>
      <c r="F33" s="1919"/>
      <c r="G33" s="1919"/>
      <c r="H33" s="1919"/>
      <c r="I33" s="1919"/>
      <c r="J33" s="1919"/>
      <c r="K33" s="1919"/>
      <c r="L33" s="1919"/>
      <c r="M33" s="1919"/>
      <c r="N33" s="1919"/>
      <c r="O33" s="1920"/>
    </row>
    <row r="34" spans="2:15">
      <c r="B34" s="99">
        <v>3</v>
      </c>
      <c r="C34" s="124"/>
      <c r="D34" s="124"/>
      <c r="E34" s="1918"/>
      <c r="F34" s="1919"/>
      <c r="G34" s="1919"/>
      <c r="H34" s="1919"/>
      <c r="I34" s="1919"/>
      <c r="J34" s="1919"/>
      <c r="K34" s="1919"/>
      <c r="L34" s="1919"/>
      <c r="M34" s="1919"/>
      <c r="N34" s="1919"/>
      <c r="O34" s="1920"/>
    </row>
    <row r="35" spans="2:15">
      <c r="B35" s="99" t="s">
        <v>478</v>
      </c>
      <c r="C35" s="126"/>
      <c r="D35" s="126"/>
      <c r="E35" s="1921"/>
      <c r="F35" s="1922"/>
      <c r="G35" s="1922"/>
      <c r="H35" s="1922"/>
      <c r="I35" s="1922"/>
      <c r="J35" s="1922"/>
      <c r="K35" s="1922"/>
      <c r="L35" s="1922"/>
      <c r="M35" s="1922"/>
      <c r="N35" s="1922"/>
      <c r="O35" s="1923"/>
    </row>
    <row r="37" spans="2:15">
      <c r="B37" s="1908" t="s">
        <v>1000</v>
      </c>
      <c r="C37" s="1908"/>
      <c r="D37" s="297"/>
      <c r="E37" s="14"/>
      <c r="F37" s="14"/>
      <c r="G37" s="14"/>
      <c r="H37" s="14"/>
      <c r="I37" s="14"/>
      <c r="J37" s="14"/>
      <c r="K37" s="14"/>
      <c r="L37" s="14"/>
    </row>
    <row r="39" spans="2:15" ht="79.25" customHeight="1">
      <c r="B39" s="1684" t="s">
        <v>341</v>
      </c>
      <c r="C39" s="1684" t="s">
        <v>527</v>
      </c>
      <c r="D39" s="1684" t="s">
        <v>538</v>
      </c>
      <c r="E39" s="290" t="s">
        <v>607</v>
      </c>
      <c r="F39" s="1676" t="s">
        <v>528</v>
      </c>
      <c r="G39" s="1676"/>
      <c r="H39" s="1676"/>
      <c r="I39" s="1676"/>
      <c r="J39" s="1676"/>
      <c r="K39" s="1676" t="s">
        <v>532</v>
      </c>
      <c r="L39" s="1676"/>
      <c r="M39" s="1676"/>
      <c r="N39" s="1676" t="s">
        <v>707</v>
      </c>
      <c r="O39" s="1676" t="s">
        <v>537</v>
      </c>
    </row>
    <row r="40" spans="2:15" ht="42.75" customHeight="1">
      <c r="B40" s="1722"/>
      <c r="C40" s="1722"/>
      <c r="D40" s="1722"/>
      <c r="E40" s="289" t="s">
        <v>609</v>
      </c>
      <c r="F40" s="287" t="s">
        <v>534</v>
      </c>
      <c r="G40" s="287" t="s">
        <v>529</v>
      </c>
      <c r="H40" s="287" t="s">
        <v>611</v>
      </c>
      <c r="I40" s="289" t="s">
        <v>651</v>
      </c>
      <c r="J40" s="289" t="s">
        <v>705</v>
      </c>
      <c r="K40" s="289" t="s">
        <v>533</v>
      </c>
      <c r="L40" s="289" t="s">
        <v>706</v>
      </c>
      <c r="M40" s="289" t="s">
        <v>610</v>
      </c>
      <c r="N40" s="1676"/>
      <c r="O40" s="1676"/>
    </row>
    <row r="41" spans="2:15">
      <c r="B41" s="1909">
        <f>B40+1</f>
        <v>1</v>
      </c>
      <c r="C41" s="1912"/>
      <c r="D41" s="125" t="s">
        <v>280</v>
      </c>
      <c r="E41" s="1915" t="s">
        <v>739</v>
      </c>
      <c r="F41" s="1916"/>
      <c r="G41" s="1916"/>
      <c r="H41" s="1916"/>
      <c r="I41" s="1916"/>
      <c r="J41" s="1916"/>
      <c r="K41" s="1916"/>
      <c r="L41" s="1916"/>
      <c r="M41" s="1916"/>
      <c r="N41" s="1916"/>
      <c r="O41" s="1917"/>
    </row>
    <row r="42" spans="2:15">
      <c r="B42" s="1910"/>
      <c r="C42" s="1913"/>
      <c r="D42" s="125" t="s">
        <v>281</v>
      </c>
      <c r="E42" s="1918"/>
      <c r="F42" s="1919"/>
      <c r="G42" s="1919"/>
      <c r="H42" s="1919"/>
      <c r="I42" s="1919"/>
      <c r="J42" s="1919"/>
      <c r="K42" s="1919"/>
      <c r="L42" s="1919"/>
      <c r="M42" s="1919"/>
      <c r="N42" s="1919"/>
      <c r="O42" s="1920"/>
    </row>
    <row r="43" spans="2:15">
      <c r="B43" s="1910"/>
      <c r="C43" s="1913"/>
      <c r="D43" s="125" t="s">
        <v>282</v>
      </c>
      <c r="E43" s="1918"/>
      <c r="F43" s="1919"/>
      <c r="G43" s="1919"/>
      <c r="H43" s="1919"/>
      <c r="I43" s="1919"/>
      <c r="J43" s="1919"/>
      <c r="K43" s="1919"/>
      <c r="L43" s="1919"/>
      <c r="M43" s="1919"/>
      <c r="N43" s="1919"/>
      <c r="O43" s="1920"/>
    </row>
    <row r="44" spans="2:15">
      <c r="B44" s="1910"/>
      <c r="C44" s="1913"/>
      <c r="D44" s="125" t="s">
        <v>539</v>
      </c>
      <c r="E44" s="1918"/>
      <c r="F44" s="1919"/>
      <c r="G44" s="1919"/>
      <c r="H44" s="1919"/>
      <c r="I44" s="1919"/>
      <c r="J44" s="1919"/>
      <c r="K44" s="1919"/>
      <c r="L44" s="1919"/>
      <c r="M44" s="1919"/>
      <c r="N44" s="1919"/>
      <c r="O44" s="1920"/>
    </row>
    <row r="45" spans="2:15">
      <c r="B45" s="1910"/>
      <c r="C45" s="1913"/>
      <c r="D45" s="125" t="s">
        <v>284</v>
      </c>
      <c r="E45" s="1918"/>
      <c r="F45" s="1919"/>
      <c r="G45" s="1919"/>
      <c r="H45" s="1919"/>
      <c r="I45" s="1919"/>
      <c r="J45" s="1919"/>
      <c r="K45" s="1919"/>
      <c r="L45" s="1919"/>
      <c r="M45" s="1919"/>
      <c r="N45" s="1919"/>
      <c r="O45" s="1920"/>
    </row>
    <row r="46" spans="2:15">
      <c r="B46" s="1910"/>
      <c r="C46" s="1913"/>
      <c r="D46" s="125" t="s">
        <v>285</v>
      </c>
      <c r="E46" s="1918"/>
      <c r="F46" s="1919"/>
      <c r="G46" s="1919"/>
      <c r="H46" s="1919"/>
      <c r="I46" s="1919"/>
      <c r="J46" s="1919"/>
      <c r="K46" s="1919"/>
      <c r="L46" s="1919"/>
      <c r="M46" s="1919"/>
      <c r="N46" s="1919"/>
      <c r="O46" s="1920"/>
    </row>
    <row r="47" spans="2:15">
      <c r="B47" s="1910"/>
      <c r="C47" s="1913"/>
      <c r="D47" s="125" t="s">
        <v>286</v>
      </c>
      <c r="E47" s="1918"/>
      <c r="F47" s="1919"/>
      <c r="G47" s="1919"/>
      <c r="H47" s="1919"/>
      <c r="I47" s="1919"/>
      <c r="J47" s="1919"/>
      <c r="K47" s="1919"/>
      <c r="L47" s="1919"/>
      <c r="M47" s="1919"/>
      <c r="N47" s="1919"/>
      <c r="O47" s="1920"/>
    </row>
    <row r="48" spans="2:15">
      <c r="B48" s="1910"/>
      <c r="C48" s="1913"/>
      <c r="D48" s="125" t="s">
        <v>540</v>
      </c>
      <c r="E48" s="1918"/>
      <c r="F48" s="1919"/>
      <c r="G48" s="1919"/>
      <c r="H48" s="1919"/>
      <c r="I48" s="1919"/>
      <c r="J48" s="1919"/>
      <c r="K48" s="1919"/>
      <c r="L48" s="1919"/>
      <c r="M48" s="1919"/>
      <c r="N48" s="1919"/>
      <c r="O48" s="1920"/>
    </row>
    <row r="49" spans="2:15">
      <c r="B49" s="1910"/>
      <c r="C49" s="1913"/>
      <c r="D49" s="125" t="s">
        <v>288</v>
      </c>
      <c r="E49" s="1918"/>
      <c r="F49" s="1919"/>
      <c r="G49" s="1919"/>
      <c r="H49" s="1919"/>
      <c r="I49" s="1919"/>
      <c r="J49" s="1919"/>
      <c r="K49" s="1919"/>
      <c r="L49" s="1919"/>
      <c r="M49" s="1919"/>
      <c r="N49" s="1919"/>
      <c r="O49" s="1920"/>
    </row>
    <row r="50" spans="2:15">
      <c r="B50" s="1910"/>
      <c r="C50" s="1913"/>
      <c r="D50" s="125" t="s">
        <v>289</v>
      </c>
      <c r="E50" s="1918"/>
      <c r="F50" s="1919"/>
      <c r="G50" s="1919"/>
      <c r="H50" s="1919"/>
      <c r="I50" s="1919"/>
      <c r="J50" s="1919"/>
      <c r="K50" s="1919"/>
      <c r="L50" s="1919"/>
      <c r="M50" s="1919"/>
      <c r="N50" s="1919"/>
      <c r="O50" s="1920"/>
    </row>
    <row r="51" spans="2:15">
      <c r="B51" s="1910"/>
      <c r="C51" s="1913"/>
      <c r="D51" s="125" t="s">
        <v>290</v>
      </c>
      <c r="E51" s="1918"/>
      <c r="F51" s="1919"/>
      <c r="G51" s="1919"/>
      <c r="H51" s="1919"/>
      <c r="I51" s="1919"/>
      <c r="J51" s="1919"/>
      <c r="K51" s="1919"/>
      <c r="L51" s="1919"/>
      <c r="M51" s="1919"/>
      <c r="N51" s="1919"/>
      <c r="O51" s="1920"/>
    </row>
    <row r="52" spans="2:15">
      <c r="B52" s="1911"/>
      <c r="C52" s="1914"/>
      <c r="D52" s="125" t="s">
        <v>291</v>
      </c>
      <c r="E52" s="1918"/>
      <c r="F52" s="1919"/>
      <c r="G52" s="1919"/>
      <c r="H52" s="1919"/>
      <c r="I52" s="1919"/>
      <c r="J52" s="1919"/>
      <c r="K52" s="1919"/>
      <c r="L52" s="1919"/>
      <c r="M52" s="1919"/>
      <c r="N52" s="1919"/>
      <c r="O52" s="1920"/>
    </row>
    <row r="53" spans="2:15">
      <c r="B53" s="1909">
        <f>B41+1</f>
        <v>2</v>
      </c>
      <c r="C53" s="1912"/>
      <c r="D53" s="125" t="s">
        <v>280</v>
      </c>
      <c r="E53" s="1918"/>
      <c r="F53" s="1919"/>
      <c r="G53" s="1919"/>
      <c r="H53" s="1919"/>
      <c r="I53" s="1919"/>
      <c r="J53" s="1919"/>
      <c r="K53" s="1919"/>
      <c r="L53" s="1919"/>
      <c r="M53" s="1919"/>
      <c r="N53" s="1919"/>
      <c r="O53" s="1920"/>
    </row>
    <row r="54" spans="2:15">
      <c r="B54" s="1910"/>
      <c r="C54" s="1913"/>
      <c r="D54" s="125" t="s">
        <v>281</v>
      </c>
      <c r="E54" s="1918"/>
      <c r="F54" s="1919"/>
      <c r="G54" s="1919"/>
      <c r="H54" s="1919"/>
      <c r="I54" s="1919"/>
      <c r="J54" s="1919"/>
      <c r="K54" s="1919"/>
      <c r="L54" s="1919"/>
      <c r="M54" s="1919"/>
      <c r="N54" s="1919"/>
      <c r="O54" s="1920"/>
    </row>
    <row r="55" spans="2:15">
      <c r="B55" s="1910"/>
      <c r="C55" s="1913"/>
      <c r="D55" s="125" t="s">
        <v>282</v>
      </c>
      <c r="E55" s="1918"/>
      <c r="F55" s="1919"/>
      <c r="G55" s="1919"/>
      <c r="H55" s="1919"/>
      <c r="I55" s="1919"/>
      <c r="J55" s="1919"/>
      <c r="K55" s="1919"/>
      <c r="L55" s="1919"/>
      <c r="M55" s="1919"/>
      <c r="N55" s="1919"/>
      <c r="O55" s="1920"/>
    </row>
    <row r="56" spans="2:15">
      <c r="B56" s="1910"/>
      <c r="C56" s="1913"/>
      <c r="D56" s="125" t="s">
        <v>539</v>
      </c>
      <c r="E56" s="1918"/>
      <c r="F56" s="1919"/>
      <c r="G56" s="1919"/>
      <c r="H56" s="1919"/>
      <c r="I56" s="1919"/>
      <c r="J56" s="1919"/>
      <c r="K56" s="1919"/>
      <c r="L56" s="1919"/>
      <c r="M56" s="1919"/>
      <c r="N56" s="1919"/>
      <c r="O56" s="1920"/>
    </row>
    <row r="57" spans="2:15">
      <c r="B57" s="1910"/>
      <c r="C57" s="1913"/>
      <c r="D57" s="125" t="s">
        <v>284</v>
      </c>
      <c r="E57" s="1918"/>
      <c r="F57" s="1919"/>
      <c r="G57" s="1919"/>
      <c r="H57" s="1919"/>
      <c r="I57" s="1919"/>
      <c r="J57" s="1919"/>
      <c r="K57" s="1919"/>
      <c r="L57" s="1919"/>
      <c r="M57" s="1919"/>
      <c r="N57" s="1919"/>
      <c r="O57" s="1920"/>
    </row>
    <row r="58" spans="2:15">
      <c r="B58" s="1910"/>
      <c r="C58" s="1913"/>
      <c r="D58" s="125" t="s">
        <v>285</v>
      </c>
      <c r="E58" s="1918"/>
      <c r="F58" s="1919"/>
      <c r="G58" s="1919"/>
      <c r="H58" s="1919"/>
      <c r="I58" s="1919"/>
      <c r="J58" s="1919"/>
      <c r="K58" s="1919"/>
      <c r="L58" s="1919"/>
      <c r="M58" s="1919"/>
      <c r="N58" s="1919"/>
      <c r="O58" s="1920"/>
    </row>
    <row r="59" spans="2:15">
      <c r="B59" s="1910"/>
      <c r="C59" s="1913"/>
      <c r="D59" s="125" t="s">
        <v>286</v>
      </c>
      <c r="E59" s="1918"/>
      <c r="F59" s="1919"/>
      <c r="G59" s="1919"/>
      <c r="H59" s="1919"/>
      <c r="I59" s="1919"/>
      <c r="J59" s="1919"/>
      <c r="K59" s="1919"/>
      <c r="L59" s="1919"/>
      <c r="M59" s="1919"/>
      <c r="N59" s="1919"/>
      <c r="O59" s="1920"/>
    </row>
    <row r="60" spans="2:15">
      <c r="B60" s="1910"/>
      <c r="C60" s="1913"/>
      <c r="D60" s="125" t="s">
        <v>540</v>
      </c>
      <c r="E60" s="1918"/>
      <c r="F60" s="1919"/>
      <c r="G60" s="1919"/>
      <c r="H60" s="1919"/>
      <c r="I60" s="1919"/>
      <c r="J60" s="1919"/>
      <c r="K60" s="1919"/>
      <c r="L60" s="1919"/>
      <c r="M60" s="1919"/>
      <c r="N60" s="1919"/>
      <c r="O60" s="1920"/>
    </row>
    <row r="61" spans="2:15">
      <c r="B61" s="1910"/>
      <c r="C61" s="1913"/>
      <c r="D61" s="125" t="s">
        <v>288</v>
      </c>
      <c r="E61" s="1918"/>
      <c r="F61" s="1919"/>
      <c r="G61" s="1919"/>
      <c r="H61" s="1919"/>
      <c r="I61" s="1919"/>
      <c r="J61" s="1919"/>
      <c r="K61" s="1919"/>
      <c r="L61" s="1919"/>
      <c r="M61" s="1919"/>
      <c r="N61" s="1919"/>
      <c r="O61" s="1920"/>
    </row>
    <row r="62" spans="2:15">
      <c r="B62" s="1910"/>
      <c r="C62" s="1913"/>
      <c r="D62" s="125" t="s">
        <v>289</v>
      </c>
      <c r="E62" s="1918"/>
      <c r="F62" s="1919"/>
      <c r="G62" s="1919"/>
      <c r="H62" s="1919"/>
      <c r="I62" s="1919"/>
      <c r="J62" s="1919"/>
      <c r="K62" s="1919"/>
      <c r="L62" s="1919"/>
      <c r="M62" s="1919"/>
      <c r="N62" s="1919"/>
      <c r="O62" s="1920"/>
    </row>
    <row r="63" spans="2:15">
      <c r="B63" s="1910"/>
      <c r="C63" s="1913"/>
      <c r="D63" s="125" t="s">
        <v>290</v>
      </c>
      <c r="E63" s="1918"/>
      <c r="F63" s="1919"/>
      <c r="G63" s="1919"/>
      <c r="H63" s="1919"/>
      <c r="I63" s="1919"/>
      <c r="J63" s="1919"/>
      <c r="K63" s="1919"/>
      <c r="L63" s="1919"/>
      <c r="M63" s="1919"/>
      <c r="N63" s="1919"/>
      <c r="O63" s="1920"/>
    </row>
    <row r="64" spans="2:15">
      <c r="B64" s="1911"/>
      <c r="C64" s="1914"/>
      <c r="D64" s="125" t="s">
        <v>291</v>
      </c>
      <c r="E64" s="1918"/>
      <c r="F64" s="1919"/>
      <c r="G64" s="1919"/>
      <c r="H64" s="1919"/>
      <c r="I64" s="1919"/>
      <c r="J64" s="1919"/>
      <c r="K64" s="1919"/>
      <c r="L64" s="1919"/>
      <c r="M64" s="1919"/>
      <c r="N64" s="1919"/>
      <c r="O64" s="1920"/>
    </row>
    <row r="65" spans="2:15">
      <c r="B65" s="99">
        <v>3</v>
      </c>
      <c r="C65" s="124"/>
      <c r="D65" s="124"/>
      <c r="E65" s="1918"/>
      <c r="F65" s="1919"/>
      <c r="G65" s="1919"/>
      <c r="H65" s="1919"/>
      <c r="I65" s="1919"/>
      <c r="J65" s="1919"/>
      <c r="K65" s="1919"/>
      <c r="L65" s="1919"/>
      <c r="M65" s="1919"/>
      <c r="N65" s="1919"/>
      <c r="O65" s="1920"/>
    </row>
    <row r="66" spans="2:15">
      <c r="B66" s="99" t="s">
        <v>478</v>
      </c>
      <c r="C66" s="126"/>
      <c r="D66" s="126"/>
      <c r="E66" s="1921"/>
      <c r="F66" s="1922"/>
      <c r="G66" s="1922"/>
      <c r="H66" s="1922"/>
      <c r="I66" s="1922"/>
      <c r="J66" s="1922"/>
      <c r="K66" s="1922"/>
      <c r="L66" s="1922"/>
      <c r="M66" s="1922"/>
      <c r="N66" s="1922"/>
      <c r="O66" s="1923"/>
    </row>
    <row r="68" spans="2:15">
      <c r="B68" s="250" t="s">
        <v>703</v>
      </c>
    </row>
    <row r="70" spans="2:15">
      <c r="B70" s="1908" t="s">
        <v>1001</v>
      </c>
      <c r="C70" s="1908"/>
      <c r="D70" s="251"/>
      <c r="E70" s="14"/>
      <c r="F70" s="14"/>
      <c r="G70" s="14"/>
      <c r="H70" s="14"/>
      <c r="I70" s="14"/>
      <c r="J70" s="14"/>
      <c r="K70" s="14"/>
      <c r="L70" s="14"/>
    </row>
    <row r="72" spans="2:15" ht="56">
      <c r="B72" s="1684" t="s">
        <v>341</v>
      </c>
      <c r="C72" s="1684" t="s">
        <v>527</v>
      </c>
      <c r="D72" s="1684" t="s">
        <v>538</v>
      </c>
      <c r="E72" s="254" t="s">
        <v>607</v>
      </c>
      <c r="F72" s="1676" t="s">
        <v>528</v>
      </c>
      <c r="G72" s="1676"/>
      <c r="H72" s="1676"/>
      <c r="I72" s="1676"/>
      <c r="J72" s="1676"/>
      <c r="K72" s="1676" t="s">
        <v>532</v>
      </c>
      <c r="L72" s="1676"/>
      <c r="M72" s="1676"/>
      <c r="N72" s="1676" t="s">
        <v>536</v>
      </c>
      <c r="O72" s="1676" t="s">
        <v>537</v>
      </c>
    </row>
    <row r="73" spans="2:15" ht="28">
      <c r="B73" s="1722"/>
      <c r="C73" s="1722"/>
      <c r="D73" s="1722"/>
      <c r="E73" s="253" t="s">
        <v>609</v>
      </c>
      <c r="F73" s="252" t="s">
        <v>534</v>
      </c>
      <c r="G73" s="252" t="s">
        <v>529</v>
      </c>
      <c r="H73" s="252" t="s">
        <v>611</v>
      </c>
      <c r="I73" s="253" t="s">
        <v>530</v>
      </c>
      <c r="J73" s="253" t="s">
        <v>531</v>
      </c>
      <c r="K73" s="253" t="s">
        <v>533</v>
      </c>
      <c r="L73" s="253" t="s">
        <v>535</v>
      </c>
      <c r="M73" s="253" t="s">
        <v>610</v>
      </c>
      <c r="N73" s="1676"/>
      <c r="O73" s="1676"/>
    </row>
    <row r="74" spans="2:15">
      <c r="B74" s="1909">
        <f>B73+1</f>
        <v>1</v>
      </c>
      <c r="C74" s="1912"/>
      <c r="D74" s="125" t="s">
        <v>280</v>
      </c>
      <c r="E74" s="1915" t="s">
        <v>739</v>
      </c>
      <c r="F74" s="1916"/>
      <c r="G74" s="1916"/>
      <c r="H74" s="1916"/>
      <c r="I74" s="1916"/>
      <c r="J74" s="1916"/>
      <c r="K74" s="1916"/>
      <c r="L74" s="1916"/>
      <c r="M74" s="1916"/>
      <c r="N74" s="1916"/>
      <c r="O74" s="1917"/>
    </row>
    <row r="75" spans="2:15">
      <c r="B75" s="1910"/>
      <c r="C75" s="1913"/>
      <c r="D75" s="125" t="s">
        <v>281</v>
      </c>
      <c r="E75" s="1918"/>
      <c r="F75" s="1919"/>
      <c r="G75" s="1919"/>
      <c r="H75" s="1919"/>
      <c r="I75" s="1919"/>
      <c r="J75" s="1919"/>
      <c r="K75" s="1919"/>
      <c r="L75" s="1919"/>
      <c r="M75" s="1919"/>
      <c r="N75" s="1919"/>
      <c r="O75" s="1920"/>
    </row>
    <row r="76" spans="2:15">
      <c r="B76" s="1910"/>
      <c r="C76" s="1913"/>
      <c r="D76" s="125" t="s">
        <v>282</v>
      </c>
      <c r="E76" s="1918"/>
      <c r="F76" s="1919"/>
      <c r="G76" s="1919"/>
      <c r="H76" s="1919"/>
      <c r="I76" s="1919"/>
      <c r="J76" s="1919"/>
      <c r="K76" s="1919"/>
      <c r="L76" s="1919"/>
      <c r="M76" s="1919"/>
      <c r="N76" s="1919"/>
      <c r="O76" s="1920"/>
    </row>
    <row r="77" spans="2:15">
      <c r="B77" s="1910"/>
      <c r="C77" s="1913"/>
      <c r="D77" s="125" t="s">
        <v>539</v>
      </c>
      <c r="E77" s="1918"/>
      <c r="F77" s="1919"/>
      <c r="G77" s="1919"/>
      <c r="H77" s="1919"/>
      <c r="I77" s="1919"/>
      <c r="J77" s="1919"/>
      <c r="K77" s="1919"/>
      <c r="L77" s="1919"/>
      <c r="M77" s="1919"/>
      <c r="N77" s="1919"/>
      <c r="O77" s="1920"/>
    </row>
    <row r="78" spans="2:15">
      <c r="B78" s="1910"/>
      <c r="C78" s="1913"/>
      <c r="D78" s="125" t="s">
        <v>284</v>
      </c>
      <c r="E78" s="1918"/>
      <c r="F78" s="1919"/>
      <c r="G78" s="1919"/>
      <c r="H78" s="1919"/>
      <c r="I78" s="1919"/>
      <c r="J78" s="1919"/>
      <c r="K78" s="1919"/>
      <c r="L78" s="1919"/>
      <c r="M78" s="1919"/>
      <c r="N78" s="1919"/>
      <c r="O78" s="1920"/>
    </row>
    <row r="79" spans="2:15">
      <c r="B79" s="1910"/>
      <c r="C79" s="1913"/>
      <c r="D79" s="125" t="s">
        <v>285</v>
      </c>
      <c r="E79" s="1918"/>
      <c r="F79" s="1919"/>
      <c r="G79" s="1919"/>
      <c r="H79" s="1919"/>
      <c r="I79" s="1919"/>
      <c r="J79" s="1919"/>
      <c r="K79" s="1919"/>
      <c r="L79" s="1919"/>
      <c r="M79" s="1919"/>
      <c r="N79" s="1919"/>
      <c r="O79" s="1920"/>
    </row>
    <row r="80" spans="2:15">
      <c r="B80" s="1910"/>
      <c r="C80" s="1913"/>
      <c r="D80" s="125" t="s">
        <v>286</v>
      </c>
      <c r="E80" s="1918"/>
      <c r="F80" s="1919"/>
      <c r="G80" s="1919"/>
      <c r="H80" s="1919"/>
      <c r="I80" s="1919"/>
      <c r="J80" s="1919"/>
      <c r="K80" s="1919"/>
      <c r="L80" s="1919"/>
      <c r="M80" s="1919"/>
      <c r="N80" s="1919"/>
      <c r="O80" s="1920"/>
    </row>
    <row r="81" spans="2:15">
      <c r="B81" s="1910"/>
      <c r="C81" s="1913"/>
      <c r="D81" s="125" t="s">
        <v>540</v>
      </c>
      <c r="E81" s="1918"/>
      <c r="F81" s="1919"/>
      <c r="G81" s="1919"/>
      <c r="H81" s="1919"/>
      <c r="I81" s="1919"/>
      <c r="J81" s="1919"/>
      <c r="K81" s="1919"/>
      <c r="L81" s="1919"/>
      <c r="M81" s="1919"/>
      <c r="N81" s="1919"/>
      <c r="O81" s="1920"/>
    </row>
    <row r="82" spans="2:15">
      <c r="B82" s="1910"/>
      <c r="C82" s="1913"/>
      <c r="D82" s="125" t="s">
        <v>288</v>
      </c>
      <c r="E82" s="1918"/>
      <c r="F82" s="1919"/>
      <c r="G82" s="1919"/>
      <c r="H82" s="1919"/>
      <c r="I82" s="1919"/>
      <c r="J82" s="1919"/>
      <c r="K82" s="1919"/>
      <c r="L82" s="1919"/>
      <c r="M82" s="1919"/>
      <c r="N82" s="1919"/>
      <c r="O82" s="1920"/>
    </row>
    <row r="83" spans="2:15">
      <c r="B83" s="1910"/>
      <c r="C83" s="1913"/>
      <c r="D83" s="125" t="s">
        <v>289</v>
      </c>
      <c r="E83" s="1918"/>
      <c r="F83" s="1919"/>
      <c r="G83" s="1919"/>
      <c r="H83" s="1919"/>
      <c r="I83" s="1919"/>
      <c r="J83" s="1919"/>
      <c r="K83" s="1919"/>
      <c r="L83" s="1919"/>
      <c r="M83" s="1919"/>
      <c r="N83" s="1919"/>
      <c r="O83" s="1920"/>
    </row>
    <row r="84" spans="2:15">
      <c r="B84" s="1910"/>
      <c r="C84" s="1913"/>
      <c r="D84" s="125" t="s">
        <v>290</v>
      </c>
      <c r="E84" s="1918"/>
      <c r="F84" s="1919"/>
      <c r="G84" s="1919"/>
      <c r="H84" s="1919"/>
      <c r="I84" s="1919"/>
      <c r="J84" s="1919"/>
      <c r="K84" s="1919"/>
      <c r="L84" s="1919"/>
      <c r="M84" s="1919"/>
      <c r="N84" s="1919"/>
      <c r="O84" s="1920"/>
    </row>
    <row r="85" spans="2:15">
      <c r="B85" s="1911"/>
      <c r="C85" s="1914"/>
      <c r="D85" s="125" t="s">
        <v>291</v>
      </c>
      <c r="E85" s="1918"/>
      <c r="F85" s="1919"/>
      <c r="G85" s="1919"/>
      <c r="H85" s="1919"/>
      <c r="I85" s="1919"/>
      <c r="J85" s="1919"/>
      <c r="K85" s="1919"/>
      <c r="L85" s="1919"/>
      <c r="M85" s="1919"/>
      <c r="N85" s="1919"/>
      <c r="O85" s="1920"/>
    </row>
    <row r="86" spans="2:15">
      <c r="B86" s="1909">
        <f>B74+1</f>
        <v>2</v>
      </c>
      <c r="C86" s="1912"/>
      <c r="D86" s="125" t="s">
        <v>280</v>
      </c>
      <c r="E86" s="1918"/>
      <c r="F86" s="1919"/>
      <c r="G86" s="1919"/>
      <c r="H86" s="1919"/>
      <c r="I86" s="1919"/>
      <c r="J86" s="1919"/>
      <c r="K86" s="1919"/>
      <c r="L86" s="1919"/>
      <c r="M86" s="1919"/>
      <c r="N86" s="1919"/>
      <c r="O86" s="1920"/>
    </row>
    <row r="87" spans="2:15">
      <c r="B87" s="1910"/>
      <c r="C87" s="1913"/>
      <c r="D87" s="125" t="s">
        <v>281</v>
      </c>
      <c r="E87" s="1918"/>
      <c r="F87" s="1919"/>
      <c r="G87" s="1919"/>
      <c r="H87" s="1919"/>
      <c r="I87" s="1919"/>
      <c r="J87" s="1919"/>
      <c r="K87" s="1919"/>
      <c r="L87" s="1919"/>
      <c r="M87" s="1919"/>
      <c r="N87" s="1919"/>
      <c r="O87" s="1920"/>
    </row>
    <row r="88" spans="2:15">
      <c r="B88" s="1910"/>
      <c r="C88" s="1913"/>
      <c r="D88" s="125" t="s">
        <v>282</v>
      </c>
      <c r="E88" s="1918"/>
      <c r="F88" s="1919"/>
      <c r="G88" s="1919"/>
      <c r="H88" s="1919"/>
      <c r="I88" s="1919"/>
      <c r="J88" s="1919"/>
      <c r="K88" s="1919"/>
      <c r="L88" s="1919"/>
      <c r="M88" s="1919"/>
      <c r="N88" s="1919"/>
      <c r="O88" s="1920"/>
    </row>
    <row r="89" spans="2:15">
      <c r="B89" s="1910"/>
      <c r="C89" s="1913"/>
      <c r="D89" s="125" t="s">
        <v>539</v>
      </c>
      <c r="E89" s="1918"/>
      <c r="F89" s="1919"/>
      <c r="G89" s="1919"/>
      <c r="H89" s="1919"/>
      <c r="I89" s="1919"/>
      <c r="J89" s="1919"/>
      <c r="K89" s="1919"/>
      <c r="L89" s="1919"/>
      <c r="M89" s="1919"/>
      <c r="N89" s="1919"/>
      <c r="O89" s="1920"/>
    </row>
    <row r="90" spans="2:15">
      <c r="B90" s="1910"/>
      <c r="C90" s="1913"/>
      <c r="D90" s="125" t="s">
        <v>284</v>
      </c>
      <c r="E90" s="1918"/>
      <c r="F90" s="1919"/>
      <c r="G90" s="1919"/>
      <c r="H90" s="1919"/>
      <c r="I90" s="1919"/>
      <c r="J90" s="1919"/>
      <c r="K90" s="1919"/>
      <c r="L90" s="1919"/>
      <c r="M90" s="1919"/>
      <c r="N90" s="1919"/>
      <c r="O90" s="1920"/>
    </row>
    <row r="91" spans="2:15">
      <c r="B91" s="1910"/>
      <c r="C91" s="1913"/>
      <c r="D91" s="125" t="s">
        <v>285</v>
      </c>
      <c r="E91" s="1918"/>
      <c r="F91" s="1919"/>
      <c r="G91" s="1919"/>
      <c r="H91" s="1919"/>
      <c r="I91" s="1919"/>
      <c r="J91" s="1919"/>
      <c r="K91" s="1919"/>
      <c r="L91" s="1919"/>
      <c r="M91" s="1919"/>
      <c r="N91" s="1919"/>
      <c r="O91" s="1920"/>
    </row>
    <row r="92" spans="2:15">
      <c r="B92" s="1910"/>
      <c r="C92" s="1913"/>
      <c r="D92" s="125" t="s">
        <v>286</v>
      </c>
      <c r="E92" s="1918"/>
      <c r="F92" s="1919"/>
      <c r="G92" s="1919"/>
      <c r="H92" s="1919"/>
      <c r="I92" s="1919"/>
      <c r="J92" s="1919"/>
      <c r="K92" s="1919"/>
      <c r="L92" s="1919"/>
      <c r="M92" s="1919"/>
      <c r="N92" s="1919"/>
      <c r="O92" s="1920"/>
    </row>
    <row r="93" spans="2:15">
      <c r="B93" s="1910"/>
      <c r="C93" s="1913"/>
      <c r="D93" s="125" t="s">
        <v>540</v>
      </c>
      <c r="E93" s="1918"/>
      <c r="F93" s="1919"/>
      <c r="G93" s="1919"/>
      <c r="H93" s="1919"/>
      <c r="I93" s="1919"/>
      <c r="J93" s="1919"/>
      <c r="K93" s="1919"/>
      <c r="L93" s="1919"/>
      <c r="M93" s="1919"/>
      <c r="N93" s="1919"/>
      <c r="O93" s="1920"/>
    </row>
    <row r="94" spans="2:15">
      <c r="B94" s="1910"/>
      <c r="C94" s="1913"/>
      <c r="D94" s="125" t="s">
        <v>288</v>
      </c>
      <c r="E94" s="1918"/>
      <c r="F94" s="1919"/>
      <c r="G94" s="1919"/>
      <c r="H94" s="1919"/>
      <c r="I94" s="1919"/>
      <c r="J94" s="1919"/>
      <c r="K94" s="1919"/>
      <c r="L94" s="1919"/>
      <c r="M94" s="1919"/>
      <c r="N94" s="1919"/>
      <c r="O94" s="1920"/>
    </row>
    <row r="95" spans="2:15">
      <c r="B95" s="1910"/>
      <c r="C95" s="1913"/>
      <c r="D95" s="125" t="s">
        <v>289</v>
      </c>
      <c r="E95" s="1918"/>
      <c r="F95" s="1919"/>
      <c r="G95" s="1919"/>
      <c r="H95" s="1919"/>
      <c r="I95" s="1919"/>
      <c r="J95" s="1919"/>
      <c r="K95" s="1919"/>
      <c r="L95" s="1919"/>
      <c r="M95" s="1919"/>
      <c r="N95" s="1919"/>
      <c r="O95" s="1920"/>
    </row>
    <row r="96" spans="2:15">
      <c r="B96" s="1910"/>
      <c r="C96" s="1913"/>
      <c r="D96" s="125" t="s">
        <v>290</v>
      </c>
      <c r="E96" s="1918"/>
      <c r="F96" s="1919"/>
      <c r="G96" s="1919"/>
      <c r="H96" s="1919"/>
      <c r="I96" s="1919"/>
      <c r="J96" s="1919"/>
      <c r="K96" s="1919"/>
      <c r="L96" s="1919"/>
      <c r="M96" s="1919"/>
      <c r="N96" s="1919"/>
      <c r="O96" s="1920"/>
    </row>
    <row r="97" spans="2:15">
      <c r="B97" s="1911"/>
      <c r="C97" s="1914"/>
      <c r="D97" s="125" t="s">
        <v>291</v>
      </c>
      <c r="E97" s="1918"/>
      <c r="F97" s="1919"/>
      <c r="G97" s="1919"/>
      <c r="H97" s="1919"/>
      <c r="I97" s="1919"/>
      <c r="J97" s="1919"/>
      <c r="K97" s="1919"/>
      <c r="L97" s="1919"/>
      <c r="M97" s="1919"/>
      <c r="N97" s="1919"/>
      <c r="O97" s="1920"/>
    </row>
    <row r="98" spans="2:15">
      <c r="B98" s="99">
        <v>3</v>
      </c>
      <c r="C98" s="124"/>
      <c r="D98" s="124"/>
      <c r="E98" s="1918"/>
      <c r="F98" s="1919"/>
      <c r="G98" s="1919"/>
      <c r="H98" s="1919"/>
      <c r="I98" s="1919"/>
      <c r="J98" s="1919"/>
      <c r="K98" s="1919"/>
      <c r="L98" s="1919"/>
      <c r="M98" s="1919"/>
      <c r="N98" s="1919"/>
      <c r="O98" s="1920"/>
    </row>
    <row r="99" spans="2:15">
      <c r="B99" s="99" t="s">
        <v>478</v>
      </c>
      <c r="C99" s="126"/>
      <c r="D99" s="126"/>
      <c r="E99" s="1921"/>
      <c r="F99" s="1922"/>
      <c r="G99" s="1922"/>
      <c r="H99" s="1922"/>
      <c r="I99" s="1922"/>
      <c r="J99" s="1922"/>
      <c r="K99" s="1922"/>
      <c r="L99" s="1922"/>
      <c r="M99" s="1922"/>
      <c r="N99" s="1922"/>
      <c r="O99" s="1923"/>
    </row>
    <row r="101" spans="2:15">
      <c r="B101" s="1908" t="s">
        <v>1002</v>
      </c>
      <c r="C101" s="1908"/>
      <c r="D101" s="297"/>
      <c r="E101" s="14"/>
      <c r="F101" s="14"/>
      <c r="G101" s="14"/>
      <c r="H101" s="14"/>
      <c r="I101" s="14"/>
      <c r="J101" s="14"/>
      <c r="K101" s="14"/>
      <c r="L101" s="14"/>
    </row>
    <row r="103" spans="2:15" ht="56">
      <c r="B103" s="1684" t="s">
        <v>341</v>
      </c>
      <c r="C103" s="1684" t="s">
        <v>527</v>
      </c>
      <c r="D103" s="1684" t="s">
        <v>538</v>
      </c>
      <c r="E103" s="290" t="s">
        <v>607</v>
      </c>
      <c r="F103" s="1676" t="s">
        <v>528</v>
      </c>
      <c r="G103" s="1676"/>
      <c r="H103" s="1676"/>
      <c r="I103" s="1676"/>
      <c r="J103" s="1676"/>
      <c r="K103" s="1676" t="s">
        <v>532</v>
      </c>
      <c r="L103" s="1676"/>
      <c r="M103" s="1676"/>
      <c r="N103" s="1676" t="s">
        <v>707</v>
      </c>
      <c r="O103" s="1676" t="s">
        <v>537</v>
      </c>
    </row>
    <row r="104" spans="2:15" ht="28">
      <c r="B104" s="1722"/>
      <c r="C104" s="1722"/>
      <c r="D104" s="1722"/>
      <c r="E104" s="289" t="s">
        <v>609</v>
      </c>
      <c r="F104" s="287" t="s">
        <v>534</v>
      </c>
      <c r="G104" s="287" t="s">
        <v>529</v>
      </c>
      <c r="H104" s="287" t="s">
        <v>611</v>
      </c>
      <c r="I104" s="289" t="s">
        <v>651</v>
      </c>
      <c r="J104" s="289" t="s">
        <v>705</v>
      </c>
      <c r="K104" s="289" t="s">
        <v>533</v>
      </c>
      <c r="L104" s="289" t="s">
        <v>706</v>
      </c>
      <c r="M104" s="289" t="s">
        <v>610</v>
      </c>
      <c r="N104" s="1676"/>
      <c r="O104" s="1676"/>
    </row>
    <row r="105" spans="2:15">
      <c r="B105" s="1909">
        <f>B104+1</f>
        <v>1</v>
      </c>
      <c r="C105" s="1912"/>
      <c r="D105" s="125" t="s">
        <v>280</v>
      </c>
      <c r="E105" s="1915" t="s">
        <v>739</v>
      </c>
      <c r="F105" s="1916"/>
      <c r="G105" s="1916"/>
      <c r="H105" s="1916"/>
      <c r="I105" s="1916"/>
      <c r="J105" s="1916"/>
      <c r="K105" s="1916"/>
      <c r="L105" s="1916"/>
      <c r="M105" s="1916"/>
      <c r="N105" s="1916"/>
      <c r="O105" s="1917"/>
    </row>
    <row r="106" spans="2:15">
      <c r="B106" s="1910"/>
      <c r="C106" s="1913"/>
      <c r="D106" s="125" t="s">
        <v>281</v>
      </c>
      <c r="E106" s="1918"/>
      <c r="F106" s="1919"/>
      <c r="G106" s="1919"/>
      <c r="H106" s="1919"/>
      <c r="I106" s="1919"/>
      <c r="J106" s="1919"/>
      <c r="K106" s="1919"/>
      <c r="L106" s="1919"/>
      <c r="M106" s="1919"/>
      <c r="N106" s="1919"/>
      <c r="O106" s="1920"/>
    </row>
    <row r="107" spans="2:15">
      <c r="B107" s="1910"/>
      <c r="C107" s="1913"/>
      <c r="D107" s="125" t="s">
        <v>282</v>
      </c>
      <c r="E107" s="1918"/>
      <c r="F107" s="1919"/>
      <c r="G107" s="1919"/>
      <c r="H107" s="1919"/>
      <c r="I107" s="1919"/>
      <c r="J107" s="1919"/>
      <c r="K107" s="1919"/>
      <c r="L107" s="1919"/>
      <c r="M107" s="1919"/>
      <c r="N107" s="1919"/>
      <c r="O107" s="1920"/>
    </row>
    <row r="108" spans="2:15">
      <c r="B108" s="1910"/>
      <c r="C108" s="1913"/>
      <c r="D108" s="125" t="s">
        <v>539</v>
      </c>
      <c r="E108" s="1918"/>
      <c r="F108" s="1919"/>
      <c r="G108" s="1919"/>
      <c r="H108" s="1919"/>
      <c r="I108" s="1919"/>
      <c r="J108" s="1919"/>
      <c r="K108" s="1919"/>
      <c r="L108" s="1919"/>
      <c r="M108" s="1919"/>
      <c r="N108" s="1919"/>
      <c r="O108" s="1920"/>
    </row>
    <row r="109" spans="2:15">
      <c r="B109" s="1910"/>
      <c r="C109" s="1913"/>
      <c r="D109" s="125" t="s">
        <v>284</v>
      </c>
      <c r="E109" s="1918"/>
      <c r="F109" s="1919"/>
      <c r="G109" s="1919"/>
      <c r="H109" s="1919"/>
      <c r="I109" s="1919"/>
      <c r="J109" s="1919"/>
      <c r="K109" s="1919"/>
      <c r="L109" s="1919"/>
      <c r="M109" s="1919"/>
      <c r="N109" s="1919"/>
      <c r="O109" s="1920"/>
    </row>
    <row r="110" spans="2:15">
      <c r="B110" s="1910"/>
      <c r="C110" s="1913"/>
      <c r="D110" s="125" t="s">
        <v>285</v>
      </c>
      <c r="E110" s="1918"/>
      <c r="F110" s="1919"/>
      <c r="G110" s="1919"/>
      <c r="H110" s="1919"/>
      <c r="I110" s="1919"/>
      <c r="J110" s="1919"/>
      <c r="K110" s="1919"/>
      <c r="L110" s="1919"/>
      <c r="M110" s="1919"/>
      <c r="N110" s="1919"/>
      <c r="O110" s="1920"/>
    </row>
    <row r="111" spans="2:15">
      <c r="B111" s="1910"/>
      <c r="C111" s="1913"/>
      <c r="D111" s="125" t="s">
        <v>286</v>
      </c>
      <c r="E111" s="1918"/>
      <c r="F111" s="1919"/>
      <c r="G111" s="1919"/>
      <c r="H111" s="1919"/>
      <c r="I111" s="1919"/>
      <c r="J111" s="1919"/>
      <c r="K111" s="1919"/>
      <c r="L111" s="1919"/>
      <c r="M111" s="1919"/>
      <c r="N111" s="1919"/>
      <c r="O111" s="1920"/>
    </row>
    <row r="112" spans="2:15">
      <c r="B112" s="1910"/>
      <c r="C112" s="1913"/>
      <c r="D112" s="125" t="s">
        <v>540</v>
      </c>
      <c r="E112" s="1918"/>
      <c r="F112" s="1919"/>
      <c r="G112" s="1919"/>
      <c r="H112" s="1919"/>
      <c r="I112" s="1919"/>
      <c r="J112" s="1919"/>
      <c r="K112" s="1919"/>
      <c r="L112" s="1919"/>
      <c r="M112" s="1919"/>
      <c r="N112" s="1919"/>
      <c r="O112" s="1920"/>
    </row>
    <row r="113" spans="2:15">
      <c r="B113" s="1910"/>
      <c r="C113" s="1913"/>
      <c r="D113" s="125" t="s">
        <v>288</v>
      </c>
      <c r="E113" s="1918"/>
      <c r="F113" s="1919"/>
      <c r="G113" s="1919"/>
      <c r="H113" s="1919"/>
      <c r="I113" s="1919"/>
      <c r="J113" s="1919"/>
      <c r="K113" s="1919"/>
      <c r="L113" s="1919"/>
      <c r="M113" s="1919"/>
      <c r="N113" s="1919"/>
      <c r="O113" s="1920"/>
    </row>
    <row r="114" spans="2:15">
      <c r="B114" s="1910"/>
      <c r="C114" s="1913"/>
      <c r="D114" s="125" t="s">
        <v>289</v>
      </c>
      <c r="E114" s="1918"/>
      <c r="F114" s="1919"/>
      <c r="G114" s="1919"/>
      <c r="H114" s="1919"/>
      <c r="I114" s="1919"/>
      <c r="J114" s="1919"/>
      <c r="K114" s="1919"/>
      <c r="L114" s="1919"/>
      <c r="M114" s="1919"/>
      <c r="N114" s="1919"/>
      <c r="O114" s="1920"/>
    </row>
    <row r="115" spans="2:15">
      <c r="B115" s="1910"/>
      <c r="C115" s="1913"/>
      <c r="D115" s="125" t="s">
        <v>290</v>
      </c>
      <c r="E115" s="1918"/>
      <c r="F115" s="1919"/>
      <c r="G115" s="1919"/>
      <c r="H115" s="1919"/>
      <c r="I115" s="1919"/>
      <c r="J115" s="1919"/>
      <c r="K115" s="1919"/>
      <c r="L115" s="1919"/>
      <c r="M115" s="1919"/>
      <c r="N115" s="1919"/>
      <c r="O115" s="1920"/>
    </row>
    <row r="116" spans="2:15">
      <c r="B116" s="1911"/>
      <c r="C116" s="1914"/>
      <c r="D116" s="125" t="s">
        <v>291</v>
      </c>
      <c r="E116" s="1918"/>
      <c r="F116" s="1919"/>
      <c r="G116" s="1919"/>
      <c r="H116" s="1919"/>
      <c r="I116" s="1919"/>
      <c r="J116" s="1919"/>
      <c r="K116" s="1919"/>
      <c r="L116" s="1919"/>
      <c r="M116" s="1919"/>
      <c r="N116" s="1919"/>
      <c r="O116" s="1920"/>
    </row>
    <row r="117" spans="2:15">
      <c r="B117" s="1909">
        <f>B105+1</f>
        <v>2</v>
      </c>
      <c r="C117" s="1912"/>
      <c r="D117" s="125" t="s">
        <v>280</v>
      </c>
      <c r="E117" s="1918"/>
      <c r="F117" s="1919"/>
      <c r="G117" s="1919"/>
      <c r="H117" s="1919"/>
      <c r="I117" s="1919"/>
      <c r="J117" s="1919"/>
      <c r="K117" s="1919"/>
      <c r="L117" s="1919"/>
      <c r="M117" s="1919"/>
      <c r="N117" s="1919"/>
      <c r="O117" s="1920"/>
    </row>
    <row r="118" spans="2:15">
      <c r="B118" s="1910"/>
      <c r="C118" s="1913"/>
      <c r="D118" s="125" t="s">
        <v>281</v>
      </c>
      <c r="E118" s="1918"/>
      <c r="F118" s="1919"/>
      <c r="G118" s="1919"/>
      <c r="H118" s="1919"/>
      <c r="I118" s="1919"/>
      <c r="J118" s="1919"/>
      <c r="K118" s="1919"/>
      <c r="L118" s="1919"/>
      <c r="M118" s="1919"/>
      <c r="N118" s="1919"/>
      <c r="O118" s="1920"/>
    </row>
    <row r="119" spans="2:15">
      <c r="B119" s="1910"/>
      <c r="C119" s="1913"/>
      <c r="D119" s="125" t="s">
        <v>282</v>
      </c>
      <c r="E119" s="1918"/>
      <c r="F119" s="1919"/>
      <c r="G119" s="1919"/>
      <c r="H119" s="1919"/>
      <c r="I119" s="1919"/>
      <c r="J119" s="1919"/>
      <c r="K119" s="1919"/>
      <c r="L119" s="1919"/>
      <c r="M119" s="1919"/>
      <c r="N119" s="1919"/>
      <c r="O119" s="1920"/>
    </row>
    <row r="120" spans="2:15">
      <c r="B120" s="1910"/>
      <c r="C120" s="1913"/>
      <c r="D120" s="125" t="s">
        <v>539</v>
      </c>
      <c r="E120" s="1918"/>
      <c r="F120" s="1919"/>
      <c r="G120" s="1919"/>
      <c r="H120" s="1919"/>
      <c r="I120" s="1919"/>
      <c r="J120" s="1919"/>
      <c r="K120" s="1919"/>
      <c r="L120" s="1919"/>
      <c r="M120" s="1919"/>
      <c r="N120" s="1919"/>
      <c r="O120" s="1920"/>
    </row>
    <row r="121" spans="2:15">
      <c r="B121" s="1910"/>
      <c r="C121" s="1913"/>
      <c r="D121" s="125" t="s">
        <v>284</v>
      </c>
      <c r="E121" s="1918"/>
      <c r="F121" s="1919"/>
      <c r="G121" s="1919"/>
      <c r="H121" s="1919"/>
      <c r="I121" s="1919"/>
      <c r="J121" s="1919"/>
      <c r="K121" s="1919"/>
      <c r="L121" s="1919"/>
      <c r="M121" s="1919"/>
      <c r="N121" s="1919"/>
      <c r="O121" s="1920"/>
    </row>
    <row r="122" spans="2:15">
      <c r="B122" s="1910"/>
      <c r="C122" s="1913"/>
      <c r="D122" s="125" t="s">
        <v>285</v>
      </c>
      <c r="E122" s="1918"/>
      <c r="F122" s="1919"/>
      <c r="G122" s="1919"/>
      <c r="H122" s="1919"/>
      <c r="I122" s="1919"/>
      <c r="J122" s="1919"/>
      <c r="K122" s="1919"/>
      <c r="L122" s="1919"/>
      <c r="M122" s="1919"/>
      <c r="N122" s="1919"/>
      <c r="O122" s="1920"/>
    </row>
    <row r="123" spans="2:15">
      <c r="B123" s="1910"/>
      <c r="C123" s="1913"/>
      <c r="D123" s="125" t="s">
        <v>286</v>
      </c>
      <c r="E123" s="1918"/>
      <c r="F123" s="1919"/>
      <c r="G123" s="1919"/>
      <c r="H123" s="1919"/>
      <c r="I123" s="1919"/>
      <c r="J123" s="1919"/>
      <c r="K123" s="1919"/>
      <c r="L123" s="1919"/>
      <c r="M123" s="1919"/>
      <c r="N123" s="1919"/>
      <c r="O123" s="1920"/>
    </row>
    <row r="124" spans="2:15">
      <c r="B124" s="1910"/>
      <c r="C124" s="1913"/>
      <c r="D124" s="125" t="s">
        <v>540</v>
      </c>
      <c r="E124" s="1918"/>
      <c r="F124" s="1919"/>
      <c r="G124" s="1919"/>
      <c r="H124" s="1919"/>
      <c r="I124" s="1919"/>
      <c r="J124" s="1919"/>
      <c r="K124" s="1919"/>
      <c r="L124" s="1919"/>
      <c r="M124" s="1919"/>
      <c r="N124" s="1919"/>
      <c r="O124" s="1920"/>
    </row>
    <row r="125" spans="2:15">
      <c r="B125" s="1910"/>
      <c r="C125" s="1913"/>
      <c r="D125" s="125" t="s">
        <v>288</v>
      </c>
      <c r="E125" s="1918"/>
      <c r="F125" s="1919"/>
      <c r="G125" s="1919"/>
      <c r="H125" s="1919"/>
      <c r="I125" s="1919"/>
      <c r="J125" s="1919"/>
      <c r="K125" s="1919"/>
      <c r="L125" s="1919"/>
      <c r="M125" s="1919"/>
      <c r="N125" s="1919"/>
      <c r="O125" s="1920"/>
    </row>
    <row r="126" spans="2:15">
      <c r="B126" s="1910"/>
      <c r="C126" s="1913"/>
      <c r="D126" s="125" t="s">
        <v>289</v>
      </c>
      <c r="E126" s="1918"/>
      <c r="F126" s="1919"/>
      <c r="G126" s="1919"/>
      <c r="H126" s="1919"/>
      <c r="I126" s="1919"/>
      <c r="J126" s="1919"/>
      <c r="K126" s="1919"/>
      <c r="L126" s="1919"/>
      <c r="M126" s="1919"/>
      <c r="N126" s="1919"/>
      <c r="O126" s="1920"/>
    </row>
    <row r="127" spans="2:15">
      <c r="B127" s="1910"/>
      <c r="C127" s="1913"/>
      <c r="D127" s="125" t="s">
        <v>290</v>
      </c>
      <c r="E127" s="1918"/>
      <c r="F127" s="1919"/>
      <c r="G127" s="1919"/>
      <c r="H127" s="1919"/>
      <c r="I127" s="1919"/>
      <c r="J127" s="1919"/>
      <c r="K127" s="1919"/>
      <c r="L127" s="1919"/>
      <c r="M127" s="1919"/>
      <c r="N127" s="1919"/>
      <c r="O127" s="1920"/>
    </row>
    <row r="128" spans="2:15">
      <c r="B128" s="1911"/>
      <c r="C128" s="1914"/>
      <c r="D128" s="125" t="s">
        <v>291</v>
      </c>
      <c r="E128" s="1918"/>
      <c r="F128" s="1919"/>
      <c r="G128" s="1919"/>
      <c r="H128" s="1919"/>
      <c r="I128" s="1919"/>
      <c r="J128" s="1919"/>
      <c r="K128" s="1919"/>
      <c r="L128" s="1919"/>
      <c r="M128" s="1919"/>
      <c r="N128" s="1919"/>
      <c r="O128" s="1920"/>
    </row>
    <row r="129" spans="2:15">
      <c r="B129" s="99">
        <v>3</v>
      </c>
      <c r="C129" s="124"/>
      <c r="D129" s="124"/>
      <c r="E129" s="1918"/>
      <c r="F129" s="1919"/>
      <c r="G129" s="1919"/>
      <c r="H129" s="1919"/>
      <c r="I129" s="1919"/>
      <c r="J129" s="1919"/>
      <c r="K129" s="1919"/>
      <c r="L129" s="1919"/>
      <c r="M129" s="1919"/>
      <c r="N129" s="1919"/>
      <c r="O129" s="1920"/>
    </row>
    <row r="130" spans="2:15">
      <c r="B130" s="99" t="s">
        <v>478</v>
      </c>
      <c r="C130" s="126"/>
      <c r="D130" s="126"/>
      <c r="E130" s="1921"/>
      <c r="F130" s="1922"/>
      <c r="G130" s="1922"/>
      <c r="H130" s="1922"/>
      <c r="I130" s="1922"/>
      <c r="J130" s="1922"/>
      <c r="K130" s="1922"/>
      <c r="L130" s="1922"/>
      <c r="M130" s="1922"/>
      <c r="N130" s="1922"/>
      <c r="O130" s="1923"/>
    </row>
    <row r="132" spans="2:15">
      <c r="B132" s="250" t="s">
        <v>703</v>
      </c>
    </row>
    <row r="135" spans="2:15">
      <c r="B135" s="1908" t="s">
        <v>1003</v>
      </c>
      <c r="C135" s="1908"/>
      <c r="D135" s="251"/>
      <c r="E135" s="14"/>
      <c r="F135" s="14"/>
      <c r="G135" s="14"/>
      <c r="H135" s="14"/>
      <c r="I135" s="14"/>
      <c r="J135" s="14"/>
      <c r="K135" s="14"/>
      <c r="L135" s="14"/>
    </row>
    <row r="137" spans="2:15" ht="56">
      <c r="B137" s="1684" t="s">
        <v>341</v>
      </c>
      <c r="C137" s="1684" t="s">
        <v>527</v>
      </c>
      <c r="D137" s="1684" t="s">
        <v>538</v>
      </c>
      <c r="E137" s="254" t="s">
        <v>607</v>
      </c>
      <c r="F137" s="1676" t="s">
        <v>528</v>
      </c>
      <c r="G137" s="1676"/>
      <c r="H137" s="1676"/>
      <c r="I137" s="1676"/>
      <c r="J137" s="1676"/>
      <c r="K137" s="1676" t="s">
        <v>532</v>
      </c>
      <c r="L137" s="1676"/>
      <c r="M137" s="1676"/>
      <c r="N137" s="1676" t="s">
        <v>536</v>
      </c>
      <c r="O137" s="1676" t="s">
        <v>537</v>
      </c>
    </row>
    <row r="138" spans="2:15" ht="28">
      <c r="B138" s="1722"/>
      <c r="C138" s="1722"/>
      <c r="D138" s="1722"/>
      <c r="E138" s="253" t="s">
        <v>609</v>
      </c>
      <c r="F138" s="252" t="s">
        <v>534</v>
      </c>
      <c r="G138" s="252" t="s">
        <v>529</v>
      </c>
      <c r="H138" s="252" t="s">
        <v>611</v>
      </c>
      <c r="I138" s="253" t="s">
        <v>530</v>
      </c>
      <c r="J138" s="253" t="s">
        <v>531</v>
      </c>
      <c r="K138" s="253" t="s">
        <v>533</v>
      </c>
      <c r="L138" s="253" t="s">
        <v>535</v>
      </c>
      <c r="M138" s="253" t="s">
        <v>610</v>
      </c>
      <c r="N138" s="1676"/>
      <c r="O138" s="1676"/>
    </row>
    <row r="139" spans="2:15">
      <c r="B139" s="1909">
        <f>B138+1</f>
        <v>1</v>
      </c>
      <c r="C139" s="1912"/>
      <c r="D139" s="125" t="s">
        <v>280</v>
      </c>
      <c r="E139" s="1915" t="s">
        <v>739</v>
      </c>
      <c r="F139" s="1916"/>
      <c r="G139" s="1916"/>
      <c r="H139" s="1916"/>
      <c r="I139" s="1916"/>
      <c r="J139" s="1916"/>
      <c r="K139" s="1916"/>
      <c r="L139" s="1916"/>
      <c r="M139" s="1916"/>
      <c r="N139" s="1916"/>
      <c r="O139" s="1917"/>
    </row>
    <row r="140" spans="2:15">
      <c r="B140" s="1910"/>
      <c r="C140" s="1913"/>
      <c r="D140" s="125" t="s">
        <v>281</v>
      </c>
      <c r="E140" s="1918"/>
      <c r="F140" s="1919"/>
      <c r="G140" s="1919"/>
      <c r="H140" s="1919"/>
      <c r="I140" s="1919"/>
      <c r="J140" s="1919"/>
      <c r="K140" s="1919"/>
      <c r="L140" s="1919"/>
      <c r="M140" s="1919"/>
      <c r="N140" s="1919"/>
      <c r="O140" s="1920"/>
    </row>
    <row r="141" spans="2:15">
      <c r="B141" s="1910"/>
      <c r="C141" s="1913"/>
      <c r="D141" s="125" t="s">
        <v>282</v>
      </c>
      <c r="E141" s="1918"/>
      <c r="F141" s="1919"/>
      <c r="G141" s="1919"/>
      <c r="H141" s="1919"/>
      <c r="I141" s="1919"/>
      <c r="J141" s="1919"/>
      <c r="K141" s="1919"/>
      <c r="L141" s="1919"/>
      <c r="M141" s="1919"/>
      <c r="N141" s="1919"/>
      <c r="O141" s="1920"/>
    </row>
    <row r="142" spans="2:15">
      <c r="B142" s="1910"/>
      <c r="C142" s="1913"/>
      <c r="D142" s="125" t="s">
        <v>539</v>
      </c>
      <c r="E142" s="1918"/>
      <c r="F142" s="1919"/>
      <c r="G142" s="1919"/>
      <c r="H142" s="1919"/>
      <c r="I142" s="1919"/>
      <c r="J142" s="1919"/>
      <c r="K142" s="1919"/>
      <c r="L142" s="1919"/>
      <c r="M142" s="1919"/>
      <c r="N142" s="1919"/>
      <c r="O142" s="1920"/>
    </row>
    <row r="143" spans="2:15">
      <c r="B143" s="1910"/>
      <c r="C143" s="1913"/>
      <c r="D143" s="125" t="s">
        <v>284</v>
      </c>
      <c r="E143" s="1918"/>
      <c r="F143" s="1919"/>
      <c r="G143" s="1919"/>
      <c r="H143" s="1919"/>
      <c r="I143" s="1919"/>
      <c r="J143" s="1919"/>
      <c r="K143" s="1919"/>
      <c r="L143" s="1919"/>
      <c r="M143" s="1919"/>
      <c r="N143" s="1919"/>
      <c r="O143" s="1920"/>
    </row>
    <row r="144" spans="2:15">
      <c r="B144" s="1910"/>
      <c r="C144" s="1913"/>
      <c r="D144" s="125" t="s">
        <v>285</v>
      </c>
      <c r="E144" s="1918"/>
      <c r="F144" s="1919"/>
      <c r="G144" s="1919"/>
      <c r="H144" s="1919"/>
      <c r="I144" s="1919"/>
      <c r="J144" s="1919"/>
      <c r="K144" s="1919"/>
      <c r="L144" s="1919"/>
      <c r="M144" s="1919"/>
      <c r="N144" s="1919"/>
      <c r="O144" s="1920"/>
    </row>
    <row r="145" spans="2:15">
      <c r="B145" s="1910"/>
      <c r="C145" s="1913"/>
      <c r="D145" s="125" t="s">
        <v>286</v>
      </c>
      <c r="E145" s="1918"/>
      <c r="F145" s="1919"/>
      <c r="G145" s="1919"/>
      <c r="H145" s="1919"/>
      <c r="I145" s="1919"/>
      <c r="J145" s="1919"/>
      <c r="K145" s="1919"/>
      <c r="L145" s="1919"/>
      <c r="M145" s="1919"/>
      <c r="N145" s="1919"/>
      <c r="O145" s="1920"/>
    </row>
    <row r="146" spans="2:15">
      <c r="B146" s="1910"/>
      <c r="C146" s="1913"/>
      <c r="D146" s="125" t="s">
        <v>540</v>
      </c>
      <c r="E146" s="1918"/>
      <c r="F146" s="1919"/>
      <c r="G146" s="1919"/>
      <c r="H146" s="1919"/>
      <c r="I146" s="1919"/>
      <c r="J146" s="1919"/>
      <c r="K146" s="1919"/>
      <c r="L146" s="1919"/>
      <c r="M146" s="1919"/>
      <c r="N146" s="1919"/>
      <c r="O146" s="1920"/>
    </row>
    <row r="147" spans="2:15">
      <c r="B147" s="1910"/>
      <c r="C147" s="1913"/>
      <c r="D147" s="125" t="s">
        <v>288</v>
      </c>
      <c r="E147" s="1918"/>
      <c r="F147" s="1919"/>
      <c r="G147" s="1919"/>
      <c r="H147" s="1919"/>
      <c r="I147" s="1919"/>
      <c r="J147" s="1919"/>
      <c r="K147" s="1919"/>
      <c r="L147" s="1919"/>
      <c r="M147" s="1919"/>
      <c r="N147" s="1919"/>
      <c r="O147" s="1920"/>
    </row>
    <row r="148" spans="2:15">
      <c r="B148" s="1910"/>
      <c r="C148" s="1913"/>
      <c r="D148" s="125" t="s">
        <v>289</v>
      </c>
      <c r="E148" s="1918"/>
      <c r="F148" s="1919"/>
      <c r="G148" s="1919"/>
      <c r="H148" s="1919"/>
      <c r="I148" s="1919"/>
      <c r="J148" s="1919"/>
      <c r="K148" s="1919"/>
      <c r="L148" s="1919"/>
      <c r="M148" s="1919"/>
      <c r="N148" s="1919"/>
      <c r="O148" s="1920"/>
    </row>
    <row r="149" spans="2:15">
      <c r="B149" s="1910"/>
      <c r="C149" s="1913"/>
      <c r="D149" s="125" t="s">
        <v>290</v>
      </c>
      <c r="E149" s="1918"/>
      <c r="F149" s="1919"/>
      <c r="G149" s="1919"/>
      <c r="H149" s="1919"/>
      <c r="I149" s="1919"/>
      <c r="J149" s="1919"/>
      <c r="K149" s="1919"/>
      <c r="L149" s="1919"/>
      <c r="M149" s="1919"/>
      <c r="N149" s="1919"/>
      <c r="O149" s="1920"/>
    </row>
    <row r="150" spans="2:15">
      <c r="B150" s="1911"/>
      <c r="C150" s="1914"/>
      <c r="D150" s="125" t="s">
        <v>291</v>
      </c>
      <c r="E150" s="1918"/>
      <c r="F150" s="1919"/>
      <c r="G150" s="1919"/>
      <c r="H150" s="1919"/>
      <c r="I150" s="1919"/>
      <c r="J150" s="1919"/>
      <c r="K150" s="1919"/>
      <c r="L150" s="1919"/>
      <c r="M150" s="1919"/>
      <c r="N150" s="1919"/>
      <c r="O150" s="1920"/>
    </row>
    <row r="151" spans="2:15">
      <c r="B151" s="1909">
        <f>B139+1</f>
        <v>2</v>
      </c>
      <c r="C151" s="1912"/>
      <c r="D151" s="125" t="s">
        <v>280</v>
      </c>
      <c r="E151" s="1918"/>
      <c r="F151" s="1919"/>
      <c r="G151" s="1919"/>
      <c r="H151" s="1919"/>
      <c r="I151" s="1919"/>
      <c r="J151" s="1919"/>
      <c r="K151" s="1919"/>
      <c r="L151" s="1919"/>
      <c r="M151" s="1919"/>
      <c r="N151" s="1919"/>
      <c r="O151" s="1920"/>
    </row>
    <row r="152" spans="2:15">
      <c r="B152" s="1910"/>
      <c r="C152" s="1913"/>
      <c r="D152" s="125" t="s">
        <v>281</v>
      </c>
      <c r="E152" s="1918"/>
      <c r="F152" s="1919"/>
      <c r="G152" s="1919"/>
      <c r="H152" s="1919"/>
      <c r="I152" s="1919"/>
      <c r="J152" s="1919"/>
      <c r="K152" s="1919"/>
      <c r="L152" s="1919"/>
      <c r="M152" s="1919"/>
      <c r="N152" s="1919"/>
      <c r="O152" s="1920"/>
    </row>
    <row r="153" spans="2:15">
      <c r="B153" s="1910"/>
      <c r="C153" s="1913"/>
      <c r="D153" s="125" t="s">
        <v>282</v>
      </c>
      <c r="E153" s="1918"/>
      <c r="F153" s="1919"/>
      <c r="G153" s="1919"/>
      <c r="H153" s="1919"/>
      <c r="I153" s="1919"/>
      <c r="J153" s="1919"/>
      <c r="K153" s="1919"/>
      <c r="L153" s="1919"/>
      <c r="M153" s="1919"/>
      <c r="N153" s="1919"/>
      <c r="O153" s="1920"/>
    </row>
    <row r="154" spans="2:15">
      <c r="B154" s="1910"/>
      <c r="C154" s="1913"/>
      <c r="D154" s="125" t="s">
        <v>539</v>
      </c>
      <c r="E154" s="1918"/>
      <c r="F154" s="1919"/>
      <c r="G154" s="1919"/>
      <c r="H154" s="1919"/>
      <c r="I154" s="1919"/>
      <c r="J154" s="1919"/>
      <c r="K154" s="1919"/>
      <c r="L154" s="1919"/>
      <c r="M154" s="1919"/>
      <c r="N154" s="1919"/>
      <c r="O154" s="1920"/>
    </row>
    <row r="155" spans="2:15">
      <c r="B155" s="1910"/>
      <c r="C155" s="1913"/>
      <c r="D155" s="125" t="s">
        <v>284</v>
      </c>
      <c r="E155" s="1918"/>
      <c r="F155" s="1919"/>
      <c r="G155" s="1919"/>
      <c r="H155" s="1919"/>
      <c r="I155" s="1919"/>
      <c r="J155" s="1919"/>
      <c r="K155" s="1919"/>
      <c r="L155" s="1919"/>
      <c r="M155" s="1919"/>
      <c r="N155" s="1919"/>
      <c r="O155" s="1920"/>
    </row>
    <row r="156" spans="2:15">
      <c r="B156" s="1910"/>
      <c r="C156" s="1913"/>
      <c r="D156" s="125" t="s">
        <v>285</v>
      </c>
      <c r="E156" s="1918"/>
      <c r="F156" s="1919"/>
      <c r="G156" s="1919"/>
      <c r="H156" s="1919"/>
      <c r="I156" s="1919"/>
      <c r="J156" s="1919"/>
      <c r="K156" s="1919"/>
      <c r="L156" s="1919"/>
      <c r="M156" s="1919"/>
      <c r="N156" s="1919"/>
      <c r="O156" s="1920"/>
    </row>
    <row r="157" spans="2:15">
      <c r="B157" s="1910"/>
      <c r="C157" s="1913"/>
      <c r="D157" s="125" t="s">
        <v>286</v>
      </c>
      <c r="E157" s="1918"/>
      <c r="F157" s="1919"/>
      <c r="G157" s="1919"/>
      <c r="H157" s="1919"/>
      <c r="I157" s="1919"/>
      <c r="J157" s="1919"/>
      <c r="K157" s="1919"/>
      <c r="L157" s="1919"/>
      <c r="M157" s="1919"/>
      <c r="N157" s="1919"/>
      <c r="O157" s="1920"/>
    </row>
    <row r="158" spans="2:15">
      <c r="B158" s="1910"/>
      <c r="C158" s="1913"/>
      <c r="D158" s="125" t="s">
        <v>540</v>
      </c>
      <c r="E158" s="1918"/>
      <c r="F158" s="1919"/>
      <c r="G158" s="1919"/>
      <c r="H158" s="1919"/>
      <c r="I158" s="1919"/>
      <c r="J158" s="1919"/>
      <c r="K158" s="1919"/>
      <c r="L158" s="1919"/>
      <c r="M158" s="1919"/>
      <c r="N158" s="1919"/>
      <c r="O158" s="1920"/>
    </row>
    <row r="159" spans="2:15">
      <c r="B159" s="1910"/>
      <c r="C159" s="1913"/>
      <c r="D159" s="125" t="s">
        <v>288</v>
      </c>
      <c r="E159" s="1918"/>
      <c r="F159" s="1919"/>
      <c r="G159" s="1919"/>
      <c r="H159" s="1919"/>
      <c r="I159" s="1919"/>
      <c r="J159" s="1919"/>
      <c r="K159" s="1919"/>
      <c r="L159" s="1919"/>
      <c r="M159" s="1919"/>
      <c r="N159" s="1919"/>
      <c r="O159" s="1920"/>
    </row>
    <row r="160" spans="2:15">
      <c r="B160" s="1910"/>
      <c r="C160" s="1913"/>
      <c r="D160" s="125" t="s">
        <v>289</v>
      </c>
      <c r="E160" s="1918"/>
      <c r="F160" s="1919"/>
      <c r="G160" s="1919"/>
      <c r="H160" s="1919"/>
      <c r="I160" s="1919"/>
      <c r="J160" s="1919"/>
      <c r="K160" s="1919"/>
      <c r="L160" s="1919"/>
      <c r="M160" s="1919"/>
      <c r="N160" s="1919"/>
      <c r="O160" s="1920"/>
    </row>
    <row r="161" spans="2:15">
      <c r="B161" s="1910"/>
      <c r="C161" s="1913"/>
      <c r="D161" s="125" t="s">
        <v>290</v>
      </c>
      <c r="E161" s="1918"/>
      <c r="F161" s="1919"/>
      <c r="G161" s="1919"/>
      <c r="H161" s="1919"/>
      <c r="I161" s="1919"/>
      <c r="J161" s="1919"/>
      <c r="K161" s="1919"/>
      <c r="L161" s="1919"/>
      <c r="M161" s="1919"/>
      <c r="N161" s="1919"/>
      <c r="O161" s="1920"/>
    </row>
    <row r="162" spans="2:15">
      <c r="B162" s="1911"/>
      <c r="C162" s="1914"/>
      <c r="D162" s="125" t="s">
        <v>291</v>
      </c>
      <c r="E162" s="1918"/>
      <c r="F162" s="1919"/>
      <c r="G162" s="1919"/>
      <c r="H162" s="1919"/>
      <c r="I162" s="1919"/>
      <c r="J162" s="1919"/>
      <c r="K162" s="1919"/>
      <c r="L162" s="1919"/>
      <c r="M162" s="1919"/>
      <c r="N162" s="1919"/>
      <c r="O162" s="1920"/>
    </row>
    <row r="163" spans="2:15">
      <c r="B163" s="99">
        <v>3</v>
      </c>
      <c r="C163" s="124"/>
      <c r="D163" s="124"/>
      <c r="E163" s="1918"/>
      <c r="F163" s="1919"/>
      <c r="G163" s="1919"/>
      <c r="H163" s="1919"/>
      <c r="I163" s="1919"/>
      <c r="J163" s="1919"/>
      <c r="K163" s="1919"/>
      <c r="L163" s="1919"/>
      <c r="M163" s="1919"/>
      <c r="N163" s="1919"/>
      <c r="O163" s="1920"/>
    </row>
    <row r="164" spans="2:15">
      <c r="B164" s="99" t="s">
        <v>478</v>
      </c>
      <c r="C164" s="126"/>
      <c r="D164" s="126"/>
      <c r="E164" s="1921"/>
      <c r="F164" s="1922"/>
      <c r="G164" s="1922"/>
      <c r="H164" s="1922"/>
      <c r="I164" s="1922"/>
      <c r="J164" s="1922"/>
      <c r="K164" s="1922"/>
      <c r="L164" s="1922"/>
      <c r="M164" s="1922"/>
      <c r="N164" s="1922"/>
      <c r="O164" s="1923"/>
    </row>
    <row r="166" spans="2:15">
      <c r="B166" s="1908" t="s">
        <v>1004</v>
      </c>
      <c r="C166" s="1908"/>
      <c r="D166" s="297"/>
      <c r="E166" s="14"/>
      <c r="F166" s="14"/>
      <c r="G166" s="14"/>
      <c r="H166" s="14"/>
      <c r="I166" s="14"/>
      <c r="J166" s="14"/>
      <c r="K166" s="14"/>
      <c r="L166" s="14"/>
    </row>
    <row r="168" spans="2:15" ht="56">
      <c r="B168" s="1684" t="s">
        <v>341</v>
      </c>
      <c r="C168" s="1684" t="s">
        <v>527</v>
      </c>
      <c r="D168" s="1684" t="s">
        <v>538</v>
      </c>
      <c r="E168" s="290" t="s">
        <v>607</v>
      </c>
      <c r="F168" s="1676" t="s">
        <v>528</v>
      </c>
      <c r="G168" s="1676"/>
      <c r="H168" s="1676"/>
      <c r="I168" s="1676"/>
      <c r="J168" s="1676"/>
      <c r="K168" s="1676" t="s">
        <v>532</v>
      </c>
      <c r="L168" s="1676"/>
      <c r="M168" s="1676"/>
      <c r="N168" s="1676" t="s">
        <v>707</v>
      </c>
      <c r="O168" s="1676" t="s">
        <v>537</v>
      </c>
    </row>
    <row r="169" spans="2:15" ht="28">
      <c r="B169" s="1722"/>
      <c r="C169" s="1722"/>
      <c r="D169" s="1722"/>
      <c r="E169" s="289" t="s">
        <v>609</v>
      </c>
      <c r="F169" s="287" t="s">
        <v>534</v>
      </c>
      <c r="G169" s="287" t="s">
        <v>529</v>
      </c>
      <c r="H169" s="287" t="s">
        <v>611</v>
      </c>
      <c r="I169" s="289" t="s">
        <v>651</v>
      </c>
      <c r="J169" s="289" t="s">
        <v>705</v>
      </c>
      <c r="K169" s="289" t="s">
        <v>533</v>
      </c>
      <c r="L169" s="289" t="s">
        <v>706</v>
      </c>
      <c r="M169" s="289" t="s">
        <v>610</v>
      </c>
      <c r="N169" s="1676"/>
      <c r="O169" s="1676"/>
    </row>
    <row r="170" spans="2:15">
      <c r="B170" s="1909">
        <f>B169+1</f>
        <v>1</v>
      </c>
      <c r="C170" s="1912"/>
      <c r="D170" s="125" t="s">
        <v>280</v>
      </c>
      <c r="E170" s="1924" t="s">
        <v>739</v>
      </c>
      <c r="F170" s="1925"/>
      <c r="G170" s="1925"/>
      <c r="H170" s="1925"/>
      <c r="I170" s="1925"/>
      <c r="J170" s="1925"/>
      <c r="K170" s="1925"/>
      <c r="L170" s="1925"/>
      <c r="M170" s="1925"/>
      <c r="N170" s="1925"/>
      <c r="O170" s="1926"/>
    </row>
    <row r="171" spans="2:15">
      <c r="B171" s="1910"/>
      <c r="C171" s="1913"/>
      <c r="D171" s="125" t="s">
        <v>281</v>
      </c>
      <c r="E171" s="1927"/>
      <c r="F171" s="1928"/>
      <c r="G171" s="1928"/>
      <c r="H171" s="1928"/>
      <c r="I171" s="1928"/>
      <c r="J171" s="1928"/>
      <c r="K171" s="1928"/>
      <c r="L171" s="1928"/>
      <c r="M171" s="1928"/>
      <c r="N171" s="1928"/>
      <c r="O171" s="1929"/>
    </row>
    <row r="172" spans="2:15">
      <c r="B172" s="1910"/>
      <c r="C172" s="1913"/>
      <c r="D172" s="125" t="s">
        <v>282</v>
      </c>
      <c r="E172" s="1927"/>
      <c r="F172" s="1928"/>
      <c r="G172" s="1928"/>
      <c r="H172" s="1928"/>
      <c r="I172" s="1928"/>
      <c r="J172" s="1928"/>
      <c r="K172" s="1928"/>
      <c r="L172" s="1928"/>
      <c r="M172" s="1928"/>
      <c r="N172" s="1928"/>
      <c r="O172" s="1929"/>
    </row>
    <row r="173" spans="2:15">
      <c r="B173" s="1910"/>
      <c r="C173" s="1913"/>
      <c r="D173" s="125" t="s">
        <v>539</v>
      </c>
      <c r="E173" s="1927"/>
      <c r="F173" s="1928"/>
      <c r="G173" s="1928"/>
      <c r="H173" s="1928"/>
      <c r="I173" s="1928"/>
      <c r="J173" s="1928"/>
      <c r="K173" s="1928"/>
      <c r="L173" s="1928"/>
      <c r="M173" s="1928"/>
      <c r="N173" s="1928"/>
      <c r="O173" s="1929"/>
    </row>
    <row r="174" spans="2:15">
      <c r="B174" s="1910"/>
      <c r="C174" s="1913"/>
      <c r="D174" s="125" t="s">
        <v>284</v>
      </c>
      <c r="E174" s="1927"/>
      <c r="F174" s="1928"/>
      <c r="G174" s="1928"/>
      <c r="H174" s="1928"/>
      <c r="I174" s="1928"/>
      <c r="J174" s="1928"/>
      <c r="K174" s="1928"/>
      <c r="L174" s="1928"/>
      <c r="M174" s="1928"/>
      <c r="N174" s="1928"/>
      <c r="O174" s="1929"/>
    </row>
    <row r="175" spans="2:15">
      <c r="B175" s="1910"/>
      <c r="C175" s="1913"/>
      <c r="D175" s="125" t="s">
        <v>285</v>
      </c>
      <c r="E175" s="1927"/>
      <c r="F175" s="1928"/>
      <c r="G175" s="1928"/>
      <c r="H175" s="1928"/>
      <c r="I175" s="1928"/>
      <c r="J175" s="1928"/>
      <c r="K175" s="1928"/>
      <c r="L175" s="1928"/>
      <c r="M175" s="1928"/>
      <c r="N175" s="1928"/>
      <c r="O175" s="1929"/>
    </row>
    <row r="176" spans="2:15">
      <c r="B176" s="1909">
        <f>B170+1</f>
        <v>2</v>
      </c>
      <c r="C176" s="1912"/>
      <c r="D176" s="125" t="s">
        <v>280</v>
      </c>
      <c r="E176" s="1927"/>
      <c r="F176" s="1928"/>
      <c r="G176" s="1928"/>
      <c r="H176" s="1928"/>
      <c r="I176" s="1928"/>
      <c r="J176" s="1928"/>
      <c r="K176" s="1928"/>
      <c r="L176" s="1928"/>
      <c r="M176" s="1928"/>
      <c r="N176" s="1928"/>
      <c r="O176" s="1929"/>
    </row>
    <row r="177" spans="2:15">
      <c r="B177" s="1910"/>
      <c r="C177" s="1913"/>
      <c r="D177" s="125" t="s">
        <v>281</v>
      </c>
      <c r="E177" s="1927"/>
      <c r="F177" s="1928"/>
      <c r="G177" s="1928"/>
      <c r="H177" s="1928"/>
      <c r="I177" s="1928"/>
      <c r="J177" s="1928"/>
      <c r="K177" s="1928"/>
      <c r="L177" s="1928"/>
      <c r="M177" s="1928"/>
      <c r="N177" s="1928"/>
      <c r="O177" s="1929"/>
    </row>
    <row r="178" spans="2:15">
      <c r="B178" s="1910"/>
      <c r="C178" s="1913"/>
      <c r="D178" s="125" t="s">
        <v>282</v>
      </c>
      <c r="E178" s="1927"/>
      <c r="F178" s="1928"/>
      <c r="G178" s="1928"/>
      <c r="H178" s="1928"/>
      <c r="I178" s="1928"/>
      <c r="J178" s="1928"/>
      <c r="K178" s="1928"/>
      <c r="L178" s="1928"/>
      <c r="M178" s="1928"/>
      <c r="N178" s="1928"/>
      <c r="O178" s="1929"/>
    </row>
    <row r="179" spans="2:15">
      <c r="B179" s="1910"/>
      <c r="C179" s="1913"/>
      <c r="D179" s="125" t="s">
        <v>539</v>
      </c>
      <c r="E179" s="1927"/>
      <c r="F179" s="1928"/>
      <c r="G179" s="1928"/>
      <c r="H179" s="1928"/>
      <c r="I179" s="1928"/>
      <c r="J179" s="1928"/>
      <c r="K179" s="1928"/>
      <c r="L179" s="1928"/>
      <c r="M179" s="1928"/>
      <c r="N179" s="1928"/>
      <c r="O179" s="1929"/>
    </row>
    <row r="180" spans="2:15">
      <c r="B180" s="1910"/>
      <c r="C180" s="1913"/>
      <c r="D180" s="125" t="s">
        <v>284</v>
      </c>
      <c r="E180" s="1927"/>
      <c r="F180" s="1928"/>
      <c r="G180" s="1928"/>
      <c r="H180" s="1928"/>
      <c r="I180" s="1928"/>
      <c r="J180" s="1928"/>
      <c r="K180" s="1928"/>
      <c r="L180" s="1928"/>
      <c r="M180" s="1928"/>
      <c r="N180" s="1928"/>
      <c r="O180" s="1929"/>
    </row>
    <row r="181" spans="2:15">
      <c r="B181" s="1910"/>
      <c r="C181" s="1913"/>
      <c r="D181" s="125" t="s">
        <v>285</v>
      </c>
      <c r="E181" s="1927"/>
      <c r="F181" s="1928"/>
      <c r="G181" s="1928"/>
      <c r="H181" s="1928"/>
      <c r="I181" s="1928"/>
      <c r="J181" s="1928"/>
      <c r="K181" s="1928"/>
      <c r="L181" s="1928"/>
      <c r="M181" s="1928"/>
      <c r="N181" s="1928"/>
      <c r="O181" s="1929"/>
    </row>
    <row r="182" spans="2:15">
      <c r="B182" s="99">
        <v>3</v>
      </c>
      <c r="C182" s="124"/>
      <c r="D182" s="124"/>
      <c r="E182" s="1927"/>
      <c r="F182" s="1928"/>
      <c r="G182" s="1928"/>
      <c r="H182" s="1928"/>
      <c r="I182" s="1928"/>
      <c r="J182" s="1928"/>
      <c r="K182" s="1928"/>
      <c r="L182" s="1928"/>
      <c r="M182" s="1928"/>
      <c r="N182" s="1928"/>
      <c r="O182" s="1929"/>
    </row>
    <row r="183" spans="2:15">
      <c r="B183" s="99" t="s">
        <v>478</v>
      </c>
      <c r="C183" s="126"/>
      <c r="D183" s="126"/>
      <c r="E183" s="1930"/>
      <c r="F183" s="1931"/>
      <c r="G183" s="1931"/>
      <c r="H183" s="1931"/>
      <c r="I183" s="1931"/>
      <c r="J183" s="1931"/>
      <c r="K183" s="1931"/>
      <c r="L183" s="1931"/>
      <c r="M183" s="1931"/>
      <c r="N183" s="1931"/>
      <c r="O183" s="1932"/>
    </row>
    <row r="186" spans="2:15">
      <c r="B186" s="1908" t="s">
        <v>1005</v>
      </c>
      <c r="C186" s="1908"/>
      <c r="D186" s="297"/>
      <c r="E186" s="14"/>
      <c r="F186" s="14"/>
      <c r="G186" s="14"/>
      <c r="H186" s="14"/>
      <c r="I186" s="14"/>
      <c r="J186" s="14"/>
      <c r="K186" s="14"/>
      <c r="L186" s="14"/>
    </row>
    <row r="188" spans="2:15" ht="56">
      <c r="B188" s="1684" t="s">
        <v>341</v>
      </c>
      <c r="C188" s="1684" t="s">
        <v>527</v>
      </c>
      <c r="D188" s="1684" t="s">
        <v>538</v>
      </c>
      <c r="E188" s="290" t="s">
        <v>607</v>
      </c>
      <c r="F188" s="1676" t="s">
        <v>528</v>
      </c>
      <c r="G188" s="1676"/>
      <c r="H188" s="1676"/>
      <c r="I188" s="1676"/>
      <c r="J188" s="1676"/>
      <c r="K188" s="1676" t="s">
        <v>532</v>
      </c>
      <c r="L188" s="1676"/>
      <c r="M188" s="1676"/>
      <c r="N188" s="1676" t="s">
        <v>536</v>
      </c>
      <c r="O188" s="1676" t="s">
        <v>537</v>
      </c>
    </row>
    <row r="189" spans="2:15" ht="28">
      <c r="B189" s="1722"/>
      <c r="C189" s="1722"/>
      <c r="D189" s="1722"/>
      <c r="E189" s="289" t="s">
        <v>609</v>
      </c>
      <c r="F189" s="287" t="s">
        <v>534</v>
      </c>
      <c r="G189" s="287" t="s">
        <v>529</v>
      </c>
      <c r="H189" s="287" t="s">
        <v>611</v>
      </c>
      <c r="I189" s="289" t="s">
        <v>530</v>
      </c>
      <c r="J189" s="289" t="s">
        <v>531</v>
      </c>
      <c r="K189" s="289" t="s">
        <v>533</v>
      </c>
      <c r="L189" s="289" t="s">
        <v>535</v>
      </c>
      <c r="M189" s="289" t="s">
        <v>610</v>
      </c>
      <c r="N189" s="1676"/>
      <c r="O189" s="1676"/>
    </row>
    <row r="190" spans="2:15">
      <c r="B190" s="1909">
        <f>B189+1</f>
        <v>1</v>
      </c>
      <c r="C190" s="1912"/>
      <c r="D190" s="125" t="s">
        <v>280</v>
      </c>
      <c r="E190" s="1915" t="s">
        <v>739</v>
      </c>
      <c r="F190" s="1916"/>
      <c r="G190" s="1916"/>
      <c r="H190" s="1916"/>
      <c r="I190" s="1916"/>
      <c r="J190" s="1916"/>
      <c r="K190" s="1916"/>
      <c r="L190" s="1916"/>
      <c r="M190" s="1916"/>
      <c r="N190" s="1916"/>
      <c r="O190" s="1917"/>
    </row>
    <row r="191" spans="2:15">
      <c r="B191" s="1910"/>
      <c r="C191" s="1913"/>
      <c r="D191" s="125" t="s">
        <v>281</v>
      </c>
      <c r="E191" s="1918"/>
      <c r="F191" s="1919"/>
      <c r="G191" s="1919"/>
      <c r="H191" s="1919"/>
      <c r="I191" s="1919"/>
      <c r="J191" s="1919"/>
      <c r="K191" s="1919"/>
      <c r="L191" s="1919"/>
      <c r="M191" s="1919"/>
      <c r="N191" s="1919"/>
      <c r="O191" s="1920"/>
    </row>
    <row r="192" spans="2:15">
      <c r="B192" s="1910"/>
      <c r="C192" s="1913"/>
      <c r="D192" s="125" t="s">
        <v>282</v>
      </c>
      <c r="E192" s="1918"/>
      <c r="F192" s="1919"/>
      <c r="G192" s="1919"/>
      <c r="H192" s="1919"/>
      <c r="I192" s="1919"/>
      <c r="J192" s="1919"/>
      <c r="K192" s="1919"/>
      <c r="L192" s="1919"/>
      <c r="M192" s="1919"/>
      <c r="N192" s="1919"/>
      <c r="O192" s="1920"/>
    </row>
    <row r="193" spans="2:15">
      <c r="B193" s="1910"/>
      <c r="C193" s="1913"/>
      <c r="D193" s="125" t="s">
        <v>539</v>
      </c>
      <c r="E193" s="1918"/>
      <c r="F193" s="1919"/>
      <c r="G193" s="1919"/>
      <c r="H193" s="1919"/>
      <c r="I193" s="1919"/>
      <c r="J193" s="1919"/>
      <c r="K193" s="1919"/>
      <c r="L193" s="1919"/>
      <c r="M193" s="1919"/>
      <c r="N193" s="1919"/>
      <c r="O193" s="1920"/>
    </row>
    <row r="194" spans="2:15">
      <c r="B194" s="1910"/>
      <c r="C194" s="1913"/>
      <c r="D194" s="125" t="s">
        <v>284</v>
      </c>
      <c r="E194" s="1918"/>
      <c r="F194" s="1919"/>
      <c r="G194" s="1919"/>
      <c r="H194" s="1919"/>
      <c r="I194" s="1919"/>
      <c r="J194" s="1919"/>
      <c r="K194" s="1919"/>
      <c r="L194" s="1919"/>
      <c r="M194" s="1919"/>
      <c r="N194" s="1919"/>
      <c r="O194" s="1920"/>
    </row>
    <row r="195" spans="2:15">
      <c r="B195" s="1910"/>
      <c r="C195" s="1913"/>
      <c r="D195" s="125" t="s">
        <v>285</v>
      </c>
      <c r="E195" s="1918"/>
      <c r="F195" s="1919"/>
      <c r="G195" s="1919"/>
      <c r="H195" s="1919"/>
      <c r="I195" s="1919"/>
      <c r="J195" s="1919"/>
      <c r="K195" s="1919"/>
      <c r="L195" s="1919"/>
      <c r="M195" s="1919"/>
      <c r="N195" s="1919"/>
      <c r="O195" s="1920"/>
    </row>
    <row r="196" spans="2:15">
      <c r="B196" s="1910"/>
      <c r="C196" s="1913"/>
      <c r="D196" s="125" t="s">
        <v>286</v>
      </c>
      <c r="E196" s="1918"/>
      <c r="F196" s="1919"/>
      <c r="G196" s="1919"/>
      <c r="H196" s="1919"/>
      <c r="I196" s="1919"/>
      <c r="J196" s="1919"/>
      <c r="K196" s="1919"/>
      <c r="L196" s="1919"/>
      <c r="M196" s="1919"/>
      <c r="N196" s="1919"/>
      <c r="O196" s="1920"/>
    </row>
    <row r="197" spans="2:15">
      <c r="B197" s="1910"/>
      <c r="C197" s="1913"/>
      <c r="D197" s="125" t="s">
        <v>540</v>
      </c>
      <c r="E197" s="1918"/>
      <c r="F197" s="1919"/>
      <c r="G197" s="1919"/>
      <c r="H197" s="1919"/>
      <c r="I197" s="1919"/>
      <c r="J197" s="1919"/>
      <c r="K197" s="1919"/>
      <c r="L197" s="1919"/>
      <c r="M197" s="1919"/>
      <c r="N197" s="1919"/>
      <c r="O197" s="1920"/>
    </row>
    <row r="198" spans="2:15">
      <c r="B198" s="1910"/>
      <c r="C198" s="1913"/>
      <c r="D198" s="125" t="s">
        <v>288</v>
      </c>
      <c r="E198" s="1918"/>
      <c r="F198" s="1919"/>
      <c r="G198" s="1919"/>
      <c r="H198" s="1919"/>
      <c r="I198" s="1919"/>
      <c r="J198" s="1919"/>
      <c r="K198" s="1919"/>
      <c r="L198" s="1919"/>
      <c r="M198" s="1919"/>
      <c r="N198" s="1919"/>
      <c r="O198" s="1920"/>
    </row>
    <row r="199" spans="2:15">
      <c r="B199" s="1910"/>
      <c r="C199" s="1913"/>
      <c r="D199" s="125" t="s">
        <v>289</v>
      </c>
      <c r="E199" s="1918"/>
      <c r="F199" s="1919"/>
      <c r="G199" s="1919"/>
      <c r="H199" s="1919"/>
      <c r="I199" s="1919"/>
      <c r="J199" s="1919"/>
      <c r="K199" s="1919"/>
      <c r="L199" s="1919"/>
      <c r="M199" s="1919"/>
      <c r="N199" s="1919"/>
      <c r="O199" s="1920"/>
    </row>
    <row r="200" spans="2:15">
      <c r="B200" s="1910"/>
      <c r="C200" s="1913"/>
      <c r="D200" s="125" t="s">
        <v>290</v>
      </c>
      <c r="E200" s="1918"/>
      <c r="F200" s="1919"/>
      <c r="G200" s="1919"/>
      <c r="H200" s="1919"/>
      <c r="I200" s="1919"/>
      <c r="J200" s="1919"/>
      <c r="K200" s="1919"/>
      <c r="L200" s="1919"/>
      <c r="M200" s="1919"/>
      <c r="N200" s="1919"/>
      <c r="O200" s="1920"/>
    </row>
    <row r="201" spans="2:15">
      <c r="B201" s="1911"/>
      <c r="C201" s="1914"/>
      <c r="D201" s="125" t="s">
        <v>291</v>
      </c>
      <c r="E201" s="1918"/>
      <c r="F201" s="1919"/>
      <c r="G201" s="1919"/>
      <c r="H201" s="1919"/>
      <c r="I201" s="1919"/>
      <c r="J201" s="1919"/>
      <c r="K201" s="1919"/>
      <c r="L201" s="1919"/>
      <c r="M201" s="1919"/>
      <c r="N201" s="1919"/>
      <c r="O201" s="1920"/>
    </row>
    <row r="202" spans="2:15">
      <c r="B202" s="1909">
        <f>B190+1</f>
        <v>2</v>
      </c>
      <c r="C202" s="1912"/>
      <c r="D202" s="125" t="s">
        <v>280</v>
      </c>
      <c r="E202" s="1918"/>
      <c r="F202" s="1919"/>
      <c r="G202" s="1919"/>
      <c r="H202" s="1919"/>
      <c r="I202" s="1919"/>
      <c r="J202" s="1919"/>
      <c r="K202" s="1919"/>
      <c r="L202" s="1919"/>
      <c r="M202" s="1919"/>
      <c r="N202" s="1919"/>
      <c r="O202" s="1920"/>
    </row>
    <row r="203" spans="2:15">
      <c r="B203" s="1910"/>
      <c r="C203" s="1913"/>
      <c r="D203" s="125" t="s">
        <v>281</v>
      </c>
      <c r="E203" s="1918"/>
      <c r="F203" s="1919"/>
      <c r="G203" s="1919"/>
      <c r="H203" s="1919"/>
      <c r="I203" s="1919"/>
      <c r="J203" s="1919"/>
      <c r="K203" s="1919"/>
      <c r="L203" s="1919"/>
      <c r="M203" s="1919"/>
      <c r="N203" s="1919"/>
      <c r="O203" s="1920"/>
    </row>
    <row r="204" spans="2:15">
      <c r="B204" s="1910"/>
      <c r="C204" s="1913"/>
      <c r="D204" s="125" t="s">
        <v>282</v>
      </c>
      <c r="E204" s="1918"/>
      <c r="F204" s="1919"/>
      <c r="G204" s="1919"/>
      <c r="H204" s="1919"/>
      <c r="I204" s="1919"/>
      <c r="J204" s="1919"/>
      <c r="K204" s="1919"/>
      <c r="L204" s="1919"/>
      <c r="M204" s="1919"/>
      <c r="N204" s="1919"/>
      <c r="O204" s="1920"/>
    </row>
    <row r="205" spans="2:15">
      <c r="B205" s="1910"/>
      <c r="C205" s="1913"/>
      <c r="D205" s="125" t="s">
        <v>539</v>
      </c>
      <c r="E205" s="1918"/>
      <c r="F205" s="1919"/>
      <c r="G205" s="1919"/>
      <c r="H205" s="1919"/>
      <c r="I205" s="1919"/>
      <c r="J205" s="1919"/>
      <c r="K205" s="1919"/>
      <c r="L205" s="1919"/>
      <c r="M205" s="1919"/>
      <c r="N205" s="1919"/>
      <c r="O205" s="1920"/>
    </row>
    <row r="206" spans="2:15">
      <c r="B206" s="1910"/>
      <c r="C206" s="1913"/>
      <c r="D206" s="125" t="s">
        <v>284</v>
      </c>
      <c r="E206" s="1918"/>
      <c r="F206" s="1919"/>
      <c r="G206" s="1919"/>
      <c r="H206" s="1919"/>
      <c r="I206" s="1919"/>
      <c r="J206" s="1919"/>
      <c r="K206" s="1919"/>
      <c r="L206" s="1919"/>
      <c r="M206" s="1919"/>
      <c r="N206" s="1919"/>
      <c r="O206" s="1920"/>
    </row>
    <row r="207" spans="2:15">
      <c r="B207" s="1910"/>
      <c r="C207" s="1913"/>
      <c r="D207" s="125" t="s">
        <v>285</v>
      </c>
      <c r="E207" s="1918"/>
      <c r="F207" s="1919"/>
      <c r="G207" s="1919"/>
      <c r="H207" s="1919"/>
      <c r="I207" s="1919"/>
      <c r="J207" s="1919"/>
      <c r="K207" s="1919"/>
      <c r="L207" s="1919"/>
      <c r="M207" s="1919"/>
      <c r="N207" s="1919"/>
      <c r="O207" s="1920"/>
    </row>
    <row r="208" spans="2:15">
      <c r="B208" s="1910"/>
      <c r="C208" s="1913"/>
      <c r="D208" s="125" t="s">
        <v>286</v>
      </c>
      <c r="E208" s="1918"/>
      <c r="F208" s="1919"/>
      <c r="G208" s="1919"/>
      <c r="H208" s="1919"/>
      <c r="I208" s="1919"/>
      <c r="J208" s="1919"/>
      <c r="K208" s="1919"/>
      <c r="L208" s="1919"/>
      <c r="M208" s="1919"/>
      <c r="N208" s="1919"/>
      <c r="O208" s="1920"/>
    </row>
    <row r="209" spans="2:15">
      <c r="B209" s="1910"/>
      <c r="C209" s="1913"/>
      <c r="D209" s="125" t="s">
        <v>540</v>
      </c>
      <c r="E209" s="1918"/>
      <c r="F209" s="1919"/>
      <c r="G209" s="1919"/>
      <c r="H209" s="1919"/>
      <c r="I209" s="1919"/>
      <c r="J209" s="1919"/>
      <c r="K209" s="1919"/>
      <c r="L209" s="1919"/>
      <c r="M209" s="1919"/>
      <c r="N209" s="1919"/>
      <c r="O209" s="1920"/>
    </row>
    <row r="210" spans="2:15">
      <c r="B210" s="1910"/>
      <c r="C210" s="1913"/>
      <c r="D210" s="125" t="s">
        <v>288</v>
      </c>
      <c r="E210" s="1918"/>
      <c r="F210" s="1919"/>
      <c r="G210" s="1919"/>
      <c r="H210" s="1919"/>
      <c r="I210" s="1919"/>
      <c r="J210" s="1919"/>
      <c r="K210" s="1919"/>
      <c r="L210" s="1919"/>
      <c r="M210" s="1919"/>
      <c r="N210" s="1919"/>
      <c r="O210" s="1920"/>
    </row>
    <row r="211" spans="2:15">
      <c r="B211" s="1910"/>
      <c r="C211" s="1913"/>
      <c r="D211" s="125" t="s">
        <v>289</v>
      </c>
      <c r="E211" s="1918"/>
      <c r="F211" s="1919"/>
      <c r="G211" s="1919"/>
      <c r="H211" s="1919"/>
      <c r="I211" s="1919"/>
      <c r="J211" s="1919"/>
      <c r="K211" s="1919"/>
      <c r="L211" s="1919"/>
      <c r="M211" s="1919"/>
      <c r="N211" s="1919"/>
      <c r="O211" s="1920"/>
    </row>
    <row r="212" spans="2:15">
      <c r="B212" s="1910"/>
      <c r="C212" s="1913"/>
      <c r="D212" s="125" t="s">
        <v>290</v>
      </c>
      <c r="E212" s="1918"/>
      <c r="F212" s="1919"/>
      <c r="G212" s="1919"/>
      <c r="H212" s="1919"/>
      <c r="I212" s="1919"/>
      <c r="J212" s="1919"/>
      <c r="K212" s="1919"/>
      <c r="L212" s="1919"/>
      <c r="M212" s="1919"/>
      <c r="N212" s="1919"/>
      <c r="O212" s="1920"/>
    </row>
    <row r="213" spans="2:15">
      <c r="B213" s="1911"/>
      <c r="C213" s="1914"/>
      <c r="D213" s="125" t="s">
        <v>291</v>
      </c>
      <c r="E213" s="1918"/>
      <c r="F213" s="1919"/>
      <c r="G213" s="1919"/>
      <c r="H213" s="1919"/>
      <c r="I213" s="1919"/>
      <c r="J213" s="1919"/>
      <c r="K213" s="1919"/>
      <c r="L213" s="1919"/>
      <c r="M213" s="1919"/>
      <c r="N213" s="1919"/>
      <c r="O213" s="1920"/>
    </row>
    <row r="214" spans="2:15">
      <c r="B214" s="99">
        <v>3</v>
      </c>
      <c r="C214" s="124"/>
      <c r="D214" s="124"/>
      <c r="E214" s="1918"/>
      <c r="F214" s="1919"/>
      <c r="G214" s="1919"/>
      <c r="H214" s="1919"/>
      <c r="I214" s="1919"/>
      <c r="J214" s="1919"/>
      <c r="K214" s="1919"/>
      <c r="L214" s="1919"/>
      <c r="M214" s="1919"/>
      <c r="N214" s="1919"/>
      <c r="O214" s="1920"/>
    </row>
    <row r="215" spans="2:15">
      <c r="B215" s="99" t="s">
        <v>478</v>
      </c>
      <c r="C215" s="126"/>
      <c r="D215" s="126"/>
      <c r="E215" s="1921"/>
      <c r="F215" s="1922"/>
      <c r="G215" s="1922"/>
      <c r="H215" s="1922"/>
      <c r="I215" s="1922"/>
      <c r="J215" s="1922"/>
      <c r="K215" s="1922"/>
      <c r="L215" s="1922"/>
      <c r="M215" s="1922"/>
      <c r="N215" s="1922"/>
      <c r="O215" s="1923"/>
    </row>
    <row r="217" spans="2:15">
      <c r="B217" s="250" t="s">
        <v>541</v>
      </c>
    </row>
    <row r="218" spans="2:15">
      <c r="B218" s="250" t="s">
        <v>606</v>
      </c>
    </row>
    <row r="219" spans="2:15">
      <c r="B219" s="250" t="s">
        <v>542</v>
      </c>
    </row>
    <row r="220" spans="2:15">
      <c r="B220" s="250" t="s">
        <v>608</v>
      </c>
    </row>
    <row r="222" spans="2:15">
      <c r="B222" s="1908" t="s">
        <v>1006</v>
      </c>
      <c r="C222" s="1908"/>
      <c r="D222" s="297"/>
      <c r="E222" s="14"/>
      <c r="F222" s="14"/>
      <c r="G222" s="14"/>
      <c r="H222" s="14"/>
      <c r="I222" s="14"/>
      <c r="J222" s="14"/>
      <c r="K222" s="14"/>
      <c r="L222" s="14"/>
    </row>
    <row r="224" spans="2:15" ht="57" customHeight="1">
      <c r="B224" s="1684" t="s">
        <v>341</v>
      </c>
      <c r="C224" s="1684" t="s">
        <v>527</v>
      </c>
      <c r="D224" s="1684" t="s">
        <v>538</v>
      </c>
      <c r="E224" s="290" t="s">
        <v>607</v>
      </c>
      <c r="F224" s="1678" t="s">
        <v>528</v>
      </c>
      <c r="G224" s="1679"/>
      <c r="H224" s="1679"/>
      <c r="I224" s="1679"/>
      <c r="J224" s="1680"/>
      <c r="K224" s="1678" t="s">
        <v>532</v>
      </c>
      <c r="L224" s="1679"/>
      <c r="M224" s="1680"/>
      <c r="N224" s="1684" t="s">
        <v>536</v>
      </c>
      <c r="O224" s="1684" t="s">
        <v>537</v>
      </c>
    </row>
    <row r="225" spans="2:15" ht="28">
      <c r="B225" s="1722"/>
      <c r="C225" s="1722"/>
      <c r="D225" s="1722"/>
      <c r="E225" s="289" t="s">
        <v>609</v>
      </c>
      <c r="F225" s="287" t="s">
        <v>534</v>
      </c>
      <c r="G225" s="287" t="s">
        <v>529</v>
      </c>
      <c r="H225" s="287" t="s">
        <v>611</v>
      </c>
      <c r="I225" s="289" t="s">
        <v>530</v>
      </c>
      <c r="J225" s="289" t="s">
        <v>531</v>
      </c>
      <c r="K225" s="289" t="s">
        <v>533</v>
      </c>
      <c r="L225" s="289" t="s">
        <v>535</v>
      </c>
      <c r="M225" s="289" t="s">
        <v>610</v>
      </c>
      <c r="N225" s="1722"/>
      <c r="O225" s="1722"/>
    </row>
    <row r="226" spans="2:15">
      <c r="B226" s="1909">
        <f>B225+1</f>
        <v>1</v>
      </c>
      <c r="C226" s="1912"/>
      <c r="D226" s="125" t="s">
        <v>280</v>
      </c>
      <c r="E226" s="1915" t="s">
        <v>739</v>
      </c>
      <c r="F226" s="1916"/>
      <c r="G226" s="1916"/>
      <c r="H226" s="1916"/>
      <c r="I226" s="1916"/>
      <c r="J226" s="1916"/>
      <c r="K226" s="1916"/>
      <c r="L226" s="1916"/>
      <c r="M226" s="1916"/>
      <c r="N226" s="1916"/>
      <c r="O226" s="1917"/>
    </row>
    <row r="227" spans="2:15">
      <c r="B227" s="1910"/>
      <c r="C227" s="1913"/>
      <c r="D227" s="125" t="s">
        <v>281</v>
      </c>
      <c r="E227" s="1918"/>
      <c r="F227" s="1919"/>
      <c r="G227" s="1919"/>
      <c r="H227" s="1919"/>
      <c r="I227" s="1919"/>
      <c r="J227" s="1919"/>
      <c r="K227" s="1919"/>
      <c r="L227" s="1919"/>
      <c r="M227" s="1919"/>
      <c r="N227" s="1919"/>
      <c r="O227" s="1920"/>
    </row>
    <row r="228" spans="2:15">
      <c r="B228" s="1910"/>
      <c r="C228" s="1913"/>
      <c r="D228" s="125" t="s">
        <v>282</v>
      </c>
      <c r="E228" s="1918"/>
      <c r="F228" s="1919"/>
      <c r="G228" s="1919"/>
      <c r="H228" s="1919"/>
      <c r="I228" s="1919"/>
      <c r="J228" s="1919"/>
      <c r="K228" s="1919"/>
      <c r="L228" s="1919"/>
      <c r="M228" s="1919"/>
      <c r="N228" s="1919"/>
      <c r="O228" s="1920"/>
    </row>
    <row r="229" spans="2:15">
      <c r="B229" s="1910"/>
      <c r="C229" s="1913"/>
      <c r="D229" s="125" t="s">
        <v>539</v>
      </c>
      <c r="E229" s="1918"/>
      <c r="F229" s="1919"/>
      <c r="G229" s="1919"/>
      <c r="H229" s="1919"/>
      <c r="I229" s="1919"/>
      <c r="J229" s="1919"/>
      <c r="K229" s="1919"/>
      <c r="L229" s="1919"/>
      <c r="M229" s="1919"/>
      <c r="N229" s="1919"/>
      <c r="O229" s="1920"/>
    </row>
    <row r="230" spans="2:15">
      <c r="B230" s="1910"/>
      <c r="C230" s="1913"/>
      <c r="D230" s="125" t="s">
        <v>284</v>
      </c>
      <c r="E230" s="1918"/>
      <c r="F230" s="1919"/>
      <c r="G230" s="1919"/>
      <c r="H230" s="1919"/>
      <c r="I230" s="1919"/>
      <c r="J230" s="1919"/>
      <c r="K230" s="1919"/>
      <c r="L230" s="1919"/>
      <c r="M230" s="1919"/>
      <c r="N230" s="1919"/>
      <c r="O230" s="1920"/>
    </row>
    <row r="231" spans="2:15">
      <c r="B231" s="1910"/>
      <c r="C231" s="1913"/>
      <c r="D231" s="125" t="s">
        <v>285</v>
      </c>
      <c r="E231" s="1918"/>
      <c r="F231" s="1919"/>
      <c r="G231" s="1919"/>
      <c r="H231" s="1919"/>
      <c r="I231" s="1919"/>
      <c r="J231" s="1919"/>
      <c r="K231" s="1919"/>
      <c r="L231" s="1919"/>
      <c r="M231" s="1919"/>
      <c r="N231" s="1919"/>
      <c r="O231" s="1920"/>
    </row>
    <row r="232" spans="2:15">
      <c r="B232" s="1910"/>
      <c r="C232" s="1913"/>
      <c r="D232" s="125" t="s">
        <v>286</v>
      </c>
      <c r="E232" s="1918"/>
      <c r="F232" s="1919"/>
      <c r="G232" s="1919"/>
      <c r="H232" s="1919"/>
      <c r="I232" s="1919"/>
      <c r="J232" s="1919"/>
      <c r="K232" s="1919"/>
      <c r="L232" s="1919"/>
      <c r="M232" s="1919"/>
      <c r="N232" s="1919"/>
      <c r="O232" s="1920"/>
    </row>
    <row r="233" spans="2:15">
      <c r="B233" s="1910"/>
      <c r="C233" s="1913"/>
      <c r="D233" s="125" t="s">
        <v>540</v>
      </c>
      <c r="E233" s="1918"/>
      <c r="F233" s="1919"/>
      <c r="G233" s="1919"/>
      <c r="H233" s="1919"/>
      <c r="I233" s="1919"/>
      <c r="J233" s="1919"/>
      <c r="K233" s="1919"/>
      <c r="L233" s="1919"/>
      <c r="M233" s="1919"/>
      <c r="N233" s="1919"/>
      <c r="O233" s="1920"/>
    </row>
    <row r="234" spans="2:15">
      <c r="B234" s="1910"/>
      <c r="C234" s="1913"/>
      <c r="D234" s="125" t="s">
        <v>288</v>
      </c>
      <c r="E234" s="1918"/>
      <c r="F234" s="1919"/>
      <c r="G234" s="1919"/>
      <c r="H234" s="1919"/>
      <c r="I234" s="1919"/>
      <c r="J234" s="1919"/>
      <c r="K234" s="1919"/>
      <c r="L234" s="1919"/>
      <c r="M234" s="1919"/>
      <c r="N234" s="1919"/>
      <c r="O234" s="1920"/>
    </row>
    <row r="235" spans="2:15">
      <c r="B235" s="1910"/>
      <c r="C235" s="1913"/>
      <c r="D235" s="125" t="s">
        <v>289</v>
      </c>
      <c r="E235" s="1918"/>
      <c r="F235" s="1919"/>
      <c r="G235" s="1919"/>
      <c r="H235" s="1919"/>
      <c r="I235" s="1919"/>
      <c r="J235" s="1919"/>
      <c r="K235" s="1919"/>
      <c r="L235" s="1919"/>
      <c r="M235" s="1919"/>
      <c r="N235" s="1919"/>
      <c r="O235" s="1920"/>
    </row>
    <row r="236" spans="2:15">
      <c r="B236" s="1910"/>
      <c r="C236" s="1913"/>
      <c r="D236" s="125" t="s">
        <v>290</v>
      </c>
      <c r="E236" s="1918"/>
      <c r="F236" s="1919"/>
      <c r="G236" s="1919"/>
      <c r="H236" s="1919"/>
      <c r="I236" s="1919"/>
      <c r="J236" s="1919"/>
      <c r="K236" s="1919"/>
      <c r="L236" s="1919"/>
      <c r="M236" s="1919"/>
      <c r="N236" s="1919"/>
      <c r="O236" s="1920"/>
    </row>
    <row r="237" spans="2:15">
      <c r="B237" s="1911"/>
      <c r="C237" s="1914"/>
      <c r="D237" s="125" t="s">
        <v>291</v>
      </c>
      <c r="E237" s="1918"/>
      <c r="F237" s="1919"/>
      <c r="G237" s="1919"/>
      <c r="H237" s="1919"/>
      <c r="I237" s="1919"/>
      <c r="J237" s="1919"/>
      <c r="K237" s="1919"/>
      <c r="L237" s="1919"/>
      <c r="M237" s="1919"/>
      <c r="N237" s="1919"/>
      <c r="O237" s="1920"/>
    </row>
    <row r="238" spans="2:15">
      <c r="B238" s="1909">
        <f>B226+1</f>
        <v>2</v>
      </c>
      <c r="C238" s="1912"/>
      <c r="D238" s="125" t="s">
        <v>280</v>
      </c>
      <c r="E238" s="1918"/>
      <c r="F238" s="1919"/>
      <c r="G238" s="1919"/>
      <c r="H238" s="1919"/>
      <c r="I238" s="1919"/>
      <c r="J238" s="1919"/>
      <c r="K238" s="1919"/>
      <c r="L238" s="1919"/>
      <c r="M238" s="1919"/>
      <c r="N238" s="1919"/>
      <c r="O238" s="1920"/>
    </row>
    <row r="239" spans="2:15">
      <c r="B239" s="1910"/>
      <c r="C239" s="1913"/>
      <c r="D239" s="125" t="s">
        <v>281</v>
      </c>
      <c r="E239" s="1918"/>
      <c r="F239" s="1919"/>
      <c r="G239" s="1919"/>
      <c r="H239" s="1919"/>
      <c r="I239" s="1919"/>
      <c r="J239" s="1919"/>
      <c r="K239" s="1919"/>
      <c r="L239" s="1919"/>
      <c r="M239" s="1919"/>
      <c r="N239" s="1919"/>
      <c r="O239" s="1920"/>
    </row>
    <row r="240" spans="2:15">
      <c r="B240" s="1910"/>
      <c r="C240" s="1913"/>
      <c r="D240" s="125" t="s">
        <v>282</v>
      </c>
      <c r="E240" s="1918"/>
      <c r="F240" s="1919"/>
      <c r="G240" s="1919"/>
      <c r="H240" s="1919"/>
      <c r="I240" s="1919"/>
      <c r="J240" s="1919"/>
      <c r="K240" s="1919"/>
      <c r="L240" s="1919"/>
      <c r="M240" s="1919"/>
      <c r="N240" s="1919"/>
      <c r="O240" s="1920"/>
    </row>
    <row r="241" spans="2:15">
      <c r="B241" s="1910"/>
      <c r="C241" s="1913"/>
      <c r="D241" s="125" t="s">
        <v>539</v>
      </c>
      <c r="E241" s="1918"/>
      <c r="F241" s="1919"/>
      <c r="G241" s="1919"/>
      <c r="H241" s="1919"/>
      <c r="I241" s="1919"/>
      <c r="J241" s="1919"/>
      <c r="K241" s="1919"/>
      <c r="L241" s="1919"/>
      <c r="M241" s="1919"/>
      <c r="N241" s="1919"/>
      <c r="O241" s="1920"/>
    </row>
    <row r="242" spans="2:15">
      <c r="B242" s="1910"/>
      <c r="C242" s="1913"/>
      <c r="D242" s="125" t="s">
        <v>284</v>
      </c>
      <c r="E242" s="1918"/>
      <c r="F242" s="1919"/>
      <c r="G242" s="1919"/>
      <c r="H242" s="1919"/>
      <c r="I242" s="1919"/>
      <c r="J242" s="1919"/>
      <c r="K242" s="1919"/>
      <c r="L242" s="1919"/>
      <c r="M242" s="1919"/>
      <c r="N242" s="1919"/>
      <c r="O242" s="1920"/>
    </row>
    <row r="243" spans="2:15">
      <c r="B243" s="1910"/>
      <c r="C243" s="1913"/>
      <c r="D243" s="125" t="s">
        <v>285</v>
      </c>
      <c r="E243" s="1918"/>
      <c r="F243" s="1919"/>
      <c r="G243" s="1919"/>
      <c r="H243" s="1919"/>
      <c r="I243" s="1919"/>
      <c r="J243" s="1919"/>
      <c r="K243" s="1919"/>
      <c r="L243" s="1919"/>
      <c r="M243" s="1919"/>
      <c r="N243" s="1919"/>
      <c r="O243" s="1920"/>
    </row>
    <row r="244" spans="2:15">
      <c r="B244" s="1910"/>
      <c r="C244" s="1913"/>
      <c r="D244" s="125" t="s">
        <v>286</v>
      </c>
      <c r="E244" s="1918"/>
      <c r="F244" s="1919"/>
      <c r="G244" s="1919"/>
      <c r="H244" s="1919"/>
      <c r="I244" s="1919"/>
      <c r="J244" s="1919"/>
      <c r="K244" s="1919"/>
      <c r="L244" s="1919"/>
      <c r="M244" s="1919"/>
      <c r="N244" s="1919"/>
      <c r="O244" s="1920"/>
    </row>
    <row r="245" spans="2:15">
      <c r="B245" s="1910"/>
      <c r="C245" s="1913"/>
      <c r="D245" s="125" t="s">
        <v>540</v>
      </c>
      <c r="E245" s="1918"/>
      <c r="F245" s="1919"/>
      <c r="G245" s="1919"/>
      <c r="H245" s="1919"/>
      <c r="I245" s="1919"/>
      <c r="J245" s="1919"/>
      <c r="K245" s="1919"/>
      <c r="L245" s="1919"/>
      <c r="M245" s="1919"/>
      <c r="N245" s="1919"/>
      <c r="O245" s="1920"/>
    </row>
    <row r="246" spans="2:15">
      <c r="B246" s="1910"/>
      <c r="C246" s="1913"/>
      <c r="D246" s="125" t="s">
        <v>288</v>
      </c>
      <c r="E246" s="1918"/>
      <c r="F246" s="1919"/>
      <c r="G246" s="1919"/>
      <c r="H246" s="1919"/>
      <c r="I246" s="1919"/>
      <c r="J246" s="1919"/>
      <c r="K246" s="1919"/>
      <c r="L246" s="1919"/>
      <c r="M246" s="1919"/>
      <c r="N246" s="1919"/>
      <c r="O246" s="1920"/>
    </row>
    <row r="247" spans="2:15">
      <c r="B247" s="1910"/>
      <c r="C247" s="1913"/>
      <c r="D247" s="125" t="s">
        <v>289</v>
      </c>
      <c r="E247" s="1918"/>
      <c r="F247" s="1919"/>
      <c r="G247" s="1919"/>
      <c r="H247" s="1919"/>
      <c r="I247" s="1919"/>
      <c r="J247" s="1919"/>
      <c r="K247" s="1919"/>
      <c r="L247" s="1919"/>
      <c r="M247" s="1919"/>
      <c r="N247" s="1919"/>
      <c r="O247" s="1920"/>
    </row>
    <row r="248" spans="2:15">
      <c r="B248" s="1910"/>
      <c r="C248" s="1913"/>
      <c r="D248" s="125" t="s">
        <v>290</v>
      </c>
      <c r="E248" s="1918"/>
      <c r="F248" s="1919"/>
      <c r="G248" s="1919"/>
      <c r="H248" s="1919"/>
      <c r="I248" s="1919"/>
      <c r="J248" s="1919"/>
      <c r="K248" s="1919"/>
      <c r="L248" s="1919"/>
      <c r="M248" s="1919"/>
      <c r="N248" s="1919"/>
      <c r="O248" s="1920"/>
    </row>
    <row r="249" spans="2:15">
      <c r="B249" s="1911"/>
      <c r="C249" s="1914"/>
      <c r="D249" s="125" t="s">
        <v>291</v>
      </c>
      <c r="E249" s="1918"/>
      <c r="F249" s="1919"/>
      <c r="G249" s="1919"/>
      <c r="H249" s="1919"/>
      <c r="I249" s="1919"/>
      <c r="J249" s="1919"/>
      <c r="K249" s="1919"/>
      <c r="L249" s="1919"/>
      <c r="M249" s="1919"/>
      <c r="N249" s="1919"/>
      <c r="O249" s="1920"/>
    </row>
    <row r="250" spans="2:15">
      <c r="B250" s="99">
        <v>3</v>
      </c>
      <c r="C250" s="124"/>
      <c r="D250" s="124"/>
      <c r="E250" s="1918"/>
      <c r="F250" s="1919"/>
      <c r="G250" s="1919"/>
      <c r="H250" s="1919"/>
      <c r="I250" s="1919"/>
      <c r="J250" s="1919"/>
      <c r="K250" s="1919"/>
      <c r="L250" s="1919"/>
      <c r="M250" s="1919"/>
      <c r="N250" s="1919"/>
      <c r="O250" s="1920"/>
    </row>
    <row r="251" spans="2:15">
      <c r="B251" s="99" t="s">
        <v>478</v>
      </c>
      <c r="C251" s="126"/>
      <c r="D251" s="126"/>
      <c r="E251" s="1921"/>
      <c r="F251" s="1922"/>
      <c r="G251" s="1922"/>
      <c r="H251" s="1922"/>
      <c r="I251" s="1922"/>
      <c r="J251" s="1922"/>
      <c r="K251" s="1922"/>
      <c r="L251" s="1922"/>
      <c r="M251" s="1922"/>
      <c r="N251" s="1922"/>
      <c r="O251" s="1923"/>
    </row>
    <row r="253" spans="2:15">
      <c r="B253" s="250" t="s">
        <v>541</v>
      </c>
    </row>
    <row r="254" spans="2:15">
      <c r="B254" s="250" t="s">
        <v>606</v>
      </c>
    </row>
    <row r="255" spans="2:15">
      <c r="B255" s="250" t="s">
        <v>542</v>
      </c>
    </row>
    <row r="256" spans="2:15">
      <c r="B256" s="250" t="s">
        <v>608</v>
      </c>
    </row>
    <row r="258" spans="2:15">
      <c r="B258" s="1908" t="s">
        <v>1007</v>
      </c>
      <c r="C258" s="1908"/>
      <c r="D258" s="251"/>
      <c r="E258" s="14"/>
      <c r="F258" s="14"/>
      <c r="G258" s="14"/>
      <c r="H258" s="14"/>
      <c r="I258" s="14"/>
      <c r="J258" s="14"/>
      <c r="K258" s="14"/>
      <c r="L258" s="14"/>
    </row>
    <row r="260" spans="2:15" ht="56">
      <c r="B260" s="1684" t="s">
        <v>341</v>
      </c>
      <c r="C260" s="1684" t="s">
        <v>527</v>
      </c>
      <c r="D260" s="1684" t="s">
        <v>538</v>
      </c>
      <c r="E260" s="254" t="s">
        <v>607</v>
      </c>
      <c r="F260" s="1676" t="s">
        <v>528</v>
      </c>
      <c r="G260" s="1676"/>
      <c r="H260" s="1676"/>
      <c r="I260" s="1676"/>
      <c r="J260" s="1676"/>
      <c r="K260" s="1676" t="s">
        <v>532</v>
      </c>
      <c r="L260" s="1676"/>
      <c r="M260" s="1676"/>
      <c r="N260" s="1676" t="s">
        <v>536</v>
      </c>
      <c r="O260" s="1676" t="s">
        <v>537</v>
      </c>
    </row>
    <row r="261" spans="2:15" ht="28">
      <c r="B261" s="1722"/>
      <c r="C261" s="1722"/>
      <c r="D261" s="1722"/>
      <c r="E261" s="253" t="s">
        <v>609</v>
      </c>
      <c r="F261" s="252" t="s">
        <v>534</v>
      </c>
      <c r="G261" s="252" t="s">
        <v>529</v>
      </c>
      <c r="H261" s="252" t="s">
        <v>611</v>
      </c>
      <c r="I261" s="253" t="s">
        <v>530</v>
      </c>
      <c r="J261" s="253" t="s">
        <v>531</v>
      </c>
      <c r="K261" s="253" t="s">
        <v>533</v>
      </c>
      <c r="L261" s="253" t="s">
        <v>535</v>
      </c>
      <c r="M261" s="253" t="s">
        <v>610</v>
      </c>
      <c r="N261" s="1676"/>
      <c r="O261" s="1676"/>
    </row>
    <row r="262" spans="2:15">
      <c r="B262" s="1909">
        <f>B261+1</f>
        <v>1</v>
      </c>
      <c r="C262" s="1912"/>
      <c r="D262" s="125" t="s">
        <v>280</v>
      </c>
      <c r="E262" s="1915" t="s">
        <v>739</v>
      </c>
      <c r="F262" s="1916"/>
      <c r="G262" s="1916"/>
      <c r="H262" s="1916"/>
      <c r="I262" s="1916"/>
      <c r="J262" s="1916"/>
      <c r="K262" s="1916"/>
      <c r="L262" s="1916"/>
      <c r="M262" s="1916"/>
      <c r="N262" s="1916"/>
      <c r="O262" s="1917"/>
    </row>
    <row r="263" spans="2:15">
      <c r="B263" s="1910"/>
      <c r="C263" s="1913"/>
      <c r="D263" s="125" t="s">
        <v>281</v>
      </c>
      <c r="E263" s="1918"/>
      <c r="F263" s="1919"/>
      <c r="G263" s="1919"/>
      <c r="H263" s="1919"/>
      <c r="I263" s="1919"/>
      <c r="J263" s="1919"/>
      <c r="K263" s="1919"/>
      <c r="L263" s="1919"/>
      <c r="M263" s="1919"/>
      <c r="N263" s="1919"/>
      <c r="O263" s="1920"/>
    </row>
    <row r="264" spans="2:15">
      <c r="B264" s="1910"/>
      <c r="C264" s="1913"/>
      <c r="D264" s="125" t="s">
        <v>282</v>
      </c>
      <c r="E264" s="1918"/>
      <c r="F264" s="1919"/>
      <c r="G264" s="1919"/>
      <c r="H264" s="1919"/>
      <c r="I264" s="1919"/>
      <c r="J264" s="1919"/>
      <c r="K264" s="1919"/>
      <c r="L264" s="1919"/>
      <c r="M264" s="1919"/>
      <c r="N264" s="1919"/>
      <c r="O264" s="1920"/>
    </row>
    <row r="265" spans="2:15">
      <c r="B265" s="1910"/>
      <c r="C265" s="1913"/>
      <c r="D265" s="125" t="s">
        <v>539</v>
      </c>
      <c r="E265" s="1918"/>
      <c r="F265" s="1919"/>
      <c r="G265" s="1919"/>
      <c r="H265" s="1919"/>
      <c r="I265" s="1919"/>
      <c r="J265" s="1919"/>
      <c r="K265" s="1919"/>
      <c r="L265" s="1919"/>
      <c r="M265" s="1919"/>
      <c r="N265" s="1919"/>
      <c r="O265" s="1920"/>
    </row>
    <row r="266" spans="2:15">
      <c r="B266" s="1910"/>
      <c r="C266" s="1913"/>
      <c r="D266" s="125" t="s">
        <v>284</v>
      </c>
      <c r="E266" s="1918"/>
      <c r="F266" s="1919"/>
      <c r="G266" s="1919"/>
      <c r="H266" s="1919"/>
      <c r="I266" s="1919"/>
      <c r="J266" s="1919"/>
      <c r="K266" s="1919"/>
      <c r="L266" s="1919"/>
      <c r="M266" s="1919"/>
      <c r="N266" s="1919"/>
      <c r="O266" s="1920"/>
    </row>
    <row r="267" spans="2:15">
      <c r="B267" s="1910"/>
      <c r="C267" s="1913"/>
      <c r="D267" s="125" t="s">
        <v>285</v>
      </c>
      <c r="E267" s="1918"/>
      <c r="F267" s="1919"/>
      <c r="G267" s="1919"/>
      <c r="H267" s="1919"/>
      <c r="I267" s="1919"/>
      <c r="J267" s="1919"/>
      <c r="K267" s="1919"/>
      <c r="L267" s="1919"/>
      <c r="M267" s="1919"/>
      <c r="N267" s="1919"/>
      <c r="O267" s="1920"/>
    </row>
    <row r="268" spans="2:15">
      <c r="B268" s="1910"/>
      <c r="C268" s="1913"/>
      <c r="D268" s="125" t="s">
        <v>286</v>
      </c>
      <c r="E268" s="1918"/>
      <c r="F268" s="1919"/>
      <c r="G268" s="1919"/>
      <c r="H268" s="1919"/>
      <c r="I268" s="1919"/>
      <c r="J268" s="1919"/>
      <c r="K268" s="1919"/>
      <c r="L268" s="1919"/>
      <c r="M268" s="1919"/>
      <c r="N268" s="1919"/>
      <c r="O268" s="1920"/>
    </row>
    <row r="269" spans="2:15">
      <c r="B269" s="1910"/>
      <c r="C269" s="1913"/>
      <c r="D269" s="125" t="s">
        <v>540</v>
      </c>
      <c r="E269" s="1918"/>
      <c r="F269" s="1919"/>
      <c r="G269" s="1919"/>
      <c r="H269" s="1919"/>
      <c r="I269" s="1919"/>
      <c r="J269" s="1919"/>
      <c r="K269" s="1919"/>
      <c r="L269" s="1919"/>
      <c r="M269" s="1919"/>
      <c r="N269" s="1919"/>
      <c r="O269" s="1920"/>
    </row>
    <row r="270" spans="2:15">
      <c r="B270" s="1910"/>
      <c r="C270" s="1913"/>
      <c r="D270" s="125" t="s">
        <v>288</v>
      </c>
      <c r="E270" s="1918"/>
      <c r="F270" s="1919"/>
      <c r="G270" s="1919"/>
      <c r="H270" s="1919"/>
      <c r="I270" s="1919"/>
      <c r="J270" s="1919"/>
      <c r="K270" s="1919"/>
      <c r="L270" s="1919"/>
      <c r="M270" s="1919"/>
      <c r="N270" s="1919"/>
      <c r="O270" s="1920"/>
    </row>
    <row r="271" spans="2:15">
      <c r="B271" s="1910"/>
      <c r="C271" s="1913"/>
      <c r="D271" s="125" t="s">
        <v>289</v>
      </c>
      <c r="E271" s="1918"/>
      <c r="F271" s="1919"/>
      <c r="G271" s="1919"/>
      <c r="H271" s="1919"/>
      <c r="I271" s="1919"/>
      <c r="J271" s="1919"/>
      <c r="K271" s="1919"/>
      <c r="L271" s="1919"/>
      <c r="M271" s="1919"/>
      <c r="N271" s="1919"/>
      <c r="O271" s="1920"/>
    </row>
    <row r="272" spans="2:15">
      <c r="B272" s="1910"/>
      <c r="C272" s="1913"/>
      <c r="D272" s="125" t="s">
        <v>290</v>
      </c>
      <c r="E272" s="1918"/>
      <c r="F272" s="1919"/>
      <c r="G272" s="1919"/>
      <c r="H272" s="1919"/>
      <c r="I272" s="1919"/>
      <c r="J272" s="1919"/>
      <c r="K272" s="1919"/>
      <c r="L272" s="1919"/>
      <c r="M272" s="1919"/>
      <c r="N272" s="1919"/>
      <c r="O272" s="1920"/>
    </row>
    <row r="273" spans="2:15">
      <c r="B273" s="1911"/>
      <c r="C273" s="1914"/>
      <c r="D273" s="125" t="s">
        <v>291</v>
      </c>
      <c r="E273" s="1918"/>
      <c r="F273" s="1919"/>
      <c r="G273" s="1919"/>
      <c r="H273" s="1919"/>
      <c r="I273" s="1919"/>
      <c r="J273" s="1919"/>
      <c r="K273" s="1919"/>
      <c r="L273" s="1919"/>
      <c r="M273" s="1919"/>
      <c r="N273" s="1919"/>
      <c r="O273" s="1920"/>
    </row>
    <row r="274" spans="2:15">
      <c r="B274" s="1909">
        <f>B262+1</f>
        <v>2</v>
      </c>
      <c r="C274" s="1912"/>
      <c r="D274" s="125" t="s">
        <v>280</v>
      </c>
      <c r="E274" s="1918"/>
      <c r="F274" s="1919"/>
      <c r="G274" s="1919"/>
      <c r="H274" s="1919"/>
      <c r="I274" s="1919"/>
      <c r="J274" s="1919"/>
      <c r="K274" s="1919"/>
      <c r="L274" s="1919"/>
      <c r="M274" s="1919"/>
      <c r="N274" s="1919"/>
      <c r="O274" s="1920"/>
    </row>
    <row r="275" spans="2:15">
      <c r="B275" s="1910"/>
      <c r="C275" s="1913"/>
      <c r="D275" s="125" t="s">
        <v>281</v>
      </c>
      <c r="E275" s="1918"/>
      <c r="F275" s="1919"/>
      <c r="G275" s="1919"/>
      <c r="H275" s="1919"/>
      <c r="I275" s="1919"/>
      <c r="J275" s="1919"/>
      <c r="K275" s="1919"/>
      <c r="L275" s="1919"/>
      <c r="M275" s="1919"/>
      <c r="N275" s="1919"/>
      <c r="O275" s="1920"/>
    </row>
    <row r="276" spans="2:15">
      <c r="B276" s="1910"/>
      <c r="C276" s="1913"/>
      <c r="D276" s="125" t="s">
        <v>282</v>
      </c>
      <c r="E276" s="1918"/>
      <c r="F276" s="1919"/>
      <c r="G276" s="1919"/>
      <c r="H276" s="1919"/>
      <c r="I276" s="1919"/>
      <c r="J276" s="1919"/>
      <c r="K276" s="1919"/>
      <c r="L276" s="1919"/>
      <c r="M276" s="1919"/>
      <c r="N276" s="1919"/>
      <c r="O276" s="1920"/>
    </row>
    <row r="277" spans="2:15">
      <c r="B277" s="1910"/>
      <c r="C277" s="1913"/>
      <c r="D277" s="125" t="s">
        <v>539</v>
      </c>
      <c r="E277" s="1918"/>
      <c r="F277" s="1919"/>
      <c r="G277" s="1919"/>
      <c r="H277" s="1919"/>
      <c r="I277" s="1919"/>
      <c r="J277" s="1919"/>
      <c r="K277" s="1919"/>
      <c r="L277" s="1919"/>
      <c r="M277" s="1919"/>
      <c r="N277" s="1919"/>
      <c r="O277" s="1920"/>
    </row>
    <row r="278" spans="2:15">
      <c r="B278" s="1910"/>
      <c r="C278" s="1913"/>
      <c r="D278" s="125" t="s">
        <v>284</v>
      </c>
      <c r="E278" s="1918"/>
      <c r="F278" s="1919"/>
      <c r="G278" s="1919"/>
      <c r="H278" s="1919"/>
      <c r="I278" s="1919"/>
      <c r="J278" s="1919"/>
      <c r="K278" s="1919"/>
      <c r="L278" s="1919"/>
      <c r="M278" s="1919"/>
      <c r="N278" s="1919"/>
      <c r="O278" s="1920"/>
    </row>
    <row r="279" spans="2:15">
      <c r="B279" s="1910"/>
      <c r="C279" s="1913"/>
      <c r="D279" s="125" t="s">
        <v>285</v>
      </c>
      <c r="E279" s="1918"/>
      <c r="F279" s="1919"/>
      <c r="G279" s="1919"/>
      <c r="H279" s="1919"/>
      <c r="I279" s="1919"/>
      <c r="J279" s="1919"/>
      <c r="K279" s="1919"/>
      <c r="L279" s="1919"/>
      <c r="M279" s="1919"/>
      <c r="N279" s="1919"/>
      <c r="O279" s="1920"/>
    </row>
    <row r="280" spans="2:15">
      <c r="B280" s="1910"/>
      <c r="C280" s="1913"/>
      <c r="D280" s="125" t="s">
        <v>286</v>
      </c>
      <c r="E280" s="1918"/>
      <c r="F280" s="1919"/>
      <c r="G280" s="1919"/>
      <c r="H280" s="1919"/>
      <c r="I280" s="1919"/>
      <c r="J280" s="1919"/>
      <c r="K280" s="1919"/>
      <c r="L280" s="1919"/>
      <c r="M280" s="1919"/>
      <c r="N280" s="1919"/>
      <c r="O280" s="1920"/>
    </row>
    <row r="281" spans="2:15">
      <c r="B281" s="1910"/>
      <c r="C281" s="1913"/>
      <c r="D281" s="125" t="s">
        <v>540</v>
      </c>
      <c r="E281" s="1918"/>
      <c r="F281" s="1919"/>
      <c r="G281" s="1919"/>
      <c r="H281" s="1919"/>
      <c r="I281" s="1919"/>
      <c r="J281" s="1919"/>
      <c r="K281" s="1919"/>
      <c r="L281" s="1919"/>
      <c r="M281" s="1919"/>
      <c r="N281" s="1919"/>
      <c r="O281" s="1920"/>
    </row>
    <row r="282" spans="2:15">
      <c r="B282" s="1910"/>
      <c r="C282" s="1913"/>
      <c r="D282" s="125" t="s">
        <v>288</v>
      </c>
      <c r="E282" s="1918"/>
      <c r="F282" s="1919"/>
      <c r="G282" s="1919"/>
      <c r="H282" s="1919"/>
      <c r="I282" s="1919"/>
      <c r="J282" s="1919"/>
      <c r="K282" s="1919"/>
      <c r="L282" s="1919"/>
      <c r="M282" s="1919"/>
      <c r="N282" s="1919"/>
      <c r="O282" s="1920"/>
    </row>
    <row r="283" spans="2:15">
      <c r="B283" s="1910"/>
      <c r="C283" s="1913"/>
      <c r="D283" s="125" t="s">
        <v>289</v>
      </c>
      <c r="E283" s="1918"/>
      <c r="F283" s="1919"/>
      <c r="G283" s="1919"/>
      <c r="H283" s="1919"/>
      <c r="I283" s="1919"/>
      <c r="J283" s="1919"/>
      <c r="K283" s="1919"/>
      <c r="L283" s="1919"/>
      <c r="M283" s="1919"/>
      <c r="N283" s="1919"/>
      <c r="O283" s="1920"/>
    </row>
    <row r="284" spans="2:15">
      <c r="B284" s="1910"/>
      <c r="C284" s="1913"/>
      <c r="D284" s="125" t="s">
        <v>290</v>
      </c>
      <c r="E284" s="1918"/>
      <c r="F284" s="1919"/>
      <c r="G284" s="1919"/>
      <c r="H284" s="1919"/>
      <c r="I284" s="1919"/>
      <c r="J284" s="1919"/>
      <c r="K284" s="1919"/>
      <c r="L284" s="1919"/>
      <c r="M284" s="1919"/>
      <c r="N284" s="1919"/>
      <c r="O284" s="1920"/>
    </row>
    <row r="285" spans="2:15">
      <c r="B285" s="1911"/>
      <c r="C285" s="1914"/>
      <c r="D285" s="125" t="s">
        <v>291</v>
      </c>
      <c r="E285" s="1918"/>
      <c r="F285" s="1919"/>
      <c r="G285" s="1919"/>
      <c r="H285" s="1919"/>
      <c r="I285" s="1919"/>
      <c r="J285" s="1919"/>
      <c r="K285" s="1919"/>
      <c r="L285" s="1919"/>
      <c r="M285" s="1919"/>
      <c r="N285" s="1919"/>
      <c r="O285" s="1920"/>
    </row>
    <row r="286" spans="2:15">
      <c r="B286" s="99">
        <v>3</v>
      </c>
      <c r="C286" s="124"/>
      <c r="D286" s="124"/>
      <c r="E286" s="1918"/>
      <c r="F286" s="1919"/>
      <c r="G286" s="1919"/>
      <c r="H286" s="1919"/>
      <c r="I286" s="1919"/>
      <c r="J286" s="1919"/>
      <c r="K286" s="1919"/>
      <c r="L286" s="1919"/>
      <c r="M286" s="1919"/>
      <c r="N286" s="1919"/>
      <c r="O286" s="1920"/>
    </row>
    <row r="287" spans="2:15">
      <c r="B287" s="99" t="s">
        <v>478</v>
      </c>
      <c r="C287" s="126"/>
      <c r="D287" s="126"/>
      <c r="E287" s="1921"/>
      <c r="F287" s="1922"/>
      <c r="G287" s="1922"/>
      <c r="H287" s="1922"/>
      <c r="I287" s="1922"/>
      <c r="J287" s="1922"/>
      <c r="K287" s="1922"/>
      <c r="L287" s="1922"/>
      <c r="M287" s="1922"/>
      <c r="N287" s="1922"/>
      <c r="O287" s="1923"/>
    </row>
    <row r="289" spans="2:15">
      <c r="B289" s="250" t="s">
        <v>541</v>
      </c>
    </row>
    <row r="290" spans="2:15">
      <c r="B290" s="250" t="s">
        <v>606</v>
      </c>
    </row>
    <row r="291" spans="2:15">
      <c r="B291" s="250" t="s">
        <v>542</v>
      </c>
    </row>
    <row r="292" spans="2:15">
      <c r="B292" s="250" t="s">
        <v>608</v>
      </c>
    </row>
    <row r="295" spans="2:15">
      <c r="B295" s="1908" t="s">
        <v>1008</v>
      </c>
      <c r="C295" s="1908"/>
      <c r="D295" s="750"/>
      <c r="E295" s="14"/>
      <c r="F295" s="14"/>
      <c r="G295" s="14"/>
      <c r="H295" s="14"/>
      <c r="I295" s="14"/>
      <c r="J295" s="14"/>
      <c r="K295" s="14"/>
      <c r="L295" s="14"/>
    </row>
    <row r="297" spans="2:15" ht="56">
      <c r="B297" s="1684" t="s">
        <v>341</v>
      </c>
      <c r="C297" s="1684" t="s">
        <v>527</v>
      </c>
      <c r="D297" s="1684" t="s">
        <v>538</v>
      </c>
      <c r="E297" s="743" t="s">
        <v>607</v>
      </c>
      <c r="F297" s="1676" t="s">
        <v>528</v>
      </c>
      <c r="G297" s="1676"/>
      <c r="H297" s="1676"/>
      <c r="I297" s="1676"/>
      <c r="J297" s="1676"/>
      <c r="K297" s="1676" t="s">
        <v>532</v>
      </c>
      <c r="L297" s="1676"/>
      <c r="M297" s="1676"/>
      <c r="N297" s="1676" t="s">
        <v>536</v>
      </c>
      <c r="O297" s="1676" t="s">
        <v>537</v>
      </c>
    </row>
    <row r="298" spans="2:15" ht="28">
      <c r="B298" s="1722"/>
      <c r="C298" s="1722"/>
      <c r="D298" s="1722"/>
      <c r="E298" s="744" t="s">
        <v>609</v>
      </c>
      <c r="F298" s="741" t="s">
        <v>534</v>
      </c>
      <c r="G298" s="741" t="s">
        <v>529</v>
      </c>
      <c r="H298" s="741" t="s">
        <v>611</v>
      </c>
      <c r="I298" s="744" t="s">
        <v>530</v>
      </c>
      <c r="J298" s="744" t="s">
        <v>531</v>
      </c>
      <c r="K298" s="744" t="s">
        <v>533</v>
      </c>
      <c r="L298" s="744" t="s">
        <v>535</v>
      </c>
      <c r="M298" s="744" t="s">
        <v>610</v>
      </c>
      <c r="N298" s="1676"/>
      <c r="O298" s="1676"/>
    </row>
    <row r="299" spans="2:15">
      <c r="B299" s="1909">
        <f>B298+1</f>
        <v>1</v>
      </c>
      <c r="C299" s="1912"/>
      <c r="D299" s="125" t="s">
        <v>280</v>
      </c>
      <c r="E299" s="1915" t="s">
        <v>739</v>
      </c>
      <c r="F299" s="1916"/>
      <c r="G299" s="1916"/>
      <c r="H299" s="1916"/>
      <c r="I299" s="1916"/>
      <c r="J299" s="1916"/>
      <c r="K299" s="1916"/>
      <c r="L299" s="1916"/>
      <c r="M299" s="1916"/>
      <c r="N299" s="1916"/>
      <c r="O299" s="1917"/>
    </row>
    <row r="300" spans="2:15">
      <c r="B300" s="1910"/>
      <c r="C300" s="1913"/>
      <c r="D300" s="125" t="s">
        <v>281</v>
      </c>
      <c r="E300" s="1918"/>
      <c r="F300" s="1919"/>
      <c r="G300" s="1919"/>
      <c r="H300" s="1919"/>
      <c r="I300" s="1919"/>
      <c r="J300" s="1919"/>
      <c r="K300" s="1919"/>
      <c r="L300" s="1919"/>
      <c r="M300" s="1919"/>
      <c r="N300" s="1919"/>
      <c r="O300" s="1920"/>
    </row>
    <row r="301" spans="2:15">
      <c r="B301" s="1910"/>
      <c r="C301" s="1913"/>
      <c r="D301" s="125" t="s">
        <v>282</v>
      </c>
      <c r="E301" s="1918"/>
      <c r="F301" s="1919"/>
      <c r="G301" s="1919"/>
      <c r="H301" s="1919"/>
      <c r="I301" s="1919"/>
      <c r="J301" s="1919"/>
      <c r="K301" s="1919"/>
      <c r="L301" s="1919"/>
      <c r="M301" s="1919"/>
      <c r="N301" s="1919"/>
      <c r="O301" s="1920"/>
    </row>
    <row r="302" spans="2:15">
      <c r="B302" s="1910"/>
      <c r="C302" s="1913"/>
      <c r="D302" s="125" t="s">
        <v>539</v>
      </c>
      <c r="E302" s="1918"/>
      <c r="F302" s="1919"/>
      <c r="G302" s="1919"/>
      <c r="H302" s="1919"/>
      <c r="I302" s="1919"/>
      <c r="J302" s="1919"/>
      <c r="K302" s="1919"/>
      <c r="L302" s="1919"/>
      <c r="M302" s="1919"/>
      <c r="N302" s="1919"/>
      <c r="O302" s="1920"/>
    </row>
    <row r="303" spans="2:15">
      <c r="B303" s="1910"/>
      <c r="C303" s="1913"/>
      <c r="D303" s="125" t="s">
        <v>284</v>
      </c>
      <c r="E303" s="1918"/>
      <c r="F303" s="1919"/>
      <c r="G303" s="1919"/>
      <c r="H303" s="1919"/>
      <c r="I303" s="1919"/>
      <c r="J303" s="1919"/>
      <c r="K303" s="1919"/>
      <c r="L303" s="1919"/>
      <c r="M303" s="1919"/>
      <c r="N303" s="1919"/>
      <c r="O303" s="1920"/>
    </row>
    <row r="304" spans="2:15">
      <c r="B304" s="1910"/>
      <c r="C304" s="1913"/>
      <c r="D304" s="125" t="s">
        <v>285</v>
      </c>
      <c r="E304" s="1918"/>
      <c r="F304" s="1919"/>
      <c r="G304" s="1919"/>
      <c r="H304" s="1919"/>
      <c r="I304" s="1919"/>
      <c r="J304" s="1919"/>
      <c r="K304" s="1919"/>
      <c r="L304" s="1919"/>
      <c r="M304" s="1919"/>
      <c r="N304" s="1919"/>
      <c r="O304" s="1920"/>
    </row>
    <row r="305" spans="2:15">
      <c r="B305" s="1910"/>
      <c r="C305" s="1913"/>
      <c r="D305" s="125" t="s">
        <v>286</v>
      </c>
      <c r="E305" s="1918"/>
      <c r="F305" s="1919"/>
      <c r="G305" s="1919"/>
      <c r="H305" s="1919"/>
      <c r="I305" s="1919"/>
      <c r="J305" s="1919"/>
      <c r="K305" s="1919"/>
      <c r="L305" s="1919"/>
      <c r="M305" s="1919"/>
      <c r="N305" s="1919"/>
      <c r="O305" s="1920"/>
    </row>
    <row r="306" spans="2:15">
      <c r="B306" s="1910"/>
      <c r="C306" s="1913"/>
      <c r="D306" s="125" t="s">
        <v>540</v>
      </c>
      <c r="E306" s="1918"/>
      <c r="F306" s="1919"/>
      <c r="G306" s="1919"/>
      <c r="H306" s="1919"/>
      <c r="I306" s="1919"/>
      <c r="J306" s="1919"/>
      <c r="K306" s="1919"/>
      <c r="L306" s="1919"/>
      <c r="M306" s="1919"/>
      <c r="N306" s="1919"/>
      <c r="O306" s="1920"/>
    </row>
    <row r="307" spans="2:15">
      <c r="B307" s="1910"/>
      <c r="C307" s="1913"/>
      <c r="D307" s="125" t="s">
        <v>288</v>
      </c>
      <c r="E307" s="1918"/>
      <c r="F307" s="1919"/>
      <c r="G307" s="1919"/>
      <c r="H307" s="1919"/>
      <c r="I307" s="1919"/>
      <c r="J307" s="1919"/>
      <c r="K307" s="1919"/>
      <c r="L307" s="1919"/>
      <c r="M307" s="1919"/>
      <c r="N307" s="1919"/>
      <c r="O307" s="1920"/>
    </row>
    <row r="308" spans="2:15">
      <c r="B308" s="1910"/>
      <c r="C308" s="1913"/>
      <c r="D308" s="125" t="s">
        <v>289</v>
      </c>
      <c r="E308" s="1918"/>
      <c r="F308" s="1919"/>
      <c r="G308" s="1919"/>
      <c r="H308" s="1919"/>
      <c r="I308" s="1919"/>
      <c r="J308" s="1919"/>
      <c r="K308" s="1919"/>
      <c r="L308" s="1919"/>
      <c r="M308" s="1919"/>
      <c r="N308" s="1919"/>
      <c r="O308" s="1920"/>
    </row>
    <row r="309" spans="2:15">
      <c r="B309" s="1910"/>
      <c r="C309" s="1913"/>
      <c r="D309" s="125" t="s">
        <v>290</v>
      </c>
      <c r="E309" s="1918"/>
      <c r="F309" s="1919"/>
      <c r="G309" s="1919"/>
      <c r="H309" s="1919"/>
      <c r="I309" s="1919"/>
      <c r="J309" s="1919"/>
      <c r="K309" s="1919"/>
      <c r="L309" s="1919"/>
      <c r="M309" s="1919"/>
      <c r="N309" s="1919"/>
      <c r="O309" s="1920"/>
    </row>
    <row r="310" spans="2:15">
      <c r="B310" s="1911"/>
      <c r="C310" s="1914"/>
      <c r="D310" s="125" t="s">
        <v>291</v>
      </c>
      <c r="E310" s="1918"/>
      <c r="F310" s="1919"/>
      <c r="G310" s="1919"/>
      <c r="H310" s="1919"/>
      <c r="I310" s="1919"/>
      <c r="J310" s="1919"/>
      <c r="K310" s="1919"/>
      <c r="L310" s="1919"/>
      <c r="M310" s="1919"/>
      <c r="N310" s="1919"/>
      <c r="O310" s="1920"/>
    </row>
    <row r="311" spans="2:15">
      <c r="B311" s="1909">
        <f>B299+1</f>
        <v>2</v>
      </c>
      <c r="C311" s="1912"/>
      <c r="D311" s="125" t="s">
        <v>280</v>
      </c>
      <c r="E311" s="1918"/>
      <c r="F311" s="1919"/>
      <c r="G311" s="1919"/>
      <c r="H311" s="1919"/>
      <c r="I311" s="1919"/>
      <c r="J311" s="1919"/>
      <c r="K311" s="1919"/>
      <c r="L311" s="1919"/>
      <c r="M311" s="1919"/>
      <c r="N311" s="1919"/>
      <c r="O311" s="1920"/>
    </row>
    <row r="312" spans="2:15">
      <c r="B312" s="1910"/>
      <c r="C312" s="1913"/>
      <c r="D312" s="125" t="s">
        <v>281</v>
      </c>
      <c r="E312" s="1918"/>
      <c r="F312" s="1919"/>
      <c r="G312" s="1919"/>
      <c r="H312" s="1919"/>
      <c r="I312" s="1919"/>
      <c r="J312" s="1919"/>
      <c r="K312" s="1919"/>
      <c r="L312" s="1919"/>
      <c r="M312" s="1919"/>
      <c r="N312" s="1919"/>
      <c r="O312" s="1920"/>
    </row>
    <row r="313" spans="2:15">
      <c r="B313" s="1910"/>
      <c r="C313" s="1913"/>
      <c r="D313" s="125" t="s">
        <v>282</v>
      </c>
      <c r="E313" s="1918"/>
      <c r="F313" s="1919"/>
      <c r="G313" s="1919"/>
      <c r="H313" s="1919"/>
      <c r="I313" s="1919"/>
      <c r="J313" s="1919"/>
      <c r="K313" s="1919"/>
      <c r="L313" s="1919"/>
      <c r="M313" s="1919"/>
      <c r="N313" s="1919"/>
      <c r="O313" s="1920"/>
    </row>
    <row r="314" spans="2:15">
      <c r="B314" s="1910"/>
      <c r="C314" s="1913"/>
      <c r="D314" s="125" t="s">
        <v>539</v>
      </c>
      <c r="E314" s="1918"/>
      <c r="F314" s="1919"/>
      <c r="G314" s="1919"/>
      <c r="H314" s="1919"/>
      <c r="I314" s="1919"/>
      <c r="J314" s="1919"/>
      <c r="K314" s="1919"/>
      <c r="L314" s="1919"/>
      <c r="M314" s="1919"/>
      <c r="N314" s="1919"/>
      <c r="O314" s="1920"/>
    </row>
    <row r="315" spans="2:15">
      <c r="B315" s="1910"/>
      <c r="C315" s="1913"/>
      <c r="D315" s="125" t="s">
        <v>284</v>
      </c>
      <c r="E315" s="1918"/>
      <c r="F315" s="1919"/>
      <c r="G315" s="1919"/>
      <c r="H315" s="1919"/>
      <c r="I315" s="1919"/>
      <c r="J315" s="1919"/>
      <c r="K315" s="1919"/>
      <c r="L315" s="1919"/>
      <c r="M315" s="1919"/>
      <c r="N315" s="1919"/>
      <c r="O315" s="1920"/>
    </row>
    <row r="316" spans="2:15">
      <c r="B316" s="1910"/>
      <c r="C316" s="1913"/>
      <c r="D316" s="125" t="s">
        <v>285</v>
      </c>
      <c r="E316" s="1918"/>
      <c r="F316" s="1919"/>
      <c r="G316" s="1919"/>
      <c r="H316" s="1919"/>
      <c r="I316" s="1919"/>
      <c r="J316" s="1919"/>
      <c r="K316" s="1919"/>
      <c r="L316" s="1919"/>
      <c r="M316" s="1919"/>
      <c r="N316" s="1919"/>
      <c r="O316" s="1920"/>
    </row>
    <row r="317" spans="2:15">
      <c r="B317" s="1910"/>
      <c r="C317" s="1913"/>
      <c r="D317" s="125" t="s">
        <v>286</v>
      </c>
      <c r="E317" s="1918"/>
      <c r="F317" s="1919"/>
      <c r="G317" s="1919"/>
      <c r="H317" s="1919"/>
      <c r="I317" s="1919"/>
      <c r="J317" s="1919"/>
      <c r="K317" s="1919"/>
      <c r="L317" s="1919"/>
      <c r="M317" s="1919"/>
      <c r="N317" s="1919"/>
      <c r="O317" s="1920"/>
    </row>
    <row r="318" spans="2:15">
      <c r="B318" s="1910"/>
      <c r="C318" s="1913"/>
      <c r="D318" s="125" t="s">
        <v>540</v>
      </c>
      <c r="E318" s="1918"/>
      <c r="F318" s="1919"/>
      <c r="G318" s="1919"/>
      <c r="H318" s="1919"/>
      <c r="I318" s="1919"/>
      <c r="J318" s="1919"/>
      <c r="K318" s="1919"/>
      <c r="L318" s="1919"/>
      <c r="M318" s="1919"/>
      <c r="N318" s="1919"/>
      <c r="O318" s="1920"/>
    </row>
    <row r="319" spans="2:15">
      <c r="B319" s="1910"/>
      <c r="C319" s="1913"/>
      <c r="D319" s="125" t="s">
        <v>288</v>
      </c>
      <c r="E319" s="1918"/>
      <c r="F319" s="1919"/>
      <c r="G319" s="1919"/>
      <c r="H319" s="1919"/>
      <c r="I319" s="1919"/>
      <c r="J319" s="1919"/>
      <c r="K319" s="1919"/>
      <c r="L319" s="1919"/>
      <c r="M319" s="1919"/>
      <c r="N319" s="1919"/>
      <c r="O319" s="1920"/>
    </row>
    <row r="320" spans="2:15">
      <c r="B320" s="1910"/>
      <c r="C320" s="1913"/>
      <c r="D320" s="125" t="s">
        <v>289</v>
      </c>
      <c r="E320" s="1918"/>
      <c r="F320" s="1919"/>
      <c r="G320" s="1919"/>
      <c r="H320" s="1919"/>
      <c r="I320" s="1919"/>
      <c r="J320" s="1919"/>
      <c r="K320" s="1919"/>
      <c r="L320" s="1919"/>
      <c r="M320" s="1919"/>
      <c r="N320" s="1919"/>
      <c r="O320" s="1920"/>
    </row>
    <row r="321" spans="2:15">
      <c r="B321" s="1910"/>
      <c r="C321" s="1913"/>
      <c r="D321" s="125" t="s">
        <v>290</v>
      </c>
      <c r="E321" s="1918"/>
      <c r="F321" s="1919"/>
      <c r="G321" s="1919"/>
      <c r="H321" s="1919"/>
      <c r="I321" s="1919"/>
      <c r="J321" s="1919"/>
      <c r="K321" s="1919"/>
      <c r="L321" s="1919"/>
      <c r="M321" s="1919"/>
      <c r="N321" s="1919"/>
      <c r="O321" s="1920"/>
    </row>
    <row r="322" spans="2:15">
      <c r="B322" s="1911"/>
      <c r="C322" s="1914"/>
      <c r="D322" s="125" t="s">
        <v>291</v>
      </c>
      <c r="E322" s="1918"/>
      <c r="F322" s="1919"/>
      <c r="G322" s="1919"/>
      <c r="H322" s="1919"/>
      <c r="I322" s="1919"/>
      <c r="J322" s="1919"/>
      <c r="K322" s="1919"/>
      <c r="L322" s="1919"/>
      <c r="M322" s="1919"/>
      <c r="N322" s="1919"/>
      <c r="O322" s="1920"/>
    </row>
    <row r="323" spans="2:15">
      <c r="B323" s="99">
        <v>3</v>
      </c>
      <c r="C323" s="124"/>
      <c r="D323" s="124"/>
      <c r="E323" s="1918"/>
      <c r="F323" s="1919"/>
      <c r="G323" s="1919"/>
      <c r="H323" s="1919"/>
      <c r="I323" s="1919"/>
      <c r="J323" s="1919"/>
      <c r="K323" s="1919"/>
      <c r="L323" s="1919"/>
      <c r="M323" s="1919"/>
      <c r="N323" s="1919"/>
      <c r="O323" s="1920"/>
    </row>
    <row r="324" spans="2:15">
      <c r="B324" s="99" t="s">
        <v>478</v>
      </c>
      <c r="C324" s="126"/>
      <c r="D324" s="126"/>
      <c r="E324" s="1921"/>
      <c r="F324" s="1922"/>
      <c r="G324" s="1922"/>
      <c r="H324" s="1922"/>
      <c r="I324" s="1922"/>
      <c r="J324" s="1922"/>
      <c r="K324" s="1922"/>
      <c r="L324" s="1922"/>
      <c r="M324" s="1922"/>
      <c r="N324" s="1922"/>
      <c r="O324" s="1923"/>
    </row>
    <row r="326" spans="2:15">
      <c r="B326" s="250" t="s">
        <v>541</v>
      </c>
    </row>
    <row r="327" spans="2:15">
      <c r="B327" s="250" t="s">
        <v>606</v>
      </c>
    </row>
    <row r="328" spans="2:15">
      <c r="B328" s="250" t="s">
        <v>542</v>
      </c>
    </row>
    <row r="329" spans="2:15">
      <c r="B329" s="250" t="s">
        <v>608</v>
      </c>
    </row>
    <row r="333" spans="2:15">
      <c r="B333" s="1908" t="s">
        <v>1009</v>
      </c>
      <c r="C333" s="1908"/>
      <c r="D333" s="750"/>
      <c r="E333" s="14"/>
      <c r="F333" s="14"/>
      <c r="G333" s="14"/>
      <c r="H333" s="14"/>
      <c r="I333" s="14"/>
      <c r="J333" s="14"/>
      <c r="K333" s="14"/>
      <c r="L333" s="14"/>
    </row>
    <row r="335" spans="2:15" ht="56">
      <c r="B335" s="1684" t="s">
        <v>341</v>
      </c>
      <c r="C335" s="1684" t="s">
        <v>527</v>
      </c>
      <c r="D335" s="1684" t="s">
        <v>538</v>
      </c>
      <c r="E335" s="743" t="s">
        <v>607</v>
      </c>
      <c r="F335" s="1676" t="s">
        <v>528</v>
      </c>
      <c r="G335" s="1676"/>
      <c r="H335" s="1676"/>
      <c r="I335" s="1676"/>
      <c r="J335" s="1676"/>
      <c r="K335" s="1676" t="s">
        <v>532</v>
      </c>
      <c r="L335" s="1676"/>
      <c r="M335" s="1676"/>
      <c r="N335" s="1676" t="s">
        <v>536</v>
      </c>
      <c r="O335" s="1676" t="s">
        <v>537</v>
      </c>
    </row>
    <row r="336" spans="2:15" ht="28">
      <c r="B336" s="1722"/>
      <c r="C336" s="1722"/>
      <c r="D336" s="1722"/>
      <c r="E336" s="744" t="s">
        <v>609</v>
      </c>
      <c r="F336" s="741" t="s">
        <v>534</v>
      </c>
      <c r="G336" s="741" t="s">
        <v>529</v>
      </c>
      <c r="H336" s="741" t="s">
        <v>611</v>
      </c>
      <c r="I336" s="744" t="s">
        <v>530</v>
      </c>
      <c r="J336" s="744" t="s">
        <v>531</v>
      </c>
      <c r="K336" s="744" t="s">
        <v>533</v>
      </c>
      <c r="L336" s="744" t="s">
        <v>535</v>
      </c>
      <c r="M336" s="744" t="s">
        <v>610</v>
      </c>
      <c r="N336" s="1676"/>
      <c r="O336" s="1676"/>
    </row>
    <row r="337" spans="2:15">
      <c r="B337" s="1909">
        <f>B336+1</f>
        <v>1</v>
      </c>
      <c r="C337" s="1912"/>
      <c r="D337" s="125" t="s">
        <v>280</v>
      </c>
      <c r="E337" s="1915" t="s">
        <v>739</v>
      </c>
      <c r="F337" s="1916"/>
      <c r="G337" s="1916"/>
      <c r="H337" s="1916"/>
      <c r="I337" s="1916"/>
      <c r="J337" s="1916"/>
      <c r="K337" s="1916"/>
      <c r="L337" s="1916"/>
      <c r="M337" s="1916"/>
      <c r="N337" s="1916"/>
      <c r="O337" s="1917"/>
    </row>
    <row r="338" spans="2:15">
      <c r="B338" s="1910"/>
      <c r="C338" s="1913"/>
      <c r="D338" s="125" t="s">
        <v>281</v>
      </c>
      <c r="E338" s="1918"/>
      <c r="F338" s="1919"/>
      <c r="G338" s="1919"/>
      <c r="H338" s="1919"/>
      <c r="I338" s="1919"/>
      <c r="J338" s="1919"/>
      <c r="K338" s="1919"/>
      <c r="L338" s="1919"/>
      <c r="M338" s="1919"/>
      <c r="N338" s="1919"/>
      <c r="O338" s="1920"/>
    </row>
    <row r="339" spans="2:15">
      <c r="B339" s="1910"/>
      <c r="C339" s="1913"/>
      <c r="D339" s="125" t="s">
        <v>282</v>
      </c>
      <c r="E339" s="1918"/>
      <c r="F339" s="1919"/>
      <c r="G339" s="1919"/>
      <c r="H339" s="1919"/>
      <c r="I339" s="1919"/>
      <c r="J339" s="1919"/>
      <c r="K339" s="1919"/>
      <c r="L339" s="1919"/>
      <c r="M339" s="1919"/>
      <c r="N339" s="1919"/>
      <c r="O339" s="1920"/>
    </row>
    <row r="340" spans="2:15">
      <c r="B340" s="1910"/>
      <c r="C340" s="1913"/>
      <c r="D340" s="125" t="s">
        <v>539</v>
      </c>
      <c r="E340" s="1918"/>
      <c r="F340" s="1919"/>
      <c r="G340" s="1919"/>
      <c r="H340" s="1919"/>
      <c r="I340" s="1919"/>
      <c r="J340" s="1919"/>
      <c r="K340" s="1919"/>
      <c r="L340" s="1919"/>
      <c r="M340" s="1919"/>
      <c r="N340" s="1919"/>
      <c r="O340" s="1920"/>
    </row>
    <row r="341" spans="2:15">
      <c r="B341" s="1910"/>
      <c r="C341" s="1913"/>
      <c r="D341" s="125" t="s">
        <v>284</v>
      </c>
      <c r="E341" s="1918"/>
      <c r="F341" s="1919"/>
      <c r="G341" s="1919"/>
      <c r="H341" s="1919"/>
      <c r="I341" s="1919"/>
      <c r="J341" s="1919"/>
      <c r="K341" s="1919"/>
      <c r="L341" s="1919"/>
      <c r="M341" s="1919"/>
      <c r="N341" s="1919"/>
      <c r="O341" s="1920"/>
    </row>
    <row r="342" spans="2:15">
      <c r="B342" s="1910"/>
      <c r="C342" s="1913"/>
      <c r="D342" s="125" t="s">
        <v>285</v>
      </c>
      <c r="E342" s="1918"/>
      <c r="F342" s="1919"/>
      <c r="G342" s="1919"/>
      <c r="H342" s="1919"/>
      <c r="I342" s="1919"/>
      <c r="J342" s="1919"/>
      <c r="K342" s="1919"/>
      <c r="L342" s="1919"/>
      <c r="M342" s="1919"/>
      <c r="N342" s="1919"/>
      <c r="O342" s="1920"/>
    </row>
    <row r="343" spans="2:15">
      <c r="B343" s="1910"/>
      <c r="C343" s="1913"/>
      <c r="D343" s="125" t="s">
        <v>286</v>
      </c>
      <c r="E343" s="1918"/>
      <c r="F343" s="1919"/>
      <c r="G343" s="1919"/>
      <c r="H343" s="1919"/>
      <c r="I343" s="1919"/>
      <c r="J343" s="1919"/>
      <c r="K343" s="1919"/>
      <c r="L343" s="1919"/>
      <c r="M343" s="1919"/>
      <c r="N343" s="1919"/>
      <c r="O343" s="1920"/>
    </row>
    <row r="344" spans="2:15">
      <c r="B344" s="1910"/>
      <c r="C344" s="1913"/>
      <c r="D344" s="125" t="s">
        <v>540</v>
      </c>
      <c r="E344" s="1918"/>
      <c r="F344" s="1919"/>
      <c r="G344" s="1919"/>
      <c r="H344" s="1919"/>
      <c r="I344" s="1919"/>
      <c r="J344" s="1919"/>
      <c r="K344" s="1919"/>
      <c r="L344" s="1919"/>
      <c r="M344" s="1919"/>
      <c r="N344" s="1919"/>
      <c r="O344" s="1920"/>
    </row>
    <row r="345" spans="2:15">
      <c r="B345" s="1910"/>
      <c r="C345" s="1913"/>
      <c r="D345" s="125" t="s">
        <v>288</v>
      </c>
      <c r="E345" s="1918"/>
      <c r="F345" s="1919"/>
      <c r="G345" s="1919"/>
      <c r="H345" s="1919"/>
      <c r="I345" s="1919"/>
      <c r="J345" s="1919"/>
      <c r="K345" s="1919"/>
      <c r="L345" s="1919"/>
      <c r="M345" s="1919"/>
      <c r="N345" s="1919"/>
      <c r="O345" s="1920"/>
    </row>
    <row r="346" spans="2:15">
      <c r="B346" s="1910"/>
      <c r="C346" s="1913"/>
      <c r="D346" s="125" t="s">
        <v>289</v>
      </c>
      <c r="E346" s="1918"/>
      <c r="F346" s="1919"/>
      <c r="G346" s="1919"/>
      <c r="H346" s="1919"/>
      <c r="I346" s="1919"/>
      <c r="J346" s="1919"/>
      <c r="K346" s="1919"/>
      <c r="L346" s="1919"/>
      <c r="M346" s="1919"/>
      <c r="N346" s="1919"/>
      <c r="O346" s="1920"/>
    </row>
    <row r="347" spans="2:15">
      <c r="B347" s="1910"/>
      <c r="C347" s="1913"/>
      <c r="D347" s="125" t="s">
        <v>290</v>
      </c>
      <c r="E347" s="1918"/>
      <c r="F347" s="1919"/>
      <c r="G347" s="1919"/>
      <c r="H347" s="1919"/>
      <c r="I347" s="1919"/>
      <c r="J347" s="1919"/>
      <c r="K347" s="1919"/>
      <c r="L347" s="1919"/>
      <c r="M347" s="1919"/>
      <c r="N347" s="1919"/>
      <c r="O347" s="1920"/>
    </row>
    <row r="348" spans="2:15">
      <c r="B348" s="1911"/>
      <c r="C348" s="1914"/>
      <c r="D348" s="125" t="s">
        <v>291</v>
      </c>
      <c r="E348" s="1918"/>
      <c r="F348" s="1919"/>
      <c r="G348" s="1919"/>
      <c r="H348" s="1919"/>
      <c r="I348" s="1919"/>
      <c r="J348" s="1919"/>
      <c r="K348" s="1919"/>
      <c r="L348" s="1919"/>
      <c r="M348" s="1919"/>
      <c r="N348" s="1919"/>
      <c r="O348" s="1920"/>
    </row>
    <row r="349" spans="2:15">
      <c r="B349" s="1909">
        <f>B337+1</f>
        <v>2</v>
      </c>
      <c r="C349" s="1912"/>
      <c r="D349" s="125" t="s">
        <v>280</v>
      </c>
      <c r="E349" s="1918"/>
      <c r="F349" s="1919"/>
      <c r="G349" s="1919"/>
      <c r="H349" s="1919"/>
      <c r="I349" s="1919"/>
      <c r="J349" s="1919"/>
      <c r="K349" s="1919"/>
      <c r="L349" s="1919"/>
      <c r="M349" s="1919"/>
      <c r="N349" s="1919"/>
      <c r="O349" s="1920"/>
    </row>
    <row r="350" spans="2:15">
      <c r="B350" s="1910"/>
      <c r="C350" s="1913"/>
      <c r="D350" s="125" t="s">
        <v>281</v>
      </c>
      <c r="E350" s="1918"/>
      <c r="F350" s="1919"/>
      <c r="G350" s="1919"/>
      <c r="H350" s="1919"/>
      <c r="I350" s="1919"/>
      <c r="J350" s="1919"/>
      <c r="K350" s="1919"/>
      <c r="L350" s="1919"/>
      <c r="M350" s="1919"/>
      <c r="N350" s="1919"/>
      <c r="O350" s="1920"/>
    </row>
    <row r="351" spans="2:15">
      <c r="B351" s="1910"/>
      <c r="C351" s="1913"/>
      <c r="D351" s="125" t="s">
        <v>282</v>
      </c>
      <c r="E351" s="1918"/>
      <c r="F351" s="1919"/>
      <c r="G351" s="1919"/>
      <c r="H351" s="1919"/>
      <c r="I351" s="1919"/>
      <c r="J351" s="1919"/>
      <c r="K351" s="1919"/>
      <c r="L351" s="1919"/>
      <c r="M351" s="1919"/>
      <c r="N351" s="1919"/>
      <c r="O351" s="1920"/>
    </row>
    <row r="352" spans="2:15">
      <c r="B352" s="1910"/>
      <c r="C352" s="1913"/>
      <c r="D352" s="125" t="s">
        <v>539</v>
      </c>
      <c r="E352" s="1918"/>
      <c r="F352" s="1919"/>
      <c r="G352" s="1919"/>
      <c r="H352" s="1919"/>
      <c r="I352" s="1919"/>
      <c r="J352" s="1919"/>
      <c r="K352" s="1919"/>
      <c r="L352" s="1919"/>
      <c r="M352" s="1919"/>
      <c r="N352" s="1919"/>
      <c r="O352" s="1920"/>
    </row>
    <row r="353" spans="2:15">
      <c r="B353" s="1910"/>
      <c r="C353" s="1913"/>
      <c r="D353" s="125" t="s">
        <v>284</v>
      </c>
      <c r="E353" s="1918"/>
      <c r="F353" s="1919"/>
      <c r="G353" s="1919"/>
      <c r="H353" s="1919"/>
      <c r="I353" s="1919"/>
      <c r="J353" s="1919"/>
      <c r="K353" s="1919"/>
      <c r="L353" s="1919"/>
      <c r="M353" s="1919"/>
      <c r="N353" s="1919"/>
      <c r="O353" s="1920"/>
    </row>
    <row r="354" spans="2:15">
      <c r="B354" s="1910"/>
      <c r="C354" s="1913"/>
      <c r="D354" s="125" t="s">
        <v>285</v>
      </c>
      <c r="E354" s="1918"/>
      <c r="F354" s="1919"/>
      <c r="G354" s="1919"/>
      <c r="H354" s="1919"/>
      <c r="I354" s="1919"/>
      <c r="J354" s="1919"/>
      <c r="K354" s="1919"/>
      <c r="L354" s="1919"/>
      <c r="M354" s="1919"/>
      <c r="N354" s="1919"/>
      <c r="O354" s="1920"/>
    </row>
    <row r="355" spans="2:15">
      <c r="B355" s="1910"/>
      <c r="C355" s="1913"/>
      <c r="D355" s="125" t="s">
        <v>286</v>
      </c>
      <c r="E355" s="1918"/>
      <c r="F355" s="1919"/>
      <c r="G355" s="1919"/>
      <c r="H355" s="1919"/>
      <c r="I355" s="1919"/>
      <c r="J355" s="1919"/>
      <c r="K355" s="1919"/>
      <c r="L355" s="1919"/>
      <c r="M355" s="1919"/>
      <c r="N355" s="1919"/>
      <c r="O355" s="1920"/>
    </row>
    <row r="356" spans="2:15">
      <c r="B356" s="1910"/>
      <c r="C356" s="1913"/>
      <c r="D356" s="125" t="s">
        <v>540</v>
      </c>
      <c r="E356" s="1918"/>
      <c r="F356" s="1919"/>
      <c r="G356" s="1919"/>
      <c r="H356" s="1919"/>
      <c r="I356" s="1919"/>
      <c r="J356" s="1919"/>
      <c r="K356" s="1919"/>
      <c r="L356" s="1919"/>
      <c r="M356" s="1919"/>
      <c r="N356" s="1919"/>
      <c r="O356" s="1920"/>
    </row>
    <row r="357" spans="2:15">
      <c r="B357" s="1910"/>
      <c r="C357" s="1913"/>
      <c r="D357" s="125" t="s">
        <v>288</v>
      </c>
      <c r="E357" s="1918"/>
      <c r="F357" s="1919"/>
      <c r="G357" s="1919"/>
      <c r="H357" s="1919"/>
      <c r="I357" s="1919"/>
      <c r="J357" s="1919"/>
      <c r="K357" s="1919"/>
      <c r="L357" s="1919"/>
      <c r="M357" s="1919"/>
      <c r="N357" s="1919"/>
      <c r="O357" s="1920"/>
    </row>
    <row r="358" spans="2:15">
      <c r="B358" s="1910"/>
      <c r="C358" s="1913"/>
      <c r="D358" s="125" t="s">
        <v>289</v>
      </c>
      <c r="E358" s="1918"/>
      <c r="F358" s="1919"/>
      <c r="G358" s="1919"/>
      <c r="H358" s="1919"/>
      <c r="I358" s="1919"/>
      <c r="J358" s="1919"/>
      <c r="K358" s="1919"/>
      <c r="L358" s="1919"/>
      <c r="M358" s="1919"/>
      <c r="N358" s="1919"/>
      <c r="O358" s="1920"/>
    </row>
    <row r="359" spans="2:15">
      <c r="B359" s="1910"/>
      <c r="C359" s="1913"/>
      <c r="D359" s="125" t="s">
        <v>290</v>
      </c>
      <c r="E359" s="1918"/>
      <c r="F359" s="1919"/>
      <c r="G359" s="1919"/>
      <c r="H359" s="1919"/>
      <c r="I359" s="1919"/>
      <c r="J359" s="1919"/>
      <c r="K359" s="1919"/>
      <c r="L359" s="1919"/>
      <c r="M359" s="1919"/>
      <c r="N359" s="1919"/>
      <c r="O359" s="1920"/>
    </row>
    <row r="360" spans="2:15">
      <c r="B360" s="1911"/>
      <c r="C360" s="1914"/>
      <c r="D360" s="125" t="s">
        <v>291</v>
      </c>
      <c r="E360" s="1918"/>
      <c r="F360" s="1919"/>
      <c r="G360" s="1919"/>
      <c r="H360" s="1919"/>
      <c r="I360" s="1919"/>
      <c r="J360" s="1919"/>
      <c r="K360" s="1919"/>
      <c r="L360" s="1919"/>
      <c r="M360" s="1919"/>
      <c r="N360" s="1919"/>
      <c r="O360" s="1920"/>
    </row>
    <row r="361" spans="2:15">
      <c r="B361" s="99">
        <v>3</v>
      </c>
      <c r="C361" s="124"/>
      <c r="D361" s="124"/>
      <c r="E361" s="1918"/>
      <c r="F361" s="1919"/>
      <c r="G361" s="1919"/>
      <c r="H361" s="1919"/>
      <c r="I361" s="1919"/>
      <c r="J361" s="1919"/>
      <c r="K361" s="1919"/>
      <c r="L361" s="1919"/>
      <c r="M361" s="1919"/>
      <c r="N361" s="1919"/>
      <c r="O361" s="1920"/>
    </row>
    <row r="362" spans="2:15">
      <c r="B362" s="99" t="s">
        <v>478</v>
      </c>
      <c r="C362" s="126"/>
      <c r="D362" s="126"/>
      <c r="E362" s="1921"/>
      <c r="F362" s="1922"/>
      <c r="G362" s="1922"/>
      <c r="H362" s="1922"/>
      <c r="I362" s="1922"/>
      <c r="J362" s="1922"/>
      <c r="K362" s="1922"/>
      <c r="L362" s="1922"/>
      <c r="M362" s="1922"/>
      <c r="N362" s="1922"/>
      <c r="O362" s="1923"/>
    </row>
    <row r="364" spans="2:15">
      <c r="B364" s="250" t="s">
        <v>541</v>
      </c>
    </row>
    <row r="365" spans="2:15">
      <c r="B365" s="250" t="s">
        <v>606</v>
      </c>
    </row>
    <row r="366" spans="2:15">
      <c r="B366" s="250" t="s">
        <v>542</v>
      </c>
    </row>
    <row r="367" spans="2:15">
      <c r="B367" s="250" t="s">
        <v>608</v>
      </c>
    </row>
    <row r="371" spans="2:15">
      <c r="B371" s="1908" t="s">
        <v>1010</v>
      </c>
      <c r="C371" s="1908"/>
      <c r="D371" s="750"/>
      <c r="E371" s="14"/>
      <c r="F371" s="14"/>
      <c r="G371" s="14"/>
      <c r="H371" s="14"/>
      <c r="I371" s="14"/>
      <c r="J371" s="14"/>
      <c r="K371" s="14"/>
      <c r="L371" s="14"/>
    </row>
    <row r="373" spans="2:15" ht="56">
      <c r="B373" s="1684" t="s">
        <v>341</v>
      </c>
      <c r="C373" s="1684" t="s">
        <v>527</v>
      </c>
      <c r="D373" s="1684" t="s">
        <v>538</v>
      </c>
      <c r="E373" s="743" t="s">
        <v>607</v>
      </c>
      <c r="F373" s="1676" t="s">
        <v>528</v>
      </c>
      <c r="G373" s="1676"/>
      <c r="H373" s="1676"/>
      <c r="I373" s="1676"/>
      <c r="J373" s="1676"/>
      <c r="K373" s="1676" t="s">
        <v>532</v>
      </c>
      <c r="L373" s="1676"/>
      <c r="M373" s="1676"/>
      <c r="N373" s="1676" t="s">
        <v>536</v>
      </c>
      <c r="O373" s="1676" t="s">
        <v>537</v>
      </c>
    </row>
    <row r="374" spans="2:15" ht="28">
      <c r="B374" s="1722"/>
      <c r="C374" s="1722"/>
      <c r="D374" s="1722"/>
      <c r="E374" s="744" t="s">
        <v>609</v>
      </c>
      <c r="F374" s="741" t="s">
        <v>534</v>
      </c>
      <c r="G374" s="741" t="s">
        <v>529</v>
      </c>
      <c r="H374" s="741" t="s">
        <v>611</v>
      </c>
      <c r="I374" s="744" t="s">
        <v>530</v>
      </c>
      <c r="J374" s="744" t="s">
        <v>531</v>
      </c>
      <c r="K374" s="744" t="s">
        <v>533</v>
      </c>
      <c r="L374" s="744" t="s">
        <v>535</v>
      </c>
      <c r="M374" s="744" t="s">
        <v>610</v>
      </c>
      <c r="N374" s="1676"/>
      <c r="O374" s="1676"/>
    </row>
    <row r="375" spans="2:15">
      <c r="B375" s="1909">
        <f>B374+1</f>
        <v>1</v>
      </c>
      <c r="C375" s="1912"/>
      <c r="D375" s="125" t="s">
        <v>280</v>
      </c>
      <c r="E375" s="1915" t="s">
        <v>739</v>
      </c>
      <c r="F375" s="1916"/>
      <c r="G375" s="1916"/>
      <c r="H375" s="1916"/>
      <c r="I375" s="1916"/>
      <c r="J375" s="1916"/>
      <c r="K375" s="1916"/>
      <c r="L375" s="1916"/>
      <c r="M375" s="1916"/>
      <c r="N375" s="1916"/>
      <c r="O375" s="1917"/>
    </row>
    <row r="376" spans="2:15">
      <c r="B376" s="1910"/>
      <c r="C376" s="1913"/>
      <c r="D376" s="125" t="s">
        <v>281</v>
      </c>
      <c r="E376" s="1918"/>
      <c r="F376" s="1919"/>
      <c r="G376" s="1919"/>
      <c r="H376" s="1919"/>
      <c r="I376" s="1919"/>
      <c r="J376" s="1919"/>
      <c r="K376" s="1919"/>
      <c r="L376" s="1919"/>
      <c r="M376" s="1919"/>
      <c r="N376" s="1919"/>
      <c r="O376" s="1920"/>
    </row>
    <row r="377" spans="2:15">
      <c r="B377" s="1910"/>
      <c r="C377" s="1913"/>
      <c r="D377" s="125" t="s">
        <v>282</v>
      </c>
      <c r="E377" s="1918"/>
      <c r="F377" s="1919"/>
      <c r="G377" s="1919"/>
      <c r="H377" s="1919"/>
      <c r="I377" s="1919"/>
      <c r="J377" s="1919"/>
      <c r="K377" s="1919"/>
      <c r="L377" s="1919"/>
      <c r="M377" s="1919"/>
      <c r="N377" s="1919"/>
      <c r="O377" s="1920"/>
    </row>
    <row r="378" spans="2:15">
      <c r="B378" s="1910"/>
      <c r="C378" s="1913"/>
      <c r="D378" s="125" t="s">
        <v>539</v>
      </c>
      <c r="E378" s="1918"/>
      <c r="F378" s="1919"/>
      <c r="G378" s="1919"/>
      <c r="H378" s="1919"/>
      <c r="I378" s="1919"/>
      <c r="J378" s="1919"/>
      <c r="K378" s="1919"/>
      <c r="L378" s="1919"/>
      <c r="M378" s="1919"/>
      <c r="N378" s="1919"/>
      <c r="O378" s="1920"/>
    </row>
    <row r="379" spans="2:15">
      <c r="B379" s="1910"/>
      <c r="C379" s="1913"/>
      <c r="D379" s="125" t="s">
        <v>284</v>
      </c>
      <c r="E379" s="1918"/>
      <c r="F379" s="1919"/>
      <c r="G379" s="1919"/>
      <c r="H379" s="1919"/>
      <c r="I379" s="1919"/>
      <c r="J379" s="1919"/>
      <c r="K379" s="1919"/>
      <c r="L379" s="1919"/>
      <c r="M379" s="1919"/>
      <c r="N379" s="1919"/>
      <c r="O379" s="1920"/>
    </row>
    <row r="380" spans="2:15">
      <c r="B380" s="1910"/>
      <c r="C380" s="1913"/>
      <c r="D380" s="125" t="s">
        <v>285</v>
      </c>
      <c r="E380" s="1918"/>
      <c r="F380" s="1919"/>
      <c r="G380" s="1919"/>
      <c r="H380" s="1919"/>
      <c r="I380" s="1919"/>
      <c r="J380" s="1919"/>
      <c r="K380" s="1919"/>
      <c r="L380" s="1919"/>
      <c r="M380" s="1919"/>
      <c r="N380" s="1919"/>
      <c r="O380" s="1920"/>
    </row>
    <row r="381" spans="2:15">
      <c r="B381" s="1910"/>
      <c r="C381" s="1913"/>
      <c r="D381" s="125" t="s">
        <v>286</v>
      </c>
      <c r="E381" s="1918"/>
      <c r="F381" s="1919"/>
      <c r="G381" s="1919"/>
      <c r="H381" s="1919"/>
      <c r="I381" s="1919"/>
      <c r="J381" s="1919"/>
      <c r="K381" s="1919"/>
      <c r="L381" s="1919"/>
      <c r="M381" s="1919"/>
      <c r="N381" s="1919"/>
      <c r="O381" s="1920"/>
    </row>
    <row r="382" spans="2:15">
      <c r="B382" s="1910"/>
      <c r="C382" s="1913"/>
      <c r="D382" s="125" t="s">
        <v>540</v>
      </c>
      <c r="E382" s="1918"/>
      <c r="F382" s="1919"/>
      <c r="G382" s="1919"/>
      <c r="H382" s="1919"/>
      <c r="I382" s="1919"/>
      <c r="J382" s="1919"/>
      <c r="K382" s="1919"/>
      <c r="L382" s="1919"/>
      <c r="M382" s="1919"/>
      <c r="N382" s="1919"/>
      <c r="O382" s="1920"/>
    </row>
    <row r="383" spans="2:15">
      <c r="B383" s="1910"/>
      <c r="C383" s="1913"/>
      <c r="D383" s="125" t="s">
        <v>288</v>
      </c>
      <c r="E383" s="1918"/>
      <c r="F383" s="1919"/>
      <c r="G383" s="1919"/>
      <c r="H383" s="1919"/>
      <c r="I383" s="1919"/>
      <c r="J383" s="1919"/>
      <c r="K383" s="1919"/>
      <c r="L383" s="1919"/>
      <c r="M383" s="1919"/>
      <c r="N383" s="1919"/>
      <c r="O383" s="1920"/>
    </row>
    <row r="384" spans="2:15">
      <c r="B384" s="1910"/>
      <c r="C384" s="1913"/>
      <c r="D384" s="125" t="s">
        <v>289</v>
      </c>
      <c r="E384" s="1918"/>
      <c r="F384" s="1919"/>
      <c r="G384" s="1919"/>
      <c r="H384" s="1919"/>
      <c r="I384" s="1919"/>
      <c r="J384" s="1919"/>
      <c r="K384" s="1919"/>
      <c r="L384" s="1919"/>
      <c r="M384" s="1919"/>
      <c r="N384" s="1919"/>
      <c r="O384" s="1920"/>
    </row>
    <row r="385" spans="2:15">
      <c r="B385" s="1910"/>
      <c r="C385" s="1913"/>
      <c r="D385" s="125" t="s">
        <v>290</v>
      </c>
      <c r="E385" s="1918"/>
      <c r="F385" s="1919"/>
      <c r="G385" s="1919"/>
      <c r="H385" s="1919"/>
      <c r="I385" s="1919"/>
      <c r="J385" s="1919"/>
      <c r="K385" s="1919"/>
      <c r="L385" s="1919"/>
      <c r="M385" s="1919"/>
      <c r="N385" s="1919"/>
      <c r="O385" s="1920"/>
    </row>
    <row r="386" spans="2:15">
      <c r="B386" s="1911"/>
      <c r="C386" s="1914"/>
      <c r="D386" s="125" t="s">
        <v>291</v>
      </c>
      <c r="E386" s="1918"/>
      <c r="F386" s="1919"/>
      <c r="G386" s="1919"/>
      <c r="H386" s="1919"/>
      <c r="I386" s="1919"/>
      <c r="J386" s="1919"/>
      <c r="K386" s="1919"/>
      <c r="L386" s="1919"/>
      <c r="M386" s="1919"/>
      <c r="N386" s="1919"/>
      <c r="O386" s="1920"/>
    </row>
    <row r="387" spans="2:15">
      <c r="B387" s="1909">
        <f>B375+1</f>
        <v>2</v>
      </c>
      <c r="C387" s="1912"/>
      <c r="D387" s="125" t="s">
        <v>280</v>
      </c>
      <c r="E387" s="1918"/>
      <c r="F387" s="1919"/>
      <c r="G387" s="1919"/>
      <c r="H387" s="1919"/>
      <c r="I387" s="1919"/>
      <c r="J387" s="1919"/>
      <c r="K387" s="1919"/>
      <c r="L387" s="1919"/>
      <c r="M387" s="1919"/>
      <c r="N387" s="1919"/>
      <c r="O387" s="1920"/>
    </row>
    <row r="388" spans="2:15">
      <c r="B388" s="1910"/>
      <c r="C388" s="1913"/>
      <c r="D388" s="125" t="s">
        <v>281</v>
      </c>
      <c r="E388" s="1918"/>
      <c r="F388" s="1919"/>
      <c r="G388" s="1919"/>
      <c r="H388" s="1919"/>
      <c r="I388" s="1919"/>
      <c r="J388" s="1919"/>
      <c r="K388" s="1919"/>
      <c r="L388" s="1919"/>
      <c r="M388" s="1919"/>
      <c r="N388" s="1919"/>
      <c r="O388" s="1920"/>
    </row>
    <row r="389" spans="2:15">
      <c r="B389" s="1910"/>
      <c r="C389" s="1913"/>
      <c r="D389" s="125" t="s">
        <v>282</v>
      </c>
      <c r="E389" s="1918"/>
      <c r="F389" s="1919"/>
      <c r="G389" s="1919"/>
      <c r="H389" s="1919"/>
      <c r="I389" s="1919"/>
      <c r="J389" s="1919"/>
      <c r="K389" s="1919"/>
      <c r="L389" s="1919"/>
      <c r="M389" s="1919"/>
      <c r="N389" s="1919"/>
      <c r="O389" s="1920"/>
    </row>
    <row r="390" spans="2:15">
      <c r="B390" s="1910"/>
      <c r="C390" s="1913"/>
      <c r="D390" s="125" t="s">
        <v>539</v>
      </c>
      <c r="E390" s="1918"/>
      <c r="F390" s="1919"/>
      <c r="G390" s="1919"/>
      <c r="H390" s="1919"/>
      <c r="I390" s="1919"/>
      <c r="J390" s="1919"/>
      <c r="K390" s="1919"/>
      <c r="L390" s="1919"/>
      <c r="M390" s="1919"/>
      <c r="N390" s="1919"/>
      <c r="O390" s="1920"/>
    </row>
    <row r="391" spans="2:15">
      <c r="B391" s="1910"/>
      <c r="C391" s="1913"/>
      <c r="D391" s="125" t="s">
        <v>284</v>
      </c>
      <c r="E391" s="1918"/>
      <c r="F391" s="1919"/>
      <c r="G391" s="1919"/>
      <c r="H391" s="1919"/>
      <c r="I391" s="1919"/>
      <c r="J391" s="1919"/>
      <c r="K391" s="1919"/>
      <c r="L391" s="1919"/>
      <c r="M391" s="1919"/>
      <c r="N391" s="1919"/>
      <c r="O391" s="1920"/>
    </row>
    <row r="392" spans="2:15">
      <c r="B392" s="1910"/>
      <c r="C392" s="1913"/>
      <c r="D392" s="125" t="s">
        <v>285</v>
      </c>
      <c r="E392" s="1918"/>
      <c r="F392" s="1919"/>
      <c r="G392" s="1919"/>
      <c r="H392" s="1919"/>
      <c r="I392" s="1919"/>
      <c r="J392" s="1919"/>
      <c r="K392" s="1919"/>
      <c r="L392" s="1919"/>
      <c r="M392" s="1919"/>
      <c r="N392" s="1919"/>
      <c r="O392" s="1920"/>
    </row>
    <row r="393" spans="2:15">
      <c r="B393" s="1910"/>
      <c r="C393" s="1913"/>
      <c r="D393" s="125" t="s">
        <v>286</v>
      </c>
      <c r="E393" s="1918"/>
      <c r="F393" s="1919"/>
      <c r="G393" s="1919"/>
      <c r="H393" s="1919"/>
      <c r="I393" s="1919"/>
      <c r="J393" s="1919"/>
      <c r="K393" s="1919"/>
      <c r="L393" s="1919"/>
      <c r="M393" s="1919"/>
      <c r="N393" s="1919"/>
      <c r="O393" s="1920"/>
    </row>
    <row r="394" spans="2:15">
      <c r="B394" s="1910"/>
      <c r="C394" s="1913"/>
      <c r="D394" s="125" t="s">
        <v>540</v>
      </c>
      <c r="E394" s="1918"/>
      <c r="F394" s="1919"/>
      <c r="G394" s="1919"/>
      <c r="H394" s="1919"/>
      <c r="I394" s="1919"/>
      <c r="J394" s="1919"/>
      <c r="K394" s="1919"/>
      <c r="L394" s="1919"/>
      <c r="M394" s="1919"/>
      <c r="N394" s="1919"/>
      <c r="O394" s="1920"/>
    </row>
    <row r="395" spans="2:15">
      <c r="B395" s="1910"/>
      <c r="C395" s="1913"/>
      <c r="D395" s="125" t="s">
        <v>288</v>
      </c>
      <c r="E395" s="1918"/>
      <c r="F395" s="1919"/>
      <c r="G395" s="1919"/>
      <c r="H395" s="1919"/>
      <c r="I395" s="1919"/>
      <c r="J395" s="1919"/>
      <c r="K395" s="1919"/>
      <c r="L395" s="1919"/>
      <c r="M395" s="1919"/>
      <c r="N395" s="1919"/>
      <c r="O395" s="1920"/>
    </row>
    <row r="396" spans="2:15">
      <c r="B396" s="1910"/>
      <c r="C396" s="1913"/>
      <c r="D396" s="125" t="s">
        <v>289</v>
      </c>
      <c r="E396" s="1918"/>
      <c r="F396" s="1919"/>
      <c r="G396" s="1919"/>
      <c r="H396" s="1919"/>
      <c r="I396" s="1919"/>
      <c r="J396" s="1919"/>
      <c r="K396" s="1919"/>
      <c r="L396" s="1919"/>
      <c r="M396" s="1919"/>
      <c r="N396" s="1919"/>
      <c r="O396" s="1920"/>
    </row>
    <row r="397" spans="2:15">
      <c r="B397" s="1910"/>
      <c r="C397" s="1913"/>
      <c r="D397" s="125" t="s">
        <v>290</v>
      </c>
      <c r="E397" s="1918"/>
      <c r="F397" s="1919"/>
      <c r="G397" s="1919"/>
      <c r="H397" s="1919"/>
      <c r="I397" s="1919"/>
      <c r="J397" s="1919"/>
      <c r="K397" s="1919"/>
      <c r="L397" s="1919"/>
      <c r="M397" s="1919"/>
      <c r="N397" s="1919"/>
      <c r="O397" s="1920"/>
    </row>
    <row r="398" spans="2:15">
      <c r="B398" s="1911"/>
      <c r="C398" s="1914"/>
      <c r="D398" s="125" t="s">
        <v>291</v>
      </c>
      <c r="E398" s="1918"/>
      <c r="F398" s="1919"/>
      <c r="G398" s="1919"/>
      <c r="H398" s="1919"/>
      <c r="I398" s="1919"/>
      <c r="J398" s="1919"/>
      <c r="K398" s="1919"/>
      <c r="L398" s="1919"/>
      <c r="M398" s="1919"/>
      <c r="N398" s="1919"/>
      <c r="O398" s="1920"/>
    </row>
    <row r="399" spans="2:15">
      <c r="B399" s="99">
        <v>3</v>
      </c>
      <c r="C399" s="124"/>
      <c r="D399" s="124"/>
      <c r="E399" s="1918"/>
      <c r="F399" s="1919"/>
      <c r="G399" s="1919"/>
      <c r="H399" s="1919"/>
      <c r="I399" s="1919"/>
      <c r="J399" s="1919"/>
      <c r="K399" s="1919"/>
      <c r="L399" s="1919"/>
      <c r="M399" s="1919"/>
      <c r="N399" s="1919"/>
      <c r="O399" s="1920"/>
    </row>
    <row r="400" spans="2:15">
      <c r="B400" s="99" t="s">
        <v>478</v>
      </c>
      <c r="C400" s="126"/>
      <c r="D400" s="126"/>
      <c r="E400" s="1921"/>
      <c r="F400" s="1922"/>
      <c r="G400" s="1922"/>
      <c r="H400" s="1922"/>
      <c r="I400" s="1922"/>
      <c r="J400" s="1922"/>
      <c r="K400" s="1922"/>
      <c r="L400" s="1922"/>
      <c r="M400" s="1922"/>
      <c r="N400" s="1922"/>
      <c r="O400" s="1923"/>
    </row>
    <row r="402" spans="2:2">
      <c r="B402" s="250" t="s">
        <v>541</v>
      </c>
    </row>
    <row r="403" spans="2:2">
      <c r="B403" s="250" t="s">
        <v>606</v>
      </c>
    </row>
    <row r="404" spans="2:2">
      <c r="B404" s="250" t="s">
        <v>542</v>
      </c>
    </row>
    <row r="405" spans="2:2">
      <c r="B405" s="250" t="s">
        <v>608</v>
      </c>
    </row>
  </sheetData>
  <mergeCells count="15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 ref="B151:B162"/>
    <mergeCell ref="C151:C162"/>
    <mergeCell ref="B222:C222"/>
    <mergeCell ref="B224:B225"/>
    <mergeCell ref="C224:C225"/>
    <mergeCell ref="B166:C166"/>
    <mergeCell ref="B168:B169"/>
    <mergeCell ref="C168:C169"/>
    <mergeCell ref="B186:C186"/>
    <mergeCell ref="B188:B189"/>
    <mergeCell ref="C188:C189"/>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B2:U69"/>
  <sheetViews>
    <sheetView showGridLines="0" view="pageBreakPreview" zoomScale="75" zoomScaleNormal="75" zoomScaleSheetLayoutView="75" workbookViewId="0">
      <selection activeCell="G37" sqref="G37"/>
    </sheetView>
  </sheetViews>
  <sheetFormatPr defaultColWidth="9.36328125" defaultRowHeight="14"/>
  <cols>
    <col min="1" max="1" width="6.6328125" style="14" customWidth="1"/>
    <col min="2" max="2" width="41.36328125" style="98" bestFit="1" customWidth="1"/>
    <col min="3" max="3" width="36.453125" style="14" customWidth="1"/>
    <col min="4" max="4" width="12" style="14" customWidth="1"/>
    <col min="5" max="5" width="11.6328125" style="14" customWidth="1"/>
    <col min="6" max="6" width="11" style="14" customWidth="1"/>
    <col min="7" max="7" width="14.453125" style="14" customWidth="1"/>
    <col min="8" max="8" width="13.6328125" style="14" customWidth="1"/>
    <col min="9" max="9" width="16" style="14" customWidth="1"/>
    <col min="10" max="10" width="14.36328125" style="14" customWidth="1"/>
    <col min="11" max="11" width="11.6328125" style="14" customWidth="1"/>
    <col min="12" max="12" width="11" style="14" customWidth="1"/>
    <col min="13" max="13" width="13.6328125" style="14" customWidth="1"/>
    <col min="14" max="14" width="16" style="14" customWidth="1"/>
    <col min="15" max="16384" width="9.36328125" style="14"/>
  </cols>
  <sheetData>
    <row r="2" spans="2:14">
      <c r="C2" s="22"/>
      <c r="D2" s="22"/>
      <c r="E2" s="15" t="str">
        <f>Index!B2</f>
        <v xml:space="preserve">      Maharashtra State Power Generation Company Ltd.</v>
      </c>
      <c r="F2" s="22"/>
      <c r="G2" s="22"/>
      <c r="H2" s="22"/>
      <c r="I2" s="22"/>
    </row>
    <row r="3" spans="2:14" s="1" customFormat="1">
      <c r="C3" s="279"/>
      <c r="D3" s="279"/>
      <c r="E3" s="15" t="str">
        <f>Index!B3</f>
        <v>MYT Petition Formats for Bhusawal Units 4&amp;5</v>
      </c>
      <c r="F3" s="279"/>
      <c r="G3" s="279"/>
      <c r="H3" s="279"/>
      <c r="I3" s="279"/>
      <c r="J3" s="129"/>
      <c r="K3" s="129"/>
      <c r="L3" s="129"/>
      <c r="M3" s="129"/>
    </row>
    <row r="4" spans="2:14" s="1" customFormat="1">
      <c r="C4" s="44"/>
      <c r="D4" s="44"/>
      <c r="E4" s="130" t="s">
        <v>701</v>
      </c>
      <c r="F4" s="44"/>
      <c r="G4" s="44"/>
      <c r="H4" s="44"/>
      <c r="I4" s="44"/>
      <c r="J4" s="44"/>
      <c r="K4" s="44"/>
      <c r="L4" s="44"/>
      <c r="M4" s="44"/>
      <c r="N4" s="44"/>
    </row>
    <row r="5" spans="2:14" s="1" customFormat="1">
      <c r="B5" s="130"/>
      <c r="C5" s="130"/>
      <c r="D5" s="130"/>
      <c r="E5" s="130"/>
      <c r="F5" s="130"/>
      <c r="G5" s="130"/>
      <c r="H5" s="130"/>
      <c r="I5" s="130"/>
      <c r="J5" s="44"/>
      <c r="K5" s="44"/>
      <c r="L5" s="44"/>
      <c r="M5" s="44"/>
      <c r="N5" s="44"/>
    </row>
    <row r="6" spans="2:14" s="1" customFormat="1">
      <c r="B6" s="278" t="s">
        <v>964</v>
      </c>
      <c r="C6" s="277"/>
      <c r="D6" s="277"/>
      <c r="E6" s="277"/>
      <c r="F6" s="277"/>
      <c r="G6" s="277"/>
      <c r="H6" s="277"/>
      <c r="I6" s="267"/>
      <c r="J6" s="267"/>
      <c r="K6" s="44"/>
      <c r="L6" s="44"/>
      <c r="M6" s="44"/>
      <c r="N6" s="44"/>
    </row>
    <row r="7" spans="2:14" s="1" customFormat="1">
      <c r="B7" s="278"/>
      <c r="C7" s="277"/>
      <c r="D7" s="277"/>
      <c r="E7" s="277"/>
      <c r="F7" s="277"/>
      <c r="G7" s="277"/>
      <c r="H7" s="277"/>
      <c r="I7" s="267"/>
      <c r="J7" s="267"/>
      <c r="K7" s="44"/>
      <c r="L7" s="44"/>
      <c r="M7" s="44"/>
      <c r="N7" s="44"/>
    </row>
    <row r="8" spans="2:14" s="1" customFormat="1">
      <c r="B8" s="271" t="s">
        <v>596</v>
      </c>
      <c r="C8" s="277"/>
      <c r="D8" s="277"/>
      <c r="E8" s="277"/>
      <c r="F8" s="277"/>
      <c r="G8" s="277"/>
      <c r="H8" s="277"/>
      <c r="I8" s="267"/>
      <c r="J8" s="267"/>
      <c r="K8" s="44"/>
      <c r="L8" s="44"/>
      <c r="M8" s="44"/>
      <c r="N8" s="44"/>
    </row>
    <row r="9" spans="2:14" s="1" customFormat="1">
      <c r="B9" s="267"/>
      <c r="C9" s="267"/>
      <c r="D9" s="267"/>
      <c r="E9" s="267"/>
      <c r="F9" s="267"/>
      <c r="G9" s="267"/>
      <c r="H9" s="267"/>
      <c r="I9" s="267"/>
      <c r="J9" s="267"/>
      <c r="K9" s="44"/>
      <c r="L9" s="44"/>
      <c r="M9" s="44"/>
      <c r="N9" s="44"/>
    </row>
    <row r="10" spans="2:14" s="1" customFormat="1">
      <c r="B10" s="1933" t="s">
        <v>37</v>
      </c>
      <c r="C10" s="1935" t="s">
        <v>594</v>
      </c>
      <c r="D10" s="1936"/>
      <c r="E10" s="1937"/>
      <c r="F10" s="1935" t="s">
        <v>593</v>
      </c>
      <c r="G10" s="1936"/>
      <c r="H10" s="1937"/>
      <c r="I10" s="1938" t="s">
        <v>592</v>
      </c>
      <c r="J10" s="1938" t="s">
        <v>591</v>
      </c>
      <c r="K10" s="44"/>
      <c r="L10" s="44"/>
      <c r="M10" s="44"/>
      <c r="N10" s="44"/>
    </row>
    <row r="11" spans="2:14" s="1" customFormat="1" ht="28">
      <c r="B11" s="1934"/>
      <c r="C11" s="276" t="s">
        <v>590</v>
      </c>
      <c r="D11" s="276" t="s">
        <v>587</v>
      </c>
      <c r="E11" s="276" t="s">
        <v>589</v>
      </c>
      <c r="F11" s="276" t="s">
        <v>588</v>
      </c>
      <c r="G11" s="276" t="s">
        <v>587</v>
      </c>
      <c r="H11" s="275" t="s">
        <v>586</v>
      </c>
      <c r="I11" s="1938"/>
      <c r="J11" s="1938"/>
      <c r="K11" s="44"/>
      <c r="L11" s="44"/>
      <c r="M11" s="44"/>
      <c r="N11" s="44"/>
    </row>
    <row r="12" spans="2:14" s="1" customFormat="1">
      <c r="B12" s="274"/>
      <c r="C12" s="273"/>
      <c r="D12" s="273"/>
      <c r="E12" s="273"/>
      <c r="F12" s="273"/>
      <c r="G12" s="273"/>
      <c r="H12" s="272"/>
      <c r="I12" s="272"/>
      <c r="J12" s="272"/>
      <c r="K12" s="44"/>
      <c r="L12" s="44"/>
      <c r="M12" s="44"/>
      <c r="N12" s="44"/>
    </row>
    <row r="13" spans="2:14" s="1" customFormat="1">
      <c r="B13" s="270" t="s">
        <v>585</v>
      </c>
      <c r="C13" s="269"/>
      <c r="D13" s="269"/>
      <c r="E13" s="269"/>
      <c r="F13" s="269"/>
      <c r="G13" s="269"/>
      <c r="H13" s="269"/>
      <c r="I13" s="268"/>
      <c r="J13" s="268"/>
      <c r="K13" s="44"/>
      <c r="L13" s="44"/>
      <c r="M13" s="44"/>
      <c r="N13" s="44"/>
    </row>
    <row r="14" spans="2:14" s="1" customFormat="1">
      <c r="B14" s="270"/>
      <c r="C14" s="269"/>
      <c r="D14" s="269"/>
      <c r="E14" s="269"/>
      <c r="F14" s="269"/>
      <c r="G14" s="269"/>
      <c r="H14" s="269"/>
      <c r="I14" s="268"/>
      <c r="J14" s="268"/>
      <c r="K14" s="44"/>
      <c r="L14" s="44"/>
      <c r="M14" s="44"/>
      <c r="N14" s="44"/>
    </row>
    <row r="15" spans="2:14" s="1" customFormat="1">
      <c r="B15" s="268" t="s">
        <v>584</v>
      </c>
      <c r="C15" s="269"/>
      <c r="D15" s="269"/>
      <c r="E15" s="269"/>
      <c r="F15" s="269"/>
      <c r="G15" s="269"/>
      <c r="H15" s="269"/>
      <c r="I15" s="268"/>
      <c r="J15" s="268"/>
      <c r="K15" s="44"/>
      <c r="L15" s="44"/>
      <c r="M15" s="44"/>
      <c r="N15" s="44"/>
    </row>
    <row r="16" spans="2:14" s="1" customFormat="1">
      <c r="B16" s="268" t="s">
        <v>583</v>
      </c>
      <c r="C16" s="269"/>
      <c r="D16" s="269"/>
      <c r="E16" s="269"/>
      <c r="F16" s="269"/>
      <c r="G16" s="269"/>
      <c r="H16" s="269"/>
      <c r="I16" s="268"/>
      <c r="J16" s="268"/>
      <c r="K16" s="44"/>
      <c r="L16" s="44"/>
      <c r="M16" s="44"/>
      <c r="N16" s="44"/>
    </row>
    <row r="17" spans="2:14" s="1" customFormat="1">
      <c r="B17" s="268" t="s">
        <v>582</v>
      </c>
      <c r="C17" s="269"/>
      <c r="D17" s="269"/>
      <c r="E17" s="269"/>
      <c r="F17" s="269"/>
      <c r="G17" s="269"/>
      <c r="H17" s="269"/>
      <c r="I17" s="268"/>
      <c r="J17" s="268"/>
      <c r="K17" s="44"/>
      <c r="L17" s="44"/>
      <c r="M17" s="44"/>
      <c r="N17" s="44"/>
    </row>
    <row r="18" spans="2:14" s="1" customFormat="1">
      <c r="B18" s="268" t="s">
        <v>577</v>
      </c>
      <c r="C18" s="269"/>
      <c r="D18" s="269"/>
      <c r="E18" s="269"/>
      <c r="F18" s="269"/>
      <c r="G18" s="269"/>
      <c r="H18" s="269"/>
      <c r="I18" s="268"/>
      <c r="J18" s="268"/>
      <c r="K18" s="44"/>
      <c r="L18" s="44"/>
      <c r="M18" s="44"/>
      <c r="N18" s="44"/>
    </row>
    <row r="19" spans="2:14" s="1" customFormat="1">
      <c r="B19" s="270" t="s">
        <v>272</v>
      </c>
      <c r="C19" s="269"/>
      <c r="D19" s="269"/>
      <c r="E19" s="269"/>
      <c r="F19" s="269"/>
      <c r="G19" s="269"/>
      <c r="H19" s="269"/>
      <c r="I19" s="268"/>
      <c r="J19" s="268"/>
      <c r="K19" s="44"/>
      <c r="L19" s="44"/>
      <c r="M19" s="44"/>
      <c r="N19" s="44"/>
    </row>
    <row r="20" spans="2:14" s="1" customFormat="1">
      <c r="B20" s="270"/>
      <c r="C20" s="269"/>
      <c r="D20" s="269"/>
      <c r="E20" s="269"/>
      <c r="F20" s="269"/>
      <c r="G20" s="269"/>
      <c r="H20" s="269"/>
      <c r="I20" s="268"/>
      <c r="J20" s="268"/>
      <c r="K20" s="44"/>
      <c r="L20" s="44"/>
      <c r="M20" s="44"/>
      <c r="N20" s="44"/>
    </row>
    <row r="21" spans="2:14" s="1" customFormat="1">
      <c r="B21" s="270"/>
      <c r="C21" s="269"/>
      <c r="D21" s="269"/>
      <c r="E21" s="269"/>
      <c r="F21" s="269"/>
      <c r="G21" s="269"/>
      <c r="H21" s="269"/>
      <c r="I21" s="268"/>
      <c r="J21" s="268"/>
      <c r="K21" s="44"/>
      <c r="L21" s="44"/>
      <c r="M21" s="44"/>
      <c r="N21" s="44"/>
    </row>
    <row r="22" spans="2:14" s="1" customFormat="1">
      <c r="B22" s="270" t="s">
        <v>581</v>
      </c>
      <c r="C22" s="269"/>
      <c r="D22" s="269"/>
      <c r="E22" s="269"/>
      <c r="F22" s="269"/>
      <c r="G22" s="269"/>
      <c r="H22" s="269"/>
      <c r="I22" s="268"/>
      <c r="J22" s="268"/>
      <c r="K22" s="44"/>
      <c r="L22" s="44"/>
      <c r="M22" s="44"/>
      <c r="N22" s="44"/>
    </row>
    <row r="23" spans="2:14" s="1" customFormat="1">
      <c r="B23" s="268"/>
      <c r="C23" s="269"/>
      <c r="D23" s="269"/>
      <c r="E23" s="269"/>
      <c r="F23" s="269"/>
      <c r="G23" s="269"/>
      <c r="H23" s="269"/>
      <c r="I23" s="268"/>
      <c r="J23" s="268"/>
      <c r="K23" s="44"/>
      <c r="L23" s="44"/>
      <c r="M23" s="44"/>
      <c r="N23" s="44"/>
    </row>
    <row r="24" spans="2:14" s="1" customFormat="1">
      <c r="B24" s="268" t="s">
        <v>580</v>
      </c>
      <c r="C24" s="269"/>
      <c r="D24" s="269"/>
      <c r="E24" s="269"/>
      <c r="F24" s="269"/>
      <c r="G24" s="269"/>
      <c r="H24" s="269"/>
      <c r="I24" s="268"/>
      <c r="J24" s="268"/>
      <c r="K24" s="44"/>
      <c r="L24" s="44"/>
      <c r="M24" s="44"/>
      <c r="N24" s="44"/>
    </row>
    <row r="25" spans="2:14" s="1" customFormat="1">
      <c r="B25" s="268" t="s">
        <v>579</v>
      </c>
      <c r="C25" s="269"/>
      <c r="D25" s="269"/>
      <c r="E25" s="269"/>
      <c r="F25" s="269"/>
      <c r="G25" s="269"/>
      <c r="H25" s="269"/>
      <c r="I25" s="268"/>
      <c r="J25" s="268"/>
      <c r="K25" s="44"/>
      <c r="L25" s="44"/>
      <c r="M25" s="44"/>
      <c r="N25" s="44"/>
    </row>
    <row r="26" spans="2:14" s="1" customFormat="1">
      <c r="B26" s="268" t="s">
        <v>578</v>
      </c>
      <c r="C26" s="269"/>
      <c r="D26" s="269"/>
      <c r="E26" s="269"/>
      <c r="F26" s="269"/>
      <c r="G26" s="269"/>
      <c r="H26" s="269"/>
      <c r="I26" s="268"/>
      <c r="J26" s="268"/>
      <c r="K26" s="44"/>
      <c r="L26" s="44"/>
      <c r="M26" s="44"/>
      <c r="N26" s="44"/>
    </row>
    <row r="27" spans="2:14" s="1" customFormat="1">
      <c r="B27" s="268" t="s">
        <v>577</v>
      </c>
      <c r="C27" s="269"/>
      <c r="D27" s="269"/>
      <c r="E27" s="269"/>
      <c r="F27" s="269"/>
      <c r="G27" s="269"/>
      <c r="H27" s="269"/>
      <c r="I27" s="268"/>
      <c r="J27" s="268"/>
      <c r="K27" s="44"/>
      <c r="L27" s="44"/>
      <c r="M27" s="44"/>
      <c r="N27" s="44"/>
    </row>
    <row r="28" spans="2:14" s="1" customFormat="1">
      <c r="B28" s="270" t="s">
        <v>272</v>
      </c>
      <c r="C28" s="269"/>
      <c r="D28" s="269"/>
      <c r="E28" s="269"/>
      <c r="F28" s="269"/>
      <c r="G28" s="269"/>
      <c r="H28" s="269"/>
      <c r="I28" s="268"/>
      <c r="J28" s="268"/>
      <c r="K28" s="44"/>
      <c r="L28" s="44"/>
      <c r="M28" s="44"/>
      <c r="N28" s="44"/>
    </row>
    <row r="29" spans="2:14" s="1" customFormat="1">
      <c r="B29" s="270"/>
      <c r="C29" s="269"/>
      <c r="D29" s="269"/>
      <c r="E29" s="269"/>
      <c r="F29" s="269"/>
      <c r="G29" s="269"/>
      <c r="H29" s="269"/>
      <c r="I29" s="268"/>
      <c r="J29" s="268"/>
      <c r="K29" s="44"/>
      <c r="L29" s="44"/>
      <c r="M29" s="44"/>
      <c r="N29" s="44"/>
    </row>
    <row r="30" spans="2:14" s="1" customFormat="1">
      <c r="B30" s="270" t="s">
        <v>597</v>
      </c>
      <c r="C30" s="269"/>
      <c r="D30" s="269"/>
      <c r="E30" s="269"/>
      <c r="F30" s="269"/>
      <c r="G30" s="269"/>
      <c r="H30" s="269"/>
      <c r="I30" s="268"/>
      <c r="J30" s="268"/>
      <c r="K30" s="44"/>
      <c r="L30" s="44"/>
      <c r="M30" s="44"/>
      <c r="N30" s="44"/>
    </row>
    <row r="31" spans="2:14" s="1" customFormat="1">
      <c r="B31" s="268"/>
      <c r="C31" s="269"/>
      <c r="D31" s="269"/>
      <c r="E31" s="269"/>
      <c r="F31" s="269"/>
      <c r="G31" s="269"/>
      <c r="H31" s="269"/>
      <c r="I31" s="268"/>
      <c r="J31" s="268"/>
      <c r="K31" s="44"/>
      <c r="L31" s="44"/>
      <c r="M31" s="44"/>
      <c r="N31" s="44"/>
    </row>
    <row r="32" spans="2:14" s="1" customFormat="1">
      <c r="B32" s="268" t="s">
        <v>598</v>
      </c>
      <c r="C32" s="269"/>
      <c r="D32" s="269"/>
      <c r="E32" s="269"/>
      <c r="F32" s="269"/>
      <c r="G32" s="269"/>
      <c r="H32" s="269"/>
      <c r="I32" s="268"/>
      <c r="J32" s="268"/>
      <c r="K32" s="44"/>
      <c r="L32" s="44"/>
      <c r="M32" s="44"/>
      <c r="N32" s="44"/>
    </row>
    <row r="33" spans="2:21" s="1" customFormat="1">
      <c r="B33" s="268" t="s">
        <v>599</v>
      </c>
      <c r="C33" s="269"/>
      <c r="D33" s="269"/>
      <c r="E33" s="269"/>
      <c r="F33" s="269"/>
      <c r="G33" s="269"/>
      <c r="H33" s="269"/>
      <c r="I33" s="268"/>
      <c r="J33" s="268"/>
      <c r="K33" s="44"/>
      <c r="L33" s="44"/>
      <c r="M33" s="44"/>
      <c r="N33" s="44"/>
    </row>
    <row r="34" spans="2:21" s="1" customFormat="1">
      <c r="B34" s="268" t="s">
        <v>600</v>
      </c>
      <c r="C34" s="269"/>
      <c r="D34" s="269"/>
      <c r="E34" s="269"/>
      <c r="F34" s="269"/>
      <c r="G34" s="269"/>
      <c r="H34" s="269"/>
      <c r="I34" s="268"/>
      <c r="J34" s="268"/>
      <c r="K34" s="44"/>
      <c r="L34" s="44"/>
      <c r="M34" s="44"/>
      <c r="N34" s="44"/>
    </row>
    <row r="35" spans="2:21" s="1" customFormat="1">
      <c r="B35" s="268" t="s">
        <v>577</v>
      </c>
      <c r="C35" s="269"/>
      <c r="D35" s="269"/>
      <c r="E35" s="269"/>
      <c r="F35" s="269"/>
      <c r="G35" s="269"/>
      <c r="H35" s="269"/>
      <c r="I35" s="268"/>
      <c r="J35" s="268"/>
      <c r="K35" s="44"/>
      <c r="L35" s="44"/>
      <c r="M35" s="44"/>
      <c r="N35" s="44"/>
    </row>
    <row r="36" spans="2:21" s="1" customFormat="1">
      <c r="B36" s="270" t="s">
        <v>272</v>
      </c>
      <c r="C36" s="269"/>
      <c r="D36" s="269"/>
      <c r="E36" s="269"/>
      <c r="F36" s="269"/>
      <c r="G36" s="269"/>
      <c r="H36" s="269"/>
      <c r="I36" s="268"/>
      <c r="J36" s="268"/>
      <c r="K36" s="44"/>
      <c r="L36" s="44"/>
      <c r="M36" s="44"/>
      <c r="N36" s="44"/>
    </row>
    <row r="37" spans="2:21" s="1" customFormat="1">
      <c r="B37" s="271"/>
      <c r="C37" s="277"/>
      <c r="D37" s="277"/>
      <c r="E37" s="277"/>
      <c r="F37" s="277"/>
      <c r="G37" s="277"/>
      <c r="H37" s="277"/>
      <c r="I37" s="267"/>
      <c r="J37" s="267"/>
      <c r="K37" s="44"/>
      <c r="L37" s="44"/>
      <c r="M37" s="44"/>
      <c r="N37" s="44"/>
    </row>
    <row r="38" spans="2:21" s="1" customFormat="1">
      <c r="B38" s="130"/>
      <c r="C38" s="130"/>
      <c r="D38" s="130"/>
      <c r="E38" s="130"/>
      <c r="F38" s="130"/>
      <c r="G38" s="130"/>
      <c r="H38" s="130"/>
      <c r="I38" s="130"/>
      <c r="J38" s="44"/>
      <c r="K38" s="44"/>
      <c r="L38" s="44"/>
      <c r="M38" s="44"/>
      <c r="N38" s="44"/>
    </row>
    <row r="39" spans="2:21" s="267" customFormat="1">
      <c r="B39" s="278" t="s">
        <v>965</v>
      </c>
      <c r="C39" s="277"/>
      <c r="D39" s="277"/>
      <c r="E39" s="277"/>
      <c r="F39" s="277"/>
      <c r="G39" s="277"/>
      <c r="H39" s="277"/>
    </row>
    <row r="40" spans="2:21" s="267" customFormat="1">
      <c r="B40" s="278"/>
      <c r="C40" s="277"/>
      <c r="D40" s="277"/>
      <c r="E40" s="277"/>
      <c r="F40" s="277"/>
      <c r="G40" s="277"/>
      <c r="H40" s="277"/>
    </row>
    <row r="41" spans="2:21" s="267" customFormat="1">
      <c r="B41" s="271" t="s">
        <v>596</v>
      </c>
      <c r="C41" s="277"/>
      <c r="D41" s="277"/>
      <c r="E41" s="277"/>
      <c r="F41" s="277"/>
      <c r="G41" s="277"/>
      <c r="H41" s="277"/>
    </row>
    <row r="42" spans="2:21" s="267" customFormat="1"/>
    <row r="43" spans="2:21" s="267" customFormat="1">
      <c r="B43" s="1933" t="s">
        <v>37</v>
      </c>
      <c r="C43" s="1935" t="s">
        <v>594</v>
      </c>
      <c r="D43" s="1936"/>
      <c r="E43" s="1937"/>
      <c r="F43" s="1935" t="s">
        <v>593</v>
      </c>
      <c r="G43" s="1936"/>
      <c r="H43" s="1937"/>
      <c r="I43" s="1938" t="s">
        <v>592</v>
      </c>
      <c r="J43" s="1938" t="s">
        <v>591</v>
      </c>
    </row>
    <row r="44" spans="2:21" s="267" customFormat="1" ht="28">
      <c r="B44" s="1934"/>
      <c r="C44" s="276" t="s">
        <v>590</v>
      </c>
      <c r="D44" s="276" t="s">
        <v>587</v>
      </c>
      <c r="E44" s="276" t="s">
        <v>589</v>
      </c>
      <c r="F44" s="276" t="s">
        <v>588</v>
      </c>
      <c r="G44" s="276" t="s">
        <v>587</v>
      </c>
      <c r="H44" s="275" t="s">
        <v>586</v>
      </c>
      <c r="I44" s="1938"/>
      <c r="J44" s="1938"/>
    </row>
    <row r="45" spans="2:21" s="267" customFormat="1">
      <c r="B45" s="274"/>
      <c r="C45" s="273"/>
      <c r="D45" s="273"/>
      <c r="E45" s="273"/>
      <c r="F45" s="273"/>
      <c r="G45" s="273"/>
      <c r="H45" s="272"/>
      <c r="I45" s="272"/>
      <c r="J45" s="272"/>
    </row>
    <row r="46" spans="2:21" s="271" customFormat="1">
      <c r="B46" s="270" t="s">
        <v>585</v>
      </c>
      <c r="C46" s="269"/>
      <c r="D46" s="269"/>
      <c r="E46" s="269"/>
      <c r="F46" s="269"/>
      <c r="G46" s="269"/>
      <c r="H46" s="269"/>
      <c r="I46" s="268"/>
      <c r="J46" s="268"/>
      <c r="K46" s="267"/>
      <c r="L46" s="267"/>
      <c r="M46" s="267"/>
      <c r="N46" s="267"/>
      <c r="O46" s="267"/>
      <c r="P46" s="267"/>
      <c r="Q46" s="267"/>
      <c r="R46" s="267"/>
      <c r="S46" s="267"/>
      <c r="T46" s="267"/>
      <c r="U46" s="267"/>
    </row>
    <row r="47" spans="2:21" s="271" customFormat="1">
      <c r="B47" s="270"/>
      <c r="C47" s="269"/>
      <c r="D47" s="269"/>
      <c r="E47" s="269"/>
      <c r="F47" s="269"/>
      <c r="G47" s="269"/>
      <c r="H47" s="269"/>
      <c r="I47" s="268"/>
      <c r="J47" s="268"/>
      <c r="K47" s="267"/>
      <c r="L47" s="267"/>
      <c r="M47" s="267"/>
      <c r="N47" s="267"/>
      <c r="O47" s="267"/>
      <c r="P47" s="267"/>
      <c r="Q47" s="267"/>
      <c r="R47" s="267"/>
      <c r="S47" s="267"/>
      <c r="T47" s="267"/>
      <c r="U47" s="267"/>
    </row>
    <row r="48" spans="2:21" s="271" customFormat="1">
      <c r="B48" s="268" t="s">
        <v>584</v>
      </c>
      <c r="C48" s="269"/>
      <c r="D48" s="269"/>
      <c r="E48" s="269"/>
      <c r="F48" s="269"/>
      <c r="G48" s="269"/>
      <c r="H48" s="269"/>
      <c r="I48" s="268"/>
      <c r="J48" s="268"/>
      <c r="K48" s="267"/>
      <c r="L48" s="267"/>
      <c r="M48" s="267"/>
      <c r="N48" s="267"/>
      <c r="O48" s="267"/>
      <c r="P48" s="267"/>
      <c r="Q48" s="267"/>
      <c r="R48" s="267"/>
      <c r="S48" s="267"/>
      <c r="T48" s="267"/>
      <c r="U48" s="267"/>
    </row>
    <row r="49" spans="2:21" s="271" customFormat="1">
      <c r="B49" s="268" t="s">
        <v>583</v>
      </c>
      <c r="C49" s="269"/>
      <c r="D49" s="269"/>
      <c r="E49" s="269"/>
      <c r="F49" s="269"/>
      <c r="G49" s="269"/>
      <c r="H49" s="269"/>
      <c r="I49" s="268"/>
      <c r="J49" s="268"/>
      <c r="K49" s="267"/>
      <c r="L49" s="267"/>
      <c r="M49" s="267"/>
      <c r="N49" s="267"/>
      <c r="O49" s="267"/>
      <c r="P49" s="267"/>
      <c r="Q49" s="267"/>
      <c r="R49" s="267"/>
      <c r="S49" s="267"/>
      <c r="T49" s="267"/>
      <c r="U49" s="267"/>
    </row>
    <row r="50" spans="2:21" s="271" customFormat="1">
      <c r="B50" s="268" t="s">
        <v>582</v>
      </c>
      <c r="C50" s="269"/>
      <c r="D50" s="269"/>
      <c r="E50" s="269"/>
      <c r="F50" s="269"/>
      <c r="G50" s="269"/>
      <c r="H50" s="269"/>
      <c r="I50" s="268"/>
      <c r="J50" s="268"/>
      <c r="K50" s="267"/>
      <c r="L50" s="267"/>
      <c r="M50" s="267"/>
      <c r="N50" s="267"/>
      <c r="O50" s="267"/>
      <c r="P50" s="267"/>
      <c r="Q50" s="267"/>
      <c r="R50" s="267"/>
      <c r="S50" s="267"/>
      <c r="T50" s="267"/>
      <c r="U50" s="267"/>
    </row>
    <row r="51" spans="2:21" s="271" customFormat="1">
      <c r="B51" s="268" t="s">
        <v>577</v>
      </c>
      <c r="C51" s="269"/>
      <c r="D51" s="269"/>
      <c r="E51" s="269"/>
      <c r="F51" s="269"/>
      <c r="G51" s="269"/>
      <c r="H51" s="269"/>
      <c r="I51" s="268"/>
      <c r="J51" s="268"/>
      <c r="K51" s="267"/>
      <c r="L51" s="267"/>
      <c r="M51" s="267"/>
      <c r="N51" s="267"/>
      <c r="O51" s="267"/>
      <c r="P51" s="267"/>
      <c r="Q51" s="267"/>
      <c r="R51" s="267"/>
      <c r="S51" s="267"/>
      <c r="T51" s="267"/>
      <c r="U51" s="267"/>
    </row>
    <row r="52" spans="2:21" s="267" customFormat="1">
      <c r="B52" s="270" t="s">
        <v>272</v>
      </c>
      <c r="C52" s="269"/>
      <c r="D52" s="269"/>
      <c r="E52" s="269"/>
      <c r="F52" s="269"/>
      <c r="G52" s="269"/>
      <c r="H52" s="269"/>
      <c r="I52" s="268"/>
      <c r="J52" s="268"/>
    </row>
    <row r="53" spans="2:21" s="267" customFormat="1">
      <c r="B53" s="270"/>
      <c r="C53" s="269"/>
      <c r="D53" s="269"/>
      <c r="E53" s="269"/>
      <c r="F53" s="269"/>
      <c r="G53" s="269"/>
      <c r="H53" s="269"/>
      <c r="I53" s="268"/>
      <c r="J53" s="268"/>
    </row>
    <row r="54" spans="2:21" s="267" customFormat="1">
      <c r="B54" s="270"/>
      <c r="C54" s="269"/>
      <c r="D54" s="269"/>
      <c r="E54" s="269"/>
      <c r="F54" s="269"/>
      <c r="G54" s="269"/>
      <c r="H54" s="269"/>
      <c r="I54" s="268"/>
      <c r="J54" s="268"/>
    </row>
    <row r="55" spans="2:21" s="271" customFormat="1">
      <c r="B55" s="270" t="s">
        <v>581</v>
      </c>
      <c r="C55" s="269"/>
      <c r="D55" s="269"/>
      <c r="E55" s="269"/>
      <c r="F55" s="269"/>
      <c r="G55" s="269"/>
      <c r="H55" s="269"/>
      <c r="I55" s="268"/>
      <c r="J55" s="268"/>
      <c r="K55" s="267"/>
      <c r="L55" s="267"/>
      <c r="M55" s="267"/>
      <c r="N55" s="267"/>
      <c r="O55" s="267"/>
      <c r="P55" s="267"/>
      <c r="Q55" s="267"/>
      <c r="R55" s="267"/>
      <c r="S55" s="267"/>
      <c r="T55" s="267"/>
      <c r="U55" s="267"/>
    </row>
    <row r="56" spans="2:21" s="267" customFormat="1">
      <c r="B56" s="268"/>
      <c r="C56" s="269"/>
      <c r="D56" s="269"/>
      <c r="E56" s="269"/>
      <c r="F56" s="269"/>
      <c r="G56" s="269"/>
      <c r="H56" s="269"/>
      <c r="I56" s="268"/>
      <c r="J56" s="268"/>
    </row>
    <row r="57" spans="2:21" s="267" customFormat="1">
      <c r="B57" s="268" t="s">
        <v>580</v>
      </c>
      <c r="C57" s="269"/>
      <c r="D57" s="269"/>
      <c r="E57" s="269"/>
      <c r="F57" s="269"/>
      <c r="G57" s="269"/>
      <c r="H57" s="269"/>
      <c r="I57" s="268"/>
      <c r="J57" s="268"/>
    </row>
    <row r="58" spans="2:21" s="267" customFormat="1">
      <c r="B58" s="268" t="s">
        <v>579</v>
      </c>
      <c r="C58" s="269"/>
      <c r="D58" s="269"/>
      <c r="E58" s="269"/>
      <c r="F58" s="269"/>
      <c r="G58" s="269"/>
      <c r="H58" s="269"/>
      <c r="I58" s="268"/>
      <c r="J58" s="268"/>
    </row>
    <row r="59" spans="2:21" s="267" customFormat="1">
      <c r="B59" s="268" t="s">
        <v>578</v>
      </c>
      <c r="C59" s="269"/>
      <c r="D59" s="269"/>
      <c r="E59" s="269"/>
      <c r="F59" s="269"/>
      <c r="G59" s="269"/>
      <c r="H59" s="269"/>
      <c r="I59" s="268"/>
      <c r="J59" s="268"/>
    </row>
    <row r="60" spans="2:21" s="267" customFormat="1">
      <c r="B60" s="268" t="s">
        <v>577</v>
      </c>
      <c r="C60" s="269"/>
      <c r="D60" s="269"/>
      <c r="E60" s="269"/>
      <c r="F60" s="269"/>
      <c r="G60" s="269"/>
      <c r="H60" s="269"/>
      <c r="I60" s="268"/>
      <c r="J60" s="268"/>
    </row>
    <row r="61" spans="2:21" s="267" customFormat="1">
      <c r="B61" s="270" t="s">
        <v>272</v>
      </c>
      <c r="C61" s="269"/>
      <c r="D61" s="269"/>
      <c r="E61" s="269"/>
      <c r="F61" s="269"/>
      <c r="G61" s="269"/>
      <c r="H61" s="269"/>
      <c r="I61" s="268"/>
      <c r="J61" s="268"/>
    </row>
    <row r="62" spans="2:21" s="267" customFormat="1">
      <c r="B62" s="270"/>
      <c r="C62" s="269"/>
      <c r="D62" s="269"/>
      <c r="E62" s="269"/>
      <c r="F62" s="269"/>
      <c r="G62" s="269"/>
      <c r="H62" s="269"/>
      <c r="I62" s="268"/>
      <c r="J62" s="268"/>
    </row>
    <row r="63" spans="2:21" s="267" customFormat="1">
      <c r="B63" s="270" t="s">
        <v>597</v>
      </c>
      <c r="C63" s="269"/>
      <c r="D63" s="269"/>
      <c r="E63" s="269"/>
      <c r="F63" s="269"/>
      <c r="G63" s="269"/>
      <c r="H63" s="269"/>
      <c r="I63" s="268"/>
      <c r="J63" s="268"/>
    </row>
    <row r="64" spans="2:21">
      <c r="B64" s="268"/>
      <c r="C64" s="269"/>
      <c r="D64" s="269"/>
      <c r="E64" s="269"/>
      <c r="F64" s="269"/>
      <c r="G64" s="269"/>
      <c r="H64" s="269"/>
      <c r="I64" s="268"/>
      <c r="J64" s="268"/>
    </row>
    <row r="65" spans="2:10">
      <c r="B65" s="268" t="s">
        <v>598</v>
      </c>
      <c r="C65" s="269"/>
      <c r="D65" s="269"/>
      <c r="E65" s="269"/>
      <c r="F65" s="269"/>
      <c r="G65" s="269"/>
      <c r="H65" s="269"/>
      <c r="I65" s="268"/>
      <c r="J65" s="268"/>
    </row>
    <row r="66" spans="2:10">
      <c r="B66" s="268" t="s">
        <v>599</v>
      </c>
      <c r="C66" s="269"/>
      <c r="D66" s="269"/>
      <c r="E66" s="269"/>
      <c r="F66" s="269"/>
      <c r="G66" s="269"/>
      <c r="H66" s="269"/>
      <c r="I66" s="268"/>
      <c r="J66" s="268"/>
    </row>
    <row r="67" spans="2:10">
      <c r="B67" s="268" t="s">
        <v>600</v>
      </c>
      <c r="C67" s="269"/>
      <c r="D67" s="269"/>
      <c r="E67" s="269"/>
      <c r="F67" s="269"/>
      <c r="G67" s="269"/>
      <c r="H67" s="269"/>
      <c r="I67" s="268"/>
      <c r="J67" s="268"/>
    </row>
    <row r="68" spans="2:10" ht="14.4" customHeight="1">
      <c r="B68" s="268" t="s">
        <v>577</v>
      </c>
      <c r="C68" s="269"/>
      <c r="D68" s="269"/>
      <c r="E68" s="269"/>
      <c r="F68" s="269"/>
      <c r="G68" s="269"/>
      <c r="H68" s="269"/>
      <c r="I68" s="268"/>
      <c r="J68" s="268"/>
    </row>
    <row r="69" spans="2:10">
      <c r="B69" s="270" t="s">
        <v>272</v>
      </c>
      <c r="C69" s="269"/>
      <c r="D69" s="269"/>
      <c r="E69" s="269"/>
      <c r="F69" s="269"/>
      <c r="G69" s="269"/>
      <c r="H69" s="269"/>
      <c r="I69" s="268"/>
      <c r="J69" s="268"/>
    </row>
  </sheetData>
  <mergeCells count="10">
    <mergeCell ref="B10:B11"/>
    <mergeCell ref="C10:E10"/>
    <mergeCell ref="F10:H10"/>
    <mergeCell ref="I10:I11"/>
    <mergeCell ref="J10:J11"/>
    <mergeCell ref="B43:B44"/>
    <mergeCell ref="C43:E43"/>
    <mergeCell ref="F43:H43"/>
    <mergeCell ref="I43:I44"/>
    <mergeCell ref="J43:J44"/>
  </mergeCells>
  <pageMargins left="0.75" right="0.75" top="1" bottom="1" header="0.5" footer="0.5"/>
  <pageSetup paperSize="9" scale="4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32</vt:i4>
      </vt:variant>
    </vt:vector>
  </HeadingPairs>
  <TitlesOfParts>
    <vt:vector size="79" baseType="lpstr">
      <vt:lpstr>Index</vt:lpstr>
      <vt:lpstr>AFC Reduction and AEC loss</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F14.9</vt:lpstr>
      <vt:lpstr>F15</vt:lpstr>
      <vt:lpstr>F16</vt:lpstr>
      <vt:lpstr>F17</vt:lpstr>
      <vt:lpstr>'F1'!Print_Area</vt:lpstr>
      <vt:lpstr>F1.1!Print_Area</vt:lpstr>
      <vt:lpstr>'F11'!Print_Area</vt:lpstr>
      <vt:lpstr>'F17'!Print_Area</vt:lpstr>
      <vt:lpstr>F2.1!Print_Area</vt:lpstr>
      <vt:lpstr>F2.2!Print_Area</vt:lpstr>
      <vt:lpstr>F2.3!Print_Area</vt:lpstr>
      <vt:lpstr>F2.4!Print_Area</vt:lpstr>
      <vt:lpstr>F2.5!Print_Area</vt:lpstr>
      <vt:lpstr>F2.6!Print_Area</vt:lpstr>
      <vt:lpstr>F2.7!Print_Area</vt:lpstr>
      <vt:lpstr>F2.8!Print_Area</vt:lpstr>
      <vt:lpstr>'F3'!Print_Area</vt:lpstr>
      <vt:lpstr>F3.1!Print_Area</vt:lpstr>
      <vt:lpstr>F3.2!Print_Area</vt:lpstr>
      <vt:lpstr>F4.1!Print_Area</vt:lpstr>
      <vt:lpstr>F4.2!Print_Area</vt:lpstr>
      <vt:lpstr>F4.3!Print_Area</vt:lpstr>
      <vt:lpstr>'F5'!Print_Area</vt:lpstr>
      <vt:lpstr>'F5.1 (N)'!Print_Area</vt:lpstr>
      <vt:lpstr>'F6'!Print_Area</vt:lpstr>
      <vt:lpstr>'F7'!Print_Area</vt:lpstr>
      <vt:lpstr>'F9'!Print_Area</vt:lpstr>
      <vt:lpstr>Index!Print_Area</vt:lpstr>
      <vt:lpstr>F2.1!Print_Titles</vt:lpstr>
      <vt:lpstr>F2.2!Print_Titles</vt:lpstr>
      <vt:lpstr>F2.3!Print_Titles</vt:lpstr>
      <vt:lpstr>F2.4!Print_Titles</vt:lpstr>
      <vt:lpstr>F2.5!Print_Titles</vt:lpstr>
      <vt:lpstr>F4.1!Print_Titles</vt:lpstr>
      <vt:lpstr>F4.2!Print_Titles</vt:lpstr>
      <vt:lpstr>F4.3!Print_Titles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2022-10-27T06:45:42Z</cp:lastPrinted>
  <dcterms:created xsi:type="dcterms:W3CDTF">2004-07-28T05:30:50Z</dcterms:created>
  <dcterms:modified xsi:type="dcterms:W3CDTF">2024-12-06T05:39:56Z</dcterms:modified>
</cp:coreProperties>
</file>